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Contract\Regina Irvin\Copiers\Amendments\Konica Minolta\"/>
    </mc:Choice>
  </mc:AlternateContent>
  <bookViews>
    <workbookView xWindow="600" yWindow="1425" windowWidth="14655" windowHeight="6735" tabRatio="329" firstSheet="2" activeTab="2"/>
  </bookViews>
  <sheets>
    <sheet name="Validation" sheetId="5" state="hidden" r:id="rId1"/>
    <sheet name="Approved Pricing Old" sheetId="3" state="hidden" r:id="rId2"/>
    <sheet name="MFP's" sheetId="10" r:id="rId3"/>
  </sheets>
  <externalReferences>
    <externalReference r:id="rId4"/>
    <externalReference r:id="rId5"/>
    <externalReference r:id="rId6"/>
    <externalReference r:id="rId7"/>
    <externalReference r:id="rId8"/>
    <externalReference r:id="rId9"/>
    <externalReference r:id="rId10"/>
  </externalReferences>
  <definedNames>
    <definedName name="__123Graph_D" hidden="1">[1]NEW!#REF!</definedName>
    <definedName name="_fax2900">'[2]MFP-FAX'!#REF!</definedName>
    <definedName name="_fax3900">'[2]MFP-FAX'!#REF!</definedName>
    <definedName name="_xlnm._FilterDatabase" localSheetId="2" hidden="1">'MFP''s'!$A$4:$H$27</definedName>
    <definedName name="AMCBC">#REF!</definedName>
    <definedName name="AMCBCBK">#REF!</definedName>
    <definedName name="AMCBCPPBK">#REF!</definedName>
    <definedName name="AMPV">#REF!</definedName>
    <definedName name="AMPV2">#REF!</definedName>
    <definedName name="AMPVBW">#REF!</definedName>
    <definedName name="AMPVPPBW">#REF!</definedName>
    <definedName name="AMPVPPC">#REF!</definedName>
    <definedName name="AVLGRBW">#REF!</definedName>
    <definedName name="AVLGRPPBW">#REF!</definedName>
    <definedName name="AVLH">#REF!</definedName>
    <definedName name="AVLHBW">#REF!</definedName>
    <definedName name="AVLHPPBW">#REF!</definedName>
    <definedName name="bizhub1052">'[3]Attachment Ratio'!$C$1387:$F$1402</definedName>
    <definedName name="bizhub1250">'[3]Attachment Ratio'!$C$1404:$F$1434</definedName>
    <definedName name="bizhub1250p">'[3]Attachment Ratio'!$C$1436:$F$1458</definedName>
    <definedName name="bizhub215">'[3]Attachment Ratio'!$C$2:$F$15</definedName>
    <definedName name="bizhub223">'[3]Attachment Ratio'!$C$16:$F$48</definedName>
    <definedName name="bizhub25">'[3]Attachment Ratio'!$C$49:$G$61</definedName>
    <definedName name="bizhub283">'[3]Attachment Ratio'!$C$62:$G$94</definedName>
    <definedName name="BIZHUB36">'[3]Attachment Ratio'!$C$95:$G$105</definedName>
    <definedName name="bizhub363">'[3]Attachment Ratio'!$C$106:$G$135</definedName>
    <definedName name="bizhub42">'[3]Attachment Ratio'!$C$1373:$F$1383</definedName>
    <definedName name="bizhub423">'[3]Attachment Ratio'!$C$136:$G$165</definedName>
    <definedName name="bizhub501">'[3]Attachment Ratio'!$C$166:$F$190136:'[3]Attachment Ratio'!$G$165</definedName>
    <definedName name="bizhub552">'[3]Attachment Ratio'!$C$191:$G$228</definedName>
    <definedName name="bizhub951">'[3]Attachment Ratio'!$C$387:$G$408</definedName>
    <definedName name="bizhubc224">'[3]Attachment Ratio'!$C$443:$G$484</definedName>
    <definedName name="bizhubC25">'[3]Attachment Ratio'!$C$485:$F$492</definedName>
    <definedName name="bizhubc284">'[3]Attachment Ratio'!$C$538:$F$589</definedName>
    <definedName name="bizhubc35">'[3]Attachment Ratio'!$C$590:$F$592</definedName>
    <definedName name="bizhubc364">'[3]Attachment Ratio'!$C$677:$F$728</definedName>
    <definedName name="bizhubc454">'[3]Attachment Ratio'!$C$771:$G$822</definedName>
    <definedName name="bizhubc554">'[3]Attachment Ratio'!$C$917:$F$974</definedName>
    <definedName name="bizhubc654">'[3]Attachment Ratio'!$C$1069:$G$1115</definedName>
    <definedName name="bizhubc754">'[3]Attachment Ratio'!$C$1116:$F$1162</definedName>
    <definedName name="CATEGORY">'[4]Item Master MFP'!$B$4:$AW$4</definedName>
    <definedName name="CLICK">#REF!</definedName>
    <definedName name="CLICKBW">#REF!</definedName>
    <definedName name="CLICKPPBW">#REF!</definedName>
    <definedName name="CLRRATE">#REF!</definedName>
    <definedName name="Color_2clicknew">#REF!</definedName>
    <definedName name="DEVCPC">#REF!</definedName>
    <definedName name="DEVCPCBW">#REF!</definedName>
    <definedName name="DEVCPCPPBW">#REF!</definedName>
    <definedName name="DEVCPCPPC">#REF!</definedName>
    <definedName name="Directtable">#REF!</definedName>
    <definedName name="DRUMCPCBW">#REF!</definedName>
    <definedName name="DRUMCPCPPBW">#REF!</definedName>
    <definedName name="DRUMCPCPPC">#REF!</definedName>
    <definedName name="Dup_Click">#REF!</definedName>
    <definedName name="Dup_Ratio">#REF!</definedName>
    <definedName name="ExDirCost">'[2]MFP-FAX'!$P:$P</definedName>
    <definedName name="ExMiscCost">'[2]MFP-FAX'!$R:$R</definedName>
    <definedName name="ExPurPrice">'[2]MFP-FAX'!$O:$O</definedName>
    <definedName name="ExStandCost">'[2]MFP-FAX'!$Q:$Q</definedName>
    <definedName name="FinalCPC">[2]Maintenance!$O:$O</definedName>
    <definedName name="GlueCPCBW">#REF!</definedName>
    <definedName name="GlueCPCPPBW">#REF!</definedName>
    <definedName name="GlueCPCPPC">#REF!</definedName>
    <definedName name="Item_Code">'[4]Item Master MFP'!$H$5:$H$2000</definedName>
    <definedName name="item1051">'[2]MFP-FAX'!#REF!</definedName>
    <definedName name="Item1052">'[2]MFP-FAX'!$C$585</definedName>
    <definedName name="Item160">'[2]MFP-FAX'!#REF!</definedName>
    <definedName name="Item161">'[2]MFP-FAX'!#REF!</definedName>
    <definedName name="Item181">'[2]MFP-FAX'!#REF!</definedName>
    <definedName name="item215">'[2]MFP-FAX'!$C$89</definedName>
    <definedName name="Item223">'[2]MFP-FAX'!#REF!</definedName>
    <definedName name="Item224em">'[2]MFP-FAX'!$C$115</definedName>
    <definedName name="Item25e">'[2]MFP-FAX'!$C$12</definedName>
    <definedName name="Item283">'[2]MFP-FAX'!#REF!</definedName>
    <definedName name="Item284emm">'[2]MFP-FAX'!$C$177</definedName>
    <definedName name="Item36">'[2]MFP-FAX'!$C$39</definedName>
    <definedName name="Item363">'[2]MFP-FAX'!#REF!</definedName>
    <definedName name="Item364emm">'[2]MFP-FAX'!$C$239</definedName>
    <definedName name="Item42">'[2]MFP-FAX'!$C$64</definedName>
    <definedName name="Item423">'[2]MFP-FAX'!#REF!</definedName>
    <definedName name="Item454emm">'[2]MFP-FAX'!$C$301</definedName>
    <definedName name="Item501">'[2]MFP-FAX'!#REF!</definedName>
    <definedName name="Item554emm">'[2]MFP-FAX'!$C$364</definedName>
    <definedName name="Item601">'[2]MFP-FAX'!#REF!</definedName>
    <definedName name="Item652">'[2]MFP-FAX'!#REF!</definedName>
    <definedName name="Item654">'[2]MFP-FAX'!#REF!</definedName>
    <definedName name="Item654emm">'[2]MFP-FAX'!$C$431</definedName>
    <definedName name="Item751">'[2]MFP-FAX'!#REF!</definedName>
    <definedName name="Item754">'[2]MFP-FAX'!#REF!</definedName>
    <definedName name="Item754emm">'[2]MFP-FAX'!$C$486</definedName>
    <definedName name="Item950">'[2]MFP-FAX'!#REF!</definedName>
    <definedName name="Item951">'[2]MFP-FAX'!$C$541</definedName>
    <definedName name="itemc200">'[2]MFP-FAX'!#REF!</definedName>
    <definedName name="itemc203">[5]Overall!#REF!</definedName>
    <definedName name="itemC220">'[2]MFP-FAX'!#REF!</definedName>
    <definedName name="itemC224e">'[2]MFP-FAX'!$C$699</definedName>
    <definedName name="itemc253">[5]Overall!#REF!</definedName>
    <definedName name="itemc280">'[2]MFP-FAX'!#REF!</definedName>
    <definedName name="itemC284e">'[2]MFP-FAX'!$C$761</definedName>
    <definedName name="itemc35">'[2]MFP-FAX'!$C$907</definedName>
    <definedName name="itemc360">'[2]MFP-FAX'!#REF!</definedName>
    <definedName name="itemC364e">'[2]MFP-FAX'!$C$834</definedName>
    <definedName name="itemc451">[5]Overall!#REF!</definedName>
    <definedName name="ItemC452">'[2]MFP-FAX'!#REF!</definedName>
    <definedName name="itemc454e">'[2]MFP-FAX'!$C$925</definedName>
    <definedName name="itemc5501">'[2]MFP-FAX'!#REF!</definedName>
    <definedName name="ItemC552">'[2]MFP-FAX'!#REF!</definedName>
    <definedName name="itemc554e">'[2]MFP-FAX'!$C$997</definedName>
    <definedName name="ItemC6000">'[2]MFP-FAX'!$C$1211</definedName>
    <definedName name="ItemC6000L">'[2]MFP-FAX'!#REF!</definedName>
    <definedName name="itemc6501">'[2]MFP-FAX'!#REF!</definedName>
    <definedName name="ItemC652">'[2]MFP-FAX'!#REF!</definedName>
    <definedName name="itemC654e">'[2]MFP-FAX'!$C$1075</definedName>
    <definedName name="ItemC65hc">'[2]MFP-FAX'!#REF!</definedName>
    <definedName name="itemc70hc">'[2]MFP-FAX'!#REF!</definedName>
    <definedName name="itemC754e">'[2]MFP-FAX'!$C$1143</definedName>
    <definedName name="ItemC8000">'[2]MFP-FAX'!$C$1409</definedName>
    <definedName name="IUCPC">#REF!</definedName>
    <definedName name="LABOR">#REF!</definedName>
    <definedName name="LABORBW">#REF!</definedName>
    <definedName name="LABORPPBW">#REF!</definedName>
    <definedName name="LABORPPC">#REF!</definedName>
    <definedName name="Laborratebk">#REF!</definedName>
    <definedName name="Laborratecolor">#REF!</definedName>
    <definedName name="LGRRATE">#REF!</definedName>
    <definedName name="m" hidden="1">{"MSP",#N/A,FALSE,"Printers";"Msp",#N/A,FALSE,"O &amp; C end of life and current"}</definedName>
    <definedName name="MC3300a" hidden="1">{"MSP",#N/A,FALSE,"Printers";"Msp",#N/A,FALSE,"O &amp; C end of life and current"}</definedName>
    <definedName name="MCBC">#REF!</definedName>
    <definedName name="MCBCBK">#REF!</definedName>
    <definedName name="MCBCPPBK">#REF!</definedName>
    <definedName name="mm" hidden="1">{"MSP",#N/A,FALSE,"Printers";"Msp",#N/A,FALSE,"O &amp; C end of life and current"}</definedName>
    <definedName name="MODEL">#REF!</definedName>
    <definedName name="MODELBK">#REF!</definedName>
    <definedName name="MODELBW">#REF!</definedName>
    <definedName name="MODELBWALL">#REF!</definedName>
    <definedName name="MODELC">#REF!</definedName>
    <definedName name="MODELnew">#REF!</definedName>
    <definedName name="MODELOfficeCLR">#REF!</definedName>
    <definedName name="MODELPPBK">#REF!</definedName>
    <definedName name="MODELPPBW">#REF!</definedName>
    <definedName name="MODELPPC">#REF!</definedName>
    <definedName name="MODELPPCLR">#REF!</definedName>
    <definedName name="Mono_2clicknew">#REF!</definedName>
    <definedName name="MonthCost">[2]Maintenance!$R:$R</definedName>
    <definedName name="MonthRev">[2]Maintenance!$Q:$Q</definedName>
    <definedName name="MonthVol">[2]Maintenance!$P:$P</definedName>
    <definedName name="o" hidden="1">{"MSP",#N/A,FALSE,"Printers";"Msp",#N/A,FALSE,"O &amp; C end of life and current"}</definedName>
    <definedName name="OptionBox">[6]Validation!$A$2</definedName>
    <definedName name="Options" localSheetId="2">#REF!</definedName>
    <definedName name="Options">Validation!$C$4:$C$29</definedName>
    <definedName name="OTHCPC">#REF!</definedName>
    <definedName name="OTHCPCPPC">#REF!</definedName>
    <definedName name="PARTS">#REF!</definedName>
    <definedName name="PARTSBW">#REF!</definedName>
    <definedName name="PARTSPPBW">#REF!</definedName>
    <definedName name="PARTSPPC">#REF!</definedName>
    <definedName name="PM1CPC">#REF!</definedName>
    <definedName name="PM1PPCCPC">#REF!</definedName>
    <definedName name="PM2CPC">#REF!</definedName>
    <definedName name="PM2PPCCPC">#REF!</definedName>
    <definedName name="PMCPCBW">#REF!</definedName>
    <definedName name="PMCPCPPBW">#REF!</definedName>
    <definedName name="Price">'[4]Item Master MFP'!$B$5:$AS$1441</definedName>
    <definedName name="pricelabels">[3]Tables!$B$1:$C$10</definedName>
    <definedName name="_xlnm.Print_Area" localSheetId="2">'MFP''s'!$A$1:$H$1074</definedName>
    <definedName name="_xlnm.Print_Titles" localSheetId="2">'MFP''s'!$1:$7</definedName>
    <definedName name="proc6000">'[3]Attachment Ratio'!$C$1163:$G$1217</definedName>
    <definedName name="proc6000l">'[3]Attachment Ratio'!$C$1460:$F$1493</definedName>
    <definedName name="proc7000">'[3]Attachment Ratio'!$C$1218:$G$1272</definedName>
    <definedName name="proc7000p">'[3]Attachment Ratio'!$C$1273:$G$1327</definedName>
    <definedName name="proc8000">'[3]Attachment Ratio'!$C$1328:$G$1371</definedName>
    <definedName name="q1200x">'[2]MFP-FAX'!#REF!</definedName>
    <definedName name="q1250p">'[2]MFP-FAX'!$B$646</definedName>
    <definedName name="q1250x">'[2]MFP-FAX'!$B$639</definedName>
    <definedName name="qc7000p">'[2]MFP-FAX'!$B$1315</definedName>
    <definedName name="qc7000x">'[2]MFP-FAX'!$B$1305</definedName>
    <definedName name="qcC552DSX">'[2]MFP-FAX'!#REF!</definedName>
    <definedName name="qcC552X">'[2]MFP-FAX'!#REF!</definedName>
    <definedName name="qcC652DSX">'[2]MFP-FAX'!#REF!</definedName>
    <definedName name="qcC652X">'[2]MFP-FAX'!#REF!</definedName>
    <definedName name="quant">'[2]MFP-FAX'!$B:$B</definedName>
    <definedName name="Removal">[2]Notes!$M$1:$M$4</definedName>
    <definedName name="s" hidden="1">{"MSP",#N/A,FALSE,"Printers";"Msp",#N/A,FALSE,"O &amp; C end of life and current"}</definedName>
    <definedName name="SAPBEXrevision" hidden="1">1</definedName>
    <definedName name="SAPBEXsysID" hidden="1">"PBW"</definedName>
    <definedName name="SAPBEXwbID" hidden="1">"89WAD5CD3QPB3UTWPCDJWELD4"</definedName>
    <definedName name="Sheetvol">#REF!</definedName>
    <definedName name="STAPLECPCBW">#REF!</definedName>
    <definedName name="STAPLECPCPPBW">#REF!</definedName>
    <definedName name="Supplies">#REF!</definedName>
    <definedName name="TNRATE">#REF!</definedName>
    <definedName name="TONBW">#REF!</definedName>
    <definedName name="TONERCPC">#REF!</definedName>
    <definedName name="TONERCPCBW">#REF!</definedName>
    <definedName name="TONERCPCPPBW">#REF!</definedName>
    <definedName name="TONERCPCPPC">#REF!</definedName>
    <definedName name="TONPPBW">#REF!</definedName>
    <definedName name="wrn.Min.Sell.Prix." hidden="1">{"MSP",#N/A,FALSE,"Printers";"Msp",#N/A,FALSE,"O &amp; C end of life and current"}</definedName>
    <definedName name="WTBCPC">#REF!</definedName>
  </definedNames>
  <calcPr calcId="152511"/>
</workbook>
</file>

<file path=xl/calcChain.xml><?xml version="1.0" encoding="utf-8"?>
<calcChain xmlns="http://schemas.openxmlformats.org/spreadsheetml/2006/main">
  <c r="C2162" i="10" l="1"/>
  <c r="C6360" i="10" l="1"/>
  <c r="C6359" i="10"/>
  <c r="C6358" i="10"/>
  <c r="C6357" i="10"/>
  <c r="C6355" i="10"/>
  <c r="C6351" i="10"/>
  <c r="C6350" i="10"/>
  <c r="C6349" i="10"/>
  <c r="C6348" i="10"/>
  <c r="C6347" i="10"/>
  <c r="C6346" i="10"/>
  <c r="C6345" i="10"/>
  <c r="C6344" i="10"/>
  <c r="C6343" i="10"/>
  <c r="C6342" i="10"/>
  <c r="C6341" i="10"/>
  <c r="C6340" i="10"/>
  <c r="C6339" i="10"/>
  <c r="C6338" i="10"/>
  <c r="C6336" i="10"/>
  <c r="C6335" i="10"/>
  <c r="C6334" i="10"/>
  <c r="C6333" i="10"/>
  <c r="C6332" i="10"/>
  <c r="C6331" i="10"/>
  <c r="C6330" i="10"/>
  <c r="C6329" i="10"/>
  <c r="C6328" i="10"/>
  <c r="C6327" i="10"/>
  <c r="C6326" i="10"/>
  <c r="C6325" i="10"/>
  <c r="C6324" i="10"/>
  <c r="C6323" i="10"/>
  <c r="C6321" i="10"/>
  <c r="C6314" i="10"/>
  <c r="C6313" i="10"/>
  <c r="C6312" i="10"/>
  <c r="C6311" i="10"/>
  <c r="C6310" i="10"/>
  <c r="C6309" i="10"/>
  <c r="C6308" i="10"/>
  <c r="C6307" i="10"/>
  <c r="C6306" i="10"/>
  <c r="C6305" i="10"/>
  <c r="C6304" i="10"/>
  <c r="C6303" i="10"/>
  <c r="C6302" i="10"/>
  <c r="C6301" i="10"/>
  <c r="C6300" i="10"/>
  <c r="C6299" i="10"/>
  <c r="C6298" i="10"/>
  <c r="C6297" i="10"/>
  <c r="C6296" i="10"/>
  <c r="C6295" i="10"/>
  <c r="C6294" i="10"/>
  <c r="C6293" i="10"/>
  <c r="C6292" i="10"/>
  <c r="C6291" i="10"/>
  <c r="C6290" i="10"/>
  <c r="C6288" i="10"/>
  <c r="C6287" i="10"/>
  <c r="C6286" i="10"/>
  <c r="C6285" i="10"/>
  <c r="C6284" i="10"/>
  <c r="C6283" i="10"/>
  <c r="C6282" i="10"/>
  <c r="C6281" i="10"/>
  <c r="C6280" i="10"/>
  <c r="C6279" i="10"/>
  <c r="C6278" i="10"/>
  <c r="C6277" i="10"/>
  <c r="C6276" i="10"/>
  <c r="C6275" i="10"/>
  <c r="C6274" i="10"/>
  <c r="C6273" i="10"/>
  <c r="C6272" i="10"/>
  <c r="C6270" i="10"/>
  <c r="C6269" i="10"/>
  <c r="C6268" i="10"/>
  <c r="C6267" i="10"/>
  <c r="C6266" i="10"/>
  <c r="C6265" i="10"/>
  <c r="C6264" i="10"/>
  <c r="C6263" i="10"/>
  <c r="C6262" i="10"/>
  <c r="C6261" i="10"/>
  <c r="C6260" i="10"/>
  <c r="C6259" i="10"/>
  <c r="C6258" i="10"/>
  <c r="C6257" i="10"/>
  <c r="C6256" i="10"/>
  <c r="C6254" i="10"/>
  <c r="C6253" i="10"/>
  <c r="C6252" i="10"/>
  <c r="C6251" i="10"/>
  <c r="C6250" i="10"/>
  <c r="C6249" i="10"/>
  <c r="C6248" i="10"/>
  <c r="C6247" i="10"/>
  <c r="C6246" i="10"/>
  <c r="C6245" i="10"/>
  <c r="C6244" i="10"/>
  <c r="C6243" i="10"/>
  <c r="C6242" i="10"/>
  <c r="C6241" i="10"/>
  <c r="C6240" i="10"/>
  <c r="C6239" i="10"/>
  <c r="C6238" i="10"/>
  <c r="C6237" i="10"/>
  <c r="C6236" i="10"/>
  <c r="C6235" i="10"/>
  <c r="C6234" i="10"/>
  <c r="C6233" i="10"/>
  <c r="C6232" i="10"/>
  <c r="C6231" i="10"/>
  <c r="C6230" i="10"/>
  <c r="C6229" i="10"/>
  <c r="C6228" i="10"/>
  <c r="C6227" i="10"/>
  <c r="C6226" i="10"/>
  <c r="C6225" i="10"/>
  <c r="C6224" i="10"/>
  <c r="C6223" i="10"/>
  <c r="C6221" i="10"/>
  <c r="C6220" i="10"/>
  <c r="C6219" i="10"/>
  <c r="C6218" i="10"/>
  <c r="C6217" i="10"/>
  <c r="C6216" i="10"/>
  <c r="C6214" i="10"/>
  <c r="C6213" i="10"/>
  <c r="C6211" i="10"/>
  <c r="C6210" i="10"/>
  <c r="C6207" i="10"/>
  <c r="C6205" i="10"/>
  <c r="C6204" i="10"/>
  <c r="C6202" i="10"/>
  <c r="C6201" i="10"/>
  <c r="C6199" i="10"/>
  <c r="C6198" i="10"/>
  <c r="C6191" i="10"/>
  <c r="C6190" i="10"/>
  <c r="C6189" i="10"/>
  <c r="C6188" i="10"/>
  <c r="C6187" i="10"/>
  <c r="C6186" i="10"/>
  <c r="C6185" i="10"/>
  <c r="C6184" i="10"/>
  <c r="C6183" i="10"/>
  <c r="C6182" i="10"/>
  <c r="C6181" i="10"/>
  <c r="C6179" i="10"/>
  <c r="C6178" i="10"/>
  <c r="C6176" i="10"/>
  <c r="C6175" i="10"/>
  <c r="C6174" i="10"/>
  <c r="C6173" i="10"/>
  <c r="C6172" i="10"/>
  <c r="C6171" i="10"/>
  <c r="C6170" i="10"/>
  <c r="C6169" i="10"/>
  <c r="C6168" i="10"/>
  <c r="C6167" i="10"/>
  <c r="C6166" i="10"/>
  <c r="C6165" i="10"/>
  <c r="C6164" i="10"/>
  <c r="C6163" i="10"/>
  <c r="C6162" i="10"/>
  <c r="C6161" i="10"/>
  <c r="C6160" i="10"/>
  <c r="C6159" i="10"/>
  <c r="C6158" i="10"/>
  <c r="C6157" i="10"/>
  <c r="C6155" i="10"/>
  <c r="C6154" i="10"/>
  <c r="C6153" i="10"/>
  <c r="C6152" i="10"/>
  <c r="C6151" i="10"/>
  <c r="C6150" i="10"/>
  <c r="C6149" i="10"/>
  <c r="C6148" i="10"/>
  <c r="C6146" i="10"/>
  <c r="C6145" i="10"/>
  <c r="C6143" i="10"/>
  <c r="C6142" i="10"/>
  <c r="C6141" i="10"/>
  <c r="C6140" i="10"/>
  <c r="C6139" i="10"/>
  <c r="C6138" i="10"/>
  <c r="C6137" i="10"/>
  <c r="C6136" i="10"/>
  <c r="C6135" i="10"/>
  <c r="C6134" i="10"/>
  <c r="C6133" i="10"/>
  <c r="C6132" i="10"/>
  <c r="C6131" i="10"/>
  <c r="C6130" i="10"/>
  <c r="C6129" i="10"/>
  <c r="C6128" i="10"/>
  <c r="C6127" i="10"/>
  <c r="C6126" i="10"/>
  <c r="C6125" i="10"/>
  <c r="C6122" i="10"/>
  <c r="C6120" i="10"/>
  <c r="C6119" i="10"/>
  <c r="C6117" i="10"/>
  <c r="C6116" i="10"/>
  <c r="C6114" i="10"/>
  <c r="C6113" i="10"/>
  <c r="C6112" i="10"/>
  <c r="C6111" i="10"/>
  <c r="C6110" i="10"/>
  <c r="C6109" i="10"/>
  <c r="C6108" i="10"/>
  <c r="C6107" i="10"/>
  <c r="C6106" i="10"/>
  <c r="C6105" i="10"/>
  <c r="C6098" i="10"/>
  <c r="C6096" i="10"/>
  <c r="C6095" i="10"/>
  <c r="C6087" i="10"/>
  <c r="C6086" i="10"/>
  <c r="C6085" i="10"/>
  <c r="C6084" i="10"/>
  <c r="C6083" i="10"/>
  <c r="C6081" i="10"/>
  <c r="C6079" i="10"/>
  <c r="C6078" i="10"/>
  <c r="C6077" i="10"/>
  <c r="C6076" i="10"/>
  <c r="C6074" i="10"/>
  <c r="C6073" i="10"/>
  <c r="C6066" i="10"/>
  <c r="C6064" i="10"/>
  <c r="C6062" i="10"/>
  <c r="C6061" i="10"/>
  <c r="C6054" i="10"/>
  <c r="C6052" i="10"/>
  <c r="C6051" i="10"/>
  <c r="C6049" i="10"/>
  <c r="C6047" i="10"/>
  <c r="C6046" i="10"/>
  <c r="C6042" i="10"/>
  <c r="C6036" i="10"/>
  <c r="C6035" i="10"/>
  <c r="C6034" i="10"/>
  <c r="C6033" i="10"/>
  <c r="C6032" i="10"/>
  <c r="C6031" i="10"/>
  <c r="C6030" i="10"/>
  <c r="C6029" i="10"/>
  <c r="C6028" i="10"/>
  <c r="C6027" i="10"/>
  <c r="C6026" i="10"/>
  <c r="C6025" i="10"/>
  <c r="C6024" i="10"/>
  <c r="C6023" i="10"/>
  <c r="C6022" i="10"/>
  <c r="C6021" i="10"/>
  <c r="C6020" i="10"/>
  <c r="C6019" i="10"/>
  <c r="C6017" i="10"/>
  <c r="C6016" i="10"/>
  <c r="C6014" i="10"/>
  <c r="C6013" i="10"/>
  <c r="C6012" i="10"/>
  <c r="C6011" i="10"/>
  <c r="C6010" i="10"/>
  <c r="C6009" i="10"/>
  <c r="C6008" i="10"/>
  <c r="C6007" i="10"/>
  <c r="C6006" i="10"/>
  <c r="C6005" i="10"/>
  <c r="C6004" i="10"/>
  <c r="C6003" i="10"/>
  <c r="C6002" i="10"/>
  <c r="C6001" i="10"/>
  <c r="C6000" i="10"/>
  <c r="C5999" i="10"/>
  <c r="C5998" i="10"/>
  <c r="C5997" i="10"/>
  <c r="C5996" i="10"/>
  <c r="C5995" i="10"/>
  <c r="C5994" i="10"/>
  <c r="C5993" i="10"/>
  <c r="C5992" i="10"/>
  <c r="C5991" i="10"/>
  <c r="C5990" i="10"/>
  <c r="C5989" i="10"/>
  <c r="C5988" i="10"/>
  <c r="C5987" i="10"/>
  <c r="C5986" i="10"/>
  <c r="C5985" i="10"/>
  <c r="C5984" i="10"/>
  <c r="C5983" i="10"/>
  <c r="C5982" i="10"/>
  <c r="C5981" i="10"/>
  <c r="C5980" i="10"/>
  <c r="C5979" i="10"/>
  <c r="C5978" i="10"/>
  <c r="C5977" i="10"/>
  <c r="C5976" i="10"/>
  <c r="C5975" i="10"/>
  <c r="C5974" i="10"/>
  <c r="C5973" i="10"/>
  <c r="C5972" i="10"/>
  <c r="C5971" i="10"/>
  <c r="C5970" i="10"/>
  <c r="C5969" i="10"/>
  <c r="C5968" i="10"/>
  <c r="C5967" i="10"/>
  <c r="C5966" i="10"/>
  <c r="C5965" i="10"/>
  <c r="C5964" i="10"/>
  <c r="C5963" i="10"/>
  <c r="C5962" i="10"/>
  <c r="C5961" i="10"/>
  <c r="C5960" i="10"/>
  <c r="C5959" i="10"/>
  <c r="C5958" i="10"/>
  <c r="C5957" i="10"/>
  <c r="C5956" i="10"/>
  <c r="C5955" i="10"/>
  <c r="C5954" i="10"/>
  <c r="C5953" i="10"/>
  <c r="C5951" i="10"/>
  <c r="C5950" i="10"/>
  <c r="C5947" i="10"/>
  <c r="C5944" i="10"/>
  <c r="C5943" i="10"/>
  <c r="C5941" i="10"/>
  <c r="C5940" i="10"/>
  <c r="C5938" i="10"/>
  <c r="C5937" i="10"/>
  <c r="C5935" i="10"/>
  <c r="C5934" i="10"/>
  <c r="C5932" i="10"/>
  <c r="C5931" i="10"/>
  <c r="C5916" i="10"/>
  <c r="C5914" i="10"/>
  <c r="C5913" i="10"/>
  <c r="C5912" i="10"/>
  <c r="C5910" i="10"/>
  <c r="C5905" i="10"/>
  <c r="C5904" i="10"/>
  <c r="C5903" i="10"/>
  <c r="C5902" i="10"/>
  <c r="C5901" i="10"/>
  <c r="C5900" i="10"/>
  <c r="C5899" i="10"/>
  <c r="C5898" i="10"/>
  <c r="C5897" i="10"/>
  <c r="C5896" i="10"/>
  <c r="C5894" i="10"/>
  <c r="C5893" i="10"/>
  <c r="C5892" i="10"/>
  <c r="C5891" i="10"/>
  <c r="C5890" i="10"/>
  <c r="C5889" i="10"/>
  <c r="C5888" i="10"/>
  <c r="C5887" i="10"/>
  <c r="C5886" i="10"/>
  <c r="C5885" i="10"/>
  <c r="C5884" i="10"/>
  <c r="C5883" i="10"/>
  <c r="C5882" i="10"/>
  <c r="C5881" i="10"/>
  <c r="C5880" i="10"/>
  <c r="C5877" i="10"/>
  <c r="C5876" i="10"/>
  <c r="C5875" i="10"/>
  <c r="C5874" i="10"/>
  <c r="C5873" i="10"/>
  <c r="C5872" i="10"/>
  <c r="C5871" i="10"/>
  <c r="C5870" i="10"/>
  <c r="C5869" i="10"/>
  <c r="C5868" i="10"/>
  <c r="C5867" i="10"/>
  <c r="C5866" i="10"/>
  <c r="C5865" i="10"/>
  <c r="C5864" i="10"/>
  <c r="C5862" i="10"/>
  <c r="C5856" i="10"/>
  <c r="C5855" i="10"/>
  <c r="C5854" i="10"/>
  <c r="C5853" i="10"/>
  <c r="C5852" i="10"/>
  <c r="C5851" i="10"/>
  <c r="C5850" i="10"/>
  <c r="C5849" i="10"/>
  <c r="C5848" i="10"/>
  <c r="C5847" i="10"/>
  <c r="C5846" i="10"/>
  <c r="C5845" i="10"/>
  <c r="C5844" i="10"/>
  <c r="C5843" i="10"/>
  <c r="C5842" i="10"/>
  <c r="C5841" i="10"/>
  <c r="C5840" i="10"/>
  <c r="C5839" i="10"/>
  <c r="C5838" i="10"/>
  <c r="C5837" i="10"/>
  <c r="C5836" i="10"/>
  <c r="C5835" i="10"/>
  <c r="C5833" i="10"/>
  <c r="C5832" i="10"/>
  <c r="C5831" i="10"/>
  <c r="C5830" i="10"/>
  <c r="C5829" i="10"/>
  <c r="C5828" i="10"/>
  <c r="C5827" i="10"/>
  <c r="C5826" i="10"/>
  <c r="C5825" i="10"/>
  <c r="C5824" i="10"/>
  <c r="C5823" i="10"/>
  <c r="C5822" i="10"/>
  <c r="C5820" i="10"/>
  <c r="C5818" i="10"/>
  <c r="C5817" i="10"/>
  <c r="C5816" i="10"/>
  <c r="C5815" i="10"/>
  <c r="C5814" i="10"/>
  <c r="C5813" i="10"/>
  <c r="C5812" i="10"/>
  <c r="C5811" i="10"/>
  <c r="C5810" i="10"/>
  <c r="C5809" i="10"/>
  <c r="C5808" i="10"/>
  <c r="C5807" i="10"/>
  <c r="C5806" i="10"/>
  <c r="C5805" i="10"/>
  <c r="C5804" i="10"/>
  <c r="C5803" i="10"/>
  <c r="C5802" i="10"/>
  <c r="C5801" i="10"/>
  <c r="C5800" i="10"/>
  <c r="C5799" i="10"/>
  <c r="C5798" i="10"/>
  <c r="C5796" i="10"/>
  <c r="C5795" i="10"/>
  <c r="C5789" i="10"/>
  <c r="C5788" i="10"/>
  <c r="C5787" i="10"/>
  <c r="C5786" i="10"/>
  <c r="C5785" i="10"/>
  <c r="C5784" i="10"/>
  <c r="C5783" i="10"/>
  <c r="C5782" i="10"/>
  <c r="C5781" i="10"/>
  <c r="C5780" i="10"/>
  <c r="C5779" i="10"/>
  <c r="C5777" i="10"/>
  <c r="C5773" i="10"/>
  <c r="C5772" i="10"/>
  <c r="C5771" i="10"/>
  <c r="C5770" i="10"/>
  <c r="C5769" i="10"/>
  <c r="C5768" i="10"/>
  <c r="C5767" i="10"/>
  <c r="C5766" i="10"/>
  <c r="C5765" i="10"/>
  <c r="C5764" i="10"/>
  <c r="C5762" i="10"/>
  <c r="C5761" i="10"/>
  <c r="C5760" i="10"/>
  <c r="C5758" i="10"/>
  <c r="C5757" i="10"/>
  <c r="C5753" i="10"/>
  <c r="C5752" i="10"/>
  <c r="C5747" i="10"/>
  <c r="C5743" i="10"/>
  <c r="C5742" i="10"/>
  <c r="C5741" i="10"/>
  <c r="C5740" i="10"/>
  <c r="C5739" i="10"/>
  <c r="C5738" i="10"/>
  <c r="C5737" i="10"/>
  <c r="C5736" i="10"/>
  <c r="C5735" i="10"/>
  <c r="C5734" i="10"/>
  <c r="C5733" i="10"/>
  <c r="C5732" i="10"/>
  <c r="C5731" i="10"/>
  <c r="C5730" i="10"/>
  <c r="C5728" i="10"/>
  <c r="C5727" i="10"/>
  <c r="C5726" i="10"/>
  <c r="C5725" i="10"/>
  <c r="C5724" i="10"/>
  <c r="C5723" i="10"/>
  <c r="C5722" i="10"/>
  <c r="C5721" i="10"/>
  <c r="C5720" i="10"/>
  <c r="C5719" i="10"/>
  <c r="C5718" i="10"/>
  <c r="C5717" i="10"/>
  <c r="C5716" i="10"/>
  <c r="C5715" i="10"/>
  <c r="C5714" i="10"/>
  <c r="C5713" i="10"/>
  <c r="C5712" i="10"/>
  <c r="C5711" i="10"/>
  <c r="C5710" i="10"/>
  <c r="C5709" i="10"/>
  <c r="C5708" i="10"/>
  <c r="C5707" i="10"/>
  <c r="C5706" i="10"/>
  <c r="C5705" i="10"/>
  <c r="C5704" i="10"/>
  <c r="C5703" i="10"/>
  <c r="C5702" i="10"/>
  <c r="C5701" i="10"/>
  <c r="C5700" i="10"/>
  <c r="C5699" i="10"/>
  <c r="C5697" i="10"/>
  <c r="C5696" i="10"/>
  <c r="C5695" i="10"/>
  <c r="C5694" i="10"/>
  <c r="C5693" i="10"/>
  <c r="C5692" i="10"/>
  <c r="C5691" i="10"/>
  <c r="C5690" i="10"/>
  <c r="C5688" i="10"/>
  <c r="C5687" i="10"/>
  <c r="C5686" i="10"/>
  <c r="C5685" i="10"/>
  <c r="C5684" i="10"/>
  <c r="C5683" i="10"/>
  <c r="C5682" i="10"/>
  <c r="C5681" i="10"/>
  <c r="C5680" i="10"/>
  <c r="C5679" i="10"/>
  <c r="C5678" i="10"/>
  <c r="C5677" i="10"/>
  <c r="C5676" i="10"/>
  <c r="C5675" i="10"/>
  <c r="C5674" i="10"/>
  <c r="C5673" i="10"/>
  <c r="C5672" i="10"/>
  <c r="C5671" i="10"/>
  <c r="C5670" i="10"/>
  <c r="C5669" i="10"/>
  <c r="C5668" i="10"/>
  <c r="C5667" i="10"/>
  <c r="C5666" i="10"/>
  <c r="C5660" i="10"/>
  <c r="C5659" i="10"/>
  <c r="C5658" i="10"/>
  <c r="C5657" i="10"/>
  <c r="C5656" i="10"/>
  <c r="C5655" i="10"/>
  <c r="C5654" i="10"/>
  <c r="C5653" i="10"/>
  <c r="C5652" i="10"/>
  <c r="C5651" i="10"/>
  <c r="C5629" i="10"/>
  <c r="C5628" i="10"/>
  <c r="C5627" i="10"/>
  <c r="C5626" i="10"/>
  <c r="C5625" i="10"/>
  <c r="C5624" i="10"/>
  <c r="C5623" i="10"/>
  <c r="C5622" i="10"/>
  <c r="C5621" i="10"/>
  <c r="C5620" i="10"/>
  <c r="C5619" i="10"/>
  <c r="C5616" i="10"/>
  <c r="C5615" i="10"/>
  <c r="C5614" i="10"/>
  <c r="C5611" i="10"/>
  <c r="C5608" i="10"/>
  <c r="C5604" i="10"/>
  <c r="C5602" i="10"/>
  <c r="C5601" i="10"/>
  <c r="C5600" i="10"/>
  <c r="C5599" i="10"/>
  <c r="C5598" i="10"/>
  <c r="C5597" i="10"/>
  <c r="C5596" i="10"/>
  <c r="C5593" i="10"/>
  <c r="C5592" i="10"/>
  <c r="C5591" i="10"/>
  <c r="C5590" i="10"/>
  <c r="C5589" i="10"/>
  <c r="C5588" i="10"/>
  <c r="C5587" i="10"/>
  <c r="C5582" i="10"/>
  <c r="C5578" i="10"/>
  <c r="C5576" i="10"/>
  <c r="C5575" i="10"/>
  <c r="C5574" i="10"/>
  <c r="C5573" i="10"/>
  <c r="C5572" i="10"/>
  <c r="C5571" i="10"/>
  <c r="C5570" i="10"/>
  <c r="C5569" i="10"/>
  <c r="C5568" i="10"/>
  <c r="C5567" i="10"/>
  <c r="C5565" i="10"/>
  <c r="C5564" i="10"/>
  <c r="C5563" i="10"/>
  <c r="C5562" i="10"/>
  <c r="C5561" i="10"/>
  <c r="C5560" i="10"/>
  <c r="C5559" i="10"/>
  <c r="C5558" i="10"/>
  <c r="C5557" i="10"/>
  <c r="C5556" i="10"/>
  <c r="C5555" i="10"/>
  <c r="C5554" i="10"/>
  <c r="C5553" i="10"/>
  <c r="C5552" i="10"/>
  <c r="C5551" i="10"/>
  <c r="C5550" i="10"/>
  <c r="C5548" i="10"/>
  <c r="C5547" i="10"/>
  <c r="C5546" i="10"/>
  <c r="C5545" i="10"/>
  <c r="C5543" i="10"/>
  <c r="C5542" i="10"/>
  <c r="C5541" i="10"/>
  <c r="C5540" i="10"/>
  <c r="C5538" i="10"/>
  <c r="C5534" i="10"/>
  <c r="C5532" i="10"/>
  <c r="C5528" i="10"/>
  <c r="C5527" i="10"/>
  <c r="C5526" i="10"/>
  <c r="C5525" i="10"/>
  <c r="C5524" i="10"/>
  <c r="C5523" i="10"/>
  <c r="C5522" i="10"/>
  <c r="C5521" i="10"/>
  <c r="C5519" i="10"/>
  <c r="C5518" i="10"/>
  <c r="C5517" i="10"/>
  <c r="C5515" i="10"/>
  <c r="C5514" i="10"/>
  <c r="C5513" i="10"/>
  <c r="C5511" i="10"/>
  <c r="C5510" i="10"/>
  <c r="C5509" i="10"/>
  <c r="C5507" i="10"/>
  <c r="C5506" i="10"/>
  <c r="C5505" i="10"/>
  <c r="C5499" i="10"/>
  <c r="C5498" i="10"/>
  <c r="C5497" i="10"/>
  <c r="C5496" i="10"/>
  <c r="C5495" i="10"/>
  <c r="C5494" i="10"/>
  <c r="C5493" i="10"/>
  <c r="C5492" i="10"/>
  <c r="C5491" i="10"/>
  <c r="C5490" i="10"/>
  <c r="C5489" i="10"/>
  <c r="C5488" i="10"/>
  <c r="C5487" i="10"/>
  <c r="C5486" i="10"/>
  <c r="C5485" i="10"/>
  <c r="C5484" i="10"/>
  <c r="C5483" i="10"/>
  <c r="C5482" i="10"/>
  <c r="C5481" i="10"/>
  <c r="C5480" i="10"/>
  <c r="C5477" i="10"/>
  <c r="C5476" i="10"/>
  <c r="C5474" i="10"/>
  <c r="C5473" i="10"/>
  <c r="C5472" i="10"/>
  <c r="C5471" i="10"/>
  <c r="C5470" i="10"/>
  <c r="C5469" i="10"/>
  <c r="C5467" i="10"/>
  <c r="C5466" i="10"/>
  <c r="C5464" i="10"/>
  <c r="C5463" i="10"/>
  <c r="C5462" i="10"/>
  <c r="C5461" i="10"/>
  <c r="C5460" i="10"/>
  <c r="C5459" i="10"/>
  <c r="C5458" i="10"/>
  <c r="C5457" i="10"/>
  <c r="C5454" i="10"/>
  <c r="C5451" i="10"/>
  <c r="C5447" i="10"/>
  <c r="C5446" i="10"/>
  <c r="C5445" i="10"/>
  <c r="C5442" i="10"/>
  <c r="C5441" i="10"/>
  <c r="C5440" i="10"/>
  <c r="C5438" i="10"/>
  <c r="C5437" i="10"/>
  <c r="C5436" i="10"/>
  <c r="C5435" i="10"/>
  <c r="C5434" i="10"/>
  <c r="C5432" i="10"/>
  <c r="C5431" i="10"/>
  <c r="C5430" i="10"/>
  <c r="C5429" i="10"/>
  <c r="C5428" i="10"/>
  <c r="C5426" i="10"/>
  <c r="C5425" i="10"/>
  <c r="C5424" i="10"/>
  <c r="C5423" i="10"/>
  <c r="C5422" i="10"/>
  <c r="C5420" i="10"/>
  <c r="C5419" i="10"/>
  <c r="C5418" i="10"/>
  <c r="C5417" i="10"/>
  <c r="C5416" i="10"/>
  <c r="C5413" i="10"/>
  <c r="C5407" i="10"/>
  <c r="C5406" i="10"/>
  <c r="C5405" i="10"/>
  <c r="C5402" i="10"/>
  <c r="C5395" i="10"/>
  <c r="C5394" i="10"/>
  <c r="C5393" i="10"/>
  <c r="C5392" i="10"/>
  <c r="C5391" i="10"/>
  <c r="C5385" i="10"/>
  <c r="C5384" i="10"/>
  <c r="C5383" i="10"/>
  <c r="C5382" i="10"/>
  <c r="C5381" i="10"/>
  <c r="C5380" i="10"/>
  <c r="C5378" i="10"/>
  <c r="C5377" i="10"/>
  <c r="C5376" i="10"/>
  <c r="C5375" i="10"/>
  <c r="C5374" i="10"/>
  <c r="C5372" i="10"/>
  <c r="C5371" i="10"/>
  <c r="C5370" i="10"/>
  <c r="C5369" i="10"/>
  <c r="C5368" i="10"/>
  <c r="C5367" i="10"/>
  <c r="C5365" i="10"/>
  <c r="C5364" i="10"/>
  <c r="C5363" i="10"/>
  <c r="C5362" i="10"/>
  <c r="C5361" i="10"/>
  <c r="C5360" i="10"/>
  <c r="C5357" i="10"/>
  <c r="C5356" i="10"/>
  <c r="C5355" i="10"/>
  <c r="C5354" i="10"/>
  <c r="C5353" i="10"/>
  <c r="C5352" i="10"/>
  <c r="C5351" i="10"/>
  <c r="C5350" i="10"/>
  <c r="C5349" i="10"/>
  <c r="C5348" i="10"/>
  <c r="C5347" i="10"/>
  <c r="C5346" i="10"/>
  <c r="C5345" i="10"/>
  <c r="C5344" i="10"/>
  <c r="C5343" i="10"/>
  <c r="C5341" i="10"/>
  <c r="C5340" i="10"/>
  <c r="C5339" i="10"/>
  <c r="C5338" i="10"/>
  <c r="C5337" i="10"/>
  <c r="C5336" i="10"/>
  <c r="C5335" i="10"/>
  <c r="C5334" i="10"/>
  <c r="C5333" i="10"/>
  <c r="C5332" i="10"/>
  <c r="C5331" i="10"/>
  <c r="C5330" i="10"/>
  <c r="C5329" i="10"/>
  <c r="C5328" i="10"/>
  <c r="C5327" i="10"/>
  <c r="C5325" i="10"/>
  <c r="C5324" i="10"/>
  <c r="C5323" i="10"/>
  <c r="C5322" i="10"/>
  <c r="C5321" i="10"/>
  <c r="C5320" i="10"/>
  <c r="C5319" i="10"/>
  <c r="C5318" i="10"/>
  <c r="C5317" i="10"/>
  <c r="C5316" i="10"/>
  <c r="C5315" i="10"/>
  <c r="C5314" i="10"/>
  <c r="C5313" i="10"/>
  <c r="C5312" i="10"/>
  <c r="C5311" i="10"/>
  <c r="C5309" i="10"/>
  <c r="C5308" i="10"/>
  <c r="C5307" i="10"/>
  <c r="C5306" i="10"/>
  <c r="C5305" i="10"/>
  <c r="C5304" i="10"/>
  <c r="C5303" i="10"/>
  <c r="C5302" i="10"/>
  <c r="C5301" i="10"/>
  <c r="C5300" i="10"/>
  <c r="C5299" i="10"/>
  <c r="C5298" i="10"/>
  <c r="C5297" i="10"/>
  <c r="C5296" i="10"/>
  <c r="C5295" i="10"/>
  <c r="C5294" i="10"/>
  <c r="C5293" i="10"/>
  <c r="C5292" i="10"/>
  <c r="C5291" i="10"/>
  <c r="C5290" i="10"/>
  <c r="C5289" i="10"/>
  <c r="C5288" i="10"/>
  <c r="C5287" i="10"/>
  <c r="C5286" i="10"/>
  <c r="C5285" i="10"/>
  <c r="C5284" i="10"/>
  <c r="C5283" i="10"/>
  <c r="C5282" i="10"/>
  <c r="C5281" i="10"/>
  <c r="C5280" i="10"/>
  <c r="C5278" i="10"/>
  <c r="C5277" i="10"/>
  <c r="C5276" i="10"/>
  <c r="C5275" i="10"/>
  <c r="C5274" i="10"/>
  <c r="C5273" i="10"/>
  <c r="C5272" i="10"/>
  <c r="C5271" i="10"/>
  <c r="C5269" i="10"/>
  <c r="C5268" i="10"/>
  <c r="C5267" i="10"/>
  <c r="C5266" i="10"/>
  <c r="C5265" i="10"/>
  <c r="C5264" i="10"/>
  <c r="C5263" i="10"/>
  <c r="C5262" i="10"/>
  <c r="C5260" i="10"/>
  <c r="C5259" i="10"/>
  <c r="C5258" i="10"/>
  <c r="C5257" i="10"/>
  <c r="C5256" i="10"/>
  <c r="C5255" i="10"/>
  <c r="C5254" i="10"/>
  <c r="C5253" i="10"/>
  <c r="C5247" i="10"/>
  <c r="C5246" i="10"/>
  <c r="C5245" i="10"/>
  <c r="C5244" i="10"/>
  <c r="C5243" i="10"/>
  <c r="C5242" i="10"/>
  <c r="C5241" i="10"/>
  <c r="C5240" i="10"/>
  <c r="C5234" i="10"/>
  <c r="C5233" i="10"/>
  <c r="C5232" i="10"/>
  <c r="C5231" i="10"/>
  <c r="C5230" i="10"/>
  <c r="C5229" i="10"/>
  <c r="C5228" i="10"/>
  <c r="C5227" i="10"/>
  <c r="C5225" i="10"/>
  <c r="C5224" i="10"/>
  <c r="C5223" i="10"/>
  <c r="C5222" i="10"/>
  <c r="C5221" i="10"/>
  <c r="C5220" i="10"/>
  <c r="C5219" i="10"/>
  <c r="C5218" i="10"/>
  <c r="C5217" i="10"/>
  <c r="C5216" i="10"/>
  <c r="C5214" i="10"/>
  <c r="C5213" i="10"/>
  <c r="C5212" i="10"/>
  <c r="C5211" i="10"/>
  <c r="C5210" i="10"/>
  <c r="C5209" i="10"/>
  <c r="C5208" i="10"/>
  <c r="C5207" i="10"/>
  <c r="C5206" i="10"/>
  <c r="C5205" i="10"/>
  <c r="C5204" i="10"/>
  <c r="C5203" i="10"/>
  <c r="C5202" i="10"/>
  <c r="C5201" i="10"/>
  <c r="C5200" i="10"/>
  <c r="C5199" i="10"/>
  <c r="C5198" i="10"/>
  <c r="C5197" i="10"/>
  <c r="C5196" i="10"/>
  <c r="C5195" i="10"/>
  <c r="C5194" i="10"/>
  <c r="C5193" i="10"/>
  <c r="C5192" i="10"/>
  <c r="C5191" i="10"/>
  <c r="C5190" i="10"/>
  <c r="C5188" i="10"/>
  <c r="C5187" i="10"/>
  <c r="C5186" i="10"/>
  <c r="C5185" i="10"/>
  <c r="C5183" i="10"/>
  <c r="C5182" i="10"/>
  <c r="C5181" i="10"/>
  <c r="C5180" i="10"/>
  <c r="C5179" i="10"/>
  <c r="C5178" i="10"/>
  <c r="C5177" i="10"/>
  <c r="C5176" i="10"/>
  <c r="C5175" i="10"/>
  <c r="C5174" i="10"/>
  <c r="C5173" i="10"/>
  <c r="C5172" i="10"/>
  <c r="C5171" i="10"/>
  <c r="C5169" i="10"/>
  <c r="C5168" i="10"/>
  <c r="C5167" i="10"/>
  <c r="C5165" i="10"/>
  <c r="C5164" i="10"/>
  <c r="C5163" i="10"/>
  <c r="C5162" i="10"/>
  <c r="C5161" i="10"/>
  <c r="C5160" i="10"/>
  <c r="C5159" i="10"/>
  <c r="C5158" i="10"/>
  <c r="C5157" i="10"/>
  <c r="C5156" i="10"/>
  <c r="C5154" i="10"/>
  <c r="C5153" i="10"/>
  <c r="C5151" i="10"/>
  <c r="C5150" i="10"/>
  <c r="C5149" i="10"/>
  <c r="C5148" i="10"/>
  <c r="C5147" i="10"/>
  <c r="C5145" i="10"/>
  <c r="C5144" i="10"/>
  <c r="C5143" i="10"/>
  <c r="C5142" i="10"/>
  <c r="C5141" i="10"/>
  <c r="C5140" i="10"/>
  <c r="C5139" i="10"/>
  <c r="C5138" i="10"/>
  <c r="C5137" i="10"/>
  <c r="C5136" i="10"/>
  <c r="C5135" i="10"/>
  <c r="C5134" i="10"/>
  <c r="C5133" i="10"/>
  <c r="C5131" i="10"/>
  <c r="C5130" i="10"/>
  <c r="C5129" i="10"/>
  <c r="C5128" i="10"/>
  <c r="C5127" i="10"/>
  <c r="C5126" i="10"/>
  <c r="C5125" i="10"/>
  <c r="C5124" i="10"/>
  <c r="C5123" i="10"/>
  <c r="C5122" i="10"/>
  <c r="C5121" i="10"/>
  <c r="C5120" i="10"/>
  <c r="C5119" i="10"/>
  <c r="C5118" i="10"/>
  <c r="C5117" i="10"/>
  <c r="C5116" i="10"/>
  <c r="C5115" i="10"/>
  <c r="C5114" i="10"/>
  <c r="C5113" i="10"/>
  <c r="C5112" i="10"/>
  <c r="C5111" i="10"/>
  <c r="C5110" i="10"/>
  <c r="C5109" i="10"/>
  <c r="C5108" i="10"/>
  <c r="C5107" i="10"/>
  <c r="C5106" i="10"/>
  <c r="C5105" i="10"/>
  <c r="C5104" i="10"/>
  <c r="C5103" i="10"/>
  <c r="C5102" i="10"/>
  <c r="C5101" i="10"/>
  <c r="C5100" i="10"/>
  <c r="C5099" i="10"/>
  <c r="C5098" i="10"/>
  <c r="C5097" i="10"/>
  <c r="C5096" i="10"/>
  <c r="C5095" i="10"/>
  <c r="C5094" i="10"/>
  <c r="C5093" i="10"/>
  <c r="C5092" i="10"/>
  <c r="C5091" i="10"/>
  <c r="C5090" i="10"/>
  <c r="C5089" i="10"/>
  <c r="C5088" i="10"/>
  <c r="C5087" i="10"/>
  <c r="C5086" i="10"/>
  <c r="C5085" i="10"/>
  <c r="C5084" i="10"/>
  <c r="C5083" i="10"/>
  <c r="C5082" i="10"/>
  <c r="C5081" i="10"/>
  <c r="C5080" i="10"/>
  <c r="C5079" i="10"/>
  <c r="C5078" i="10"/>
  <c r="C5077" i="10"/>
  <c r="C5076" i="10"/>
  <c r="C5075" i="10"/>
  <c r="C5074" i="10"/>
  <c r="C5073" i="10"/>
  <c r="C5072" i="10"/>
  <c r="C5071" i="10"/>
  <c r="C5070" i="10"/>
  <c r="C5069" i="10"/>
  <c r="C5068" i="10"/>
  <c r="C5067" i="10"/>
  <c r="C5066" i="10"/>
  <c r="C5060" i="10"/>
  <c r="C5059" i="10"/>
  <c r="C5058" i="10"/>
  <c r="C5057" i="10"/>
  <c r="C5055" i="10"/>
  <c r="C5049" i="10"/>
  <c r="C5048" i="10"/>
  <c r="C5047" i="10"/>
  <c r="C5046" i="10"/>
  <c r="C5045" i="10"/>
  <c r="C5044" i="10"/>
  <c r="C5043" i="10"/>
  <c r="C5042" i="10"/>
  <c r="C5041" i="10"/>
  <c r="C5040" i="10"/>
  <c r="C5039" i="10"/>
  <c r="C5038" i="10"/>
  <c r="C5037" i="10"/>
  <c r="C5036" i="10"/>
  <c r="C5035" i="10"/>
  <c r="C5031" i="10"/>
  <c r="C5028" i="10"/>
  <c r="C5027" i="10"/>
  <c r="C5026" i="10"/>
  <c r="C5025" i="10"/>
  <c r="C5024" i="10"/>
  <c r="C5023" i="10"/>
  <c r="C5022" i="10"/>
  <c r="C5021" i="10"/>
  <c r="C5020" i="10"/>
  <c r="C5019" i="10"/>
  <c r="C5018" i="10"/>
  <c r="C5017" i="10"/>
  <c r="C5016" i="10"/>
  <c r="C5015" i="10"/>
  <c r="C5014" i="10"/>
  <c r="C5013" i="10"/>
  <c r="C5012" i="10"/>
  <c r="C5011" i="10"/>
  <c r="C5010" i="10"/>
  <c r="C5009" i="10"/>
  <c r="C5008" i="10"/>
  <c r="C5001" i="10"/>
  <c r="C4999" i="10"/>
  <c r="C4996" i="10"/>
  <c r="C4995" i="10"/>
  <c r="C4994" i="10"/>
  <c r="C4993" i="10"/>
  <c r="C4992" i="10"/>
  <c r="C4991" i="10"/>
  <c r="C4990" i="10"/>
  <c r="C4989" i="10"/>
  <c r="C4988" i="10"/>
  <c r="C4987" i="10"/>
  <c r="C4986" i="10"/>
  <c r="C4985" i="10"/>
  <c r="C4983" i="10"/>
  <c r="C4981" i="10"/>
  <c r="C4980" i="10"/>
  <c r="C4979" i="10"/>
  <c r="C4977" i="10"/>
  <c r="C4976" i="10"/>
  <c r="C4975" i="10"/>
  <c r="C4974" i="10"/>
  <c r="C4973" i="10"/>
  <c r="C4971" i="10"/>
  <c r="C4970" i="10"/>
  <c r="C4969" i="10"/>
  <c r="C4968" i="10"/>
  <c r="C4967" i="10"/>
  <c r="C4965" i="10"/>
  <c r="C4964" i="10"/>
  <c r="C4963" i="10"/>
  <c r="C4962" i="10"/>
  <c r="C4961" i="10"/>
  <c r="C4959" i="10"/>
  <c r="C4958" i="10"/>
  <c r="C4957" i="10"/>
  <c r="C4956" i="10"/>
  <c r="C4954" i="10"/>
  <c r="C4953" i="10"/>
  <c r="C4952" i="10"/>
  <c r="C4951" i="10"/>
  <c r="C4949" i="10"/>
  <c r="C4948" i="10"/>
  <c r="C4947" i="10"/>
  <c r="C4946" i="10"/>
  <c r="C4945" i="10"/>
  <c r="C4943" i="10"/>
  <c r="C4942" i="10"/>
  <c r="C4941" i="10"/>
  <c r="C4940" i="10"/>
  <c r="C4938" i="10"/>
  <c r="C4937" i="10"/>
  <c r="C4936" i="10"/>
  <c r="C4935" i="10"/>
  <c r="C4933" i="10"/>
  <c r="C4932" i="10"/>
  <c r="C4931" i="10"/>
  <c r="C4929" i="10"/>
  <c r="C4922" i="10"/>
  <c r="C4920" i="10"/>
  <c r="C4917" i="10"/>
  <c r="C4916" i="10"/>
  <c r="C4915" i="10"/>
  <c r="C4914" i="10"/>
  <c r="C4913" i="10"/>
  <c r="C4912" i="10"/>
  <c r="C4911" i="10"/>
  <c r="C4910" i="10"/>
  <c r="C4908" i="10"/>
  <c r="C4907" i="10"/>
  <c r="C4905" i="10"/>
  <c r="C4904" i="10"/>
  <c r="C4903" i="10"/>
  <c r="C4901" i="10"/>
  <c r="C4900" i="10"/>
  <c r="C4899" i="10"/>
  <c r="C4898" i="10"/>
  <c r="C4897" i="10"/>
  <c r="C4896" i="10"/>
  <c r="C4894" i="10"/>
  <c r="C4893" i="10"/>
  <c r="C4892" i="10"/>
  <c r="C4891" i="10"/>
  <c r="C4890" i="10"/>
  <c r="C4888" i="10"/>
  <c r="C4887" i="10"/>
  <c r="C4886" i="10"/>
  <c r="C4885" i="10"/>
  <c r="C4884" i="10"/>
  <c r="C4883" i="10"/>
  <c r="C4881" i="10"/>
  <c r="C4880" i="10"/>
  <c r="C4879" i="10"/>
  <c r="C4878" i="10"/>
  <c r="C4877" i="10"/>
  <c r="C4876" i="10"/>
  <c r="C4874" i="10"/>
  <c r="C4873" i="10"/>
  <c r="C4872" i="10"/>
  <c r="C4871" i="10"/>
  <c r="C4870" i="10"/>
  <c r="C4869" i="10"/>
  <c r="C4868" i="10"/>
  <c r="C4866" i="10"/>
  <c r="C4864" i="10"/>
  <c r="C4863" i="10"/>
  <c r="C4862" i="10"/>
  <c r="C4861" i="10"/>
  <c r="C4860" i="10"/>
  <c r="C4859" i="10"/>
  <c r="C4858" i="10"/>
  <c r="C4857" i="10"/>
  <c r="C4855" i="10"/>
  <c r="C4854" i="10"/>
  <c r="C4853" i="10"/>
  <c r="C4852" i="10"/>
  <c r="C4851" i="10"/>
  <c r="C4850" i="10"/>
  <c r="C4849" i="10"/>
  <c r="C4848" i="10"/>
  <c r="C4846" i="10"/>
  <c r="C4845" i="10"/>
  <c r="C4843" i="10"/>
  <c r="C4841" i="10"/>
  <c r="C4840" i="10"/>
  <c r="C4839" i="10"/>
  <c r="C4838" i="10"/>
  <c r="C4837" i="10"/>
  <c r="C4836" i="10"/>
  <c r="C4835" i="10"/>
  <c r="C4834" i="10"/>
  <c r="C4833" i="10"/>
  <c r="C4832" i="10"/>
  <c r="C4831" i="10"/>
  <c r="C4830" i="10"/>
  <c r="C4829" i="10"/>
  <c r="C4828" i="10"/>
  <c r="C4827" i="10"/>
  <c r="C4826" i="10"/>
  <c r="C4825" i="10"/>
  <c r="C4824" i="10"/>
  <c r="C4823" i="10"/>
  <c r="C4822" i="10"/>
  <c r="C4820" i="10"/>
  <c r="C4819" i="10"/>
  <c r="C4818" i="10"/>
  <c r="C4817" i="10"/>
  <c r="C4816" i="10"/>
  <c r="C4815" i="10"/>
  <c r="C4814" i="10"/>
  <c r="C4813" i="10"/>
  <c r="C4812" i="10"/>
  <c r="C4811" i="10"/>
  <c r="C4810" i="10"/>
  <c r="C4809" i="10"/>
  <c r="C4808" i="10"/>
  <c r="C4807" i="10"/>
  <c r="C4806" i="10"/>
  <c r="C4805" i="10"/>
  <c r="C4803" i="10"/>
  <c r="C4802" i="10"/>
  <c r="C4801" i="10"/>
  <c r="C4800" i="10"/>
  <c r="C4799" i="10"/>
  <c r="C4798" i="10"/>
  <c r="C4797" i="10"/>
  <c r="C4795" i="10"/>
  <c r="C4794" i="10"/>
  <c r="C4793" i="10"/>
  <c r="C4792" i="10"/>
  <c r="C4791" i="10"/>
  <c r="C4785" i="10"/>
  <c r="C4784" i="10"/>
  <c r="C4777" i="10"/>
  <c r="C4771" i="10"/>
  <c r="C4770" i="10"/>
  <c r="C4766" i="10"/>
  <c r="C4763" i="10"/>
  <c r="C4760" i="10"/>
  <c r="C4759" i="10"/>
  <c r="C4753" i="10"/>
  <c r="C4751" i="10"/>
  <c r="C4748" i="10"/>
  <c r="C4747" i="10"/>
  <c r="C4746" i="10"/>
  <c r="C4745" i="10"/>
  <c r="C4743" i="10"/>
  <c r="C4742" i="10"/>
  <c r="C4740" i="10"/>
  <c r="C4739" i="10"/>
  <c r="C4738" i="10"/>
  <c r="C4736" i="10"/>
  <c r="C4735" i="10"/>
  <c r="C4734" i="10"/>
  <c r="C4730" i="10"/>
  <c r="C4729" i="10"/>
  <c r="C4726" i="10"/>
  <c r="C4725" i="10"/>
  <c r="C4724" i="10"/>
  <c r="C4722" i="10"/>
  <c r="C4721" i="10"/>
  <c r="C4720" i="10"/>
  <c r="C4713" i="10"/>
  <c r="C4711" i="10"/>
  <c r="C4708" i="10"/>
  <c r="C4707" i="10"/>
  <c r="C4706" i="10"/>
  <c r="C4705" i="10"/>
  <c r="C4703" i="10"/>
  <c r="C4702" i="10"/>
  <c r="C4700" i="10"/>
  <c r="C4699" i="10"/>
  <c r="C4698" i="10"/>
  <c r="C4697" i="10"/>
  <c r="C4696" i="10"/>
  <c r="C4694" i="10"/>
  <c r="C4691" i="10"/>
  <c r="C4690" i="10"/>
  <c r="C4689" i="10"/>
  <c r="C4686" i="10"/>
  <c r="C4684" i="10"/>
  <c r="C4683" i="10"/>
  <c r="C4682" i="10"/>
  <c r="C4675" i="10"/>
  <c r="C4674" i="10"/>
  <c r="C4673" i="10"/>
  <c r="C4672" i="10"/>
  <c r="C4671" i="10"/>
  <c r="C4670" i="10"/>
  <c r="C4668" i="10"/>
  <c r="C4666" i="10"/>
  <c r="C4665" i="10"/>
  <c r="C4664" i="10"/>
  <c r="C4663" i="10"/>
  <c r="C4661" i="10"/>
  <c r="C4659" i="10"/>
  <c r="C4655" i="10"/>
  <c r="C4652" i="10"/>
  <c r="C4651" i="10"/>
  <c r="C4650" i="10"/>
  <c r="C4649" i="10"/>
  <c r="C4648" i="10"/>
  <c r="C4646" i="10"/>
  <c r="C4645" i="10"/>
  <c r="C4644" i="10"/>
  <c r="C4643" i="10"/>
  <c r="C4642" i="10"/>
  <c r="C4641" i="10"/>
  <c r="C4640" i="10"/>
  <c r="C4639" i="10"/>
  <c r="C4637" i="10"/>
  <c r="C4636" i="10"/>
  <c r="C4635" i="10"/>
  <c r="C4633" i="10"/>
  <c r="C4631" i="10"/>
  <c r="C4629" i="10"/>
  <c r="C4628" i="10"/>
  <c r="C4626" i="10"/>
  <c r="C4613" i="10"/>
  <c r="C4612" i="10"/>
  <c r="C4611" i="10"/>
  <c r="C4610" i="10"/>
  <c r="C4609" i="10"/>
  <c r="C4606" i="10"/>
  <c r="C4605" i="10"/>
  <c r="C4604" i="10"/>
  <c r="C4603" i="10"/>
  <c r="C4602" i="10"/>
  <c r="C4601" i="10"/>
  <c r="C4600" i="10"/>
  <c r="C4599" i="10"/>
  <c r="C4598" i="10"/>
  <c r="C4595" i="10"/>
  <c r="C4594" i="10"/>
  <c r="C4593" i="10"/>
  <c r="C4591" i="10"/>
  <c r="C4589" i="10"/>
  <c r="C4587" i="10"/>
  <c r="C4586" i="10"/>
  <c r="C4584" i="10"/>
  <c r="C4583" i="10"/>
  <c r="C4582" i="10"/>
  <c r="C4581" i="10"/>
  <c r="C4580" i="10"/>
  <c r="C4578" i="10"/>
  <c r="C4577" i="10"/>
  <c r="C4570" i="10"/>
  <c r="C4569" i="10"/>
  <c r="C4568" i="10"/>
  <c r="C4567" i="10"/>
  <c r="C4566" i="10"/>
  <c r="C4563" i="10"/>
  <c r="C4562" i="10"/>
  <c r="C4561" i="10"/>
  <c r="C4560" i="10"/>
  <c r="C4559" i="10"/>
  <c r="C4558" i="10"/>
  <c r="C4555" i="10"/>
  <c r="C4554" i="10"/>
  <c r="C4552" i="10"/>
  <c r="C4550" i="10"/>
  <c r="C4548" i="10"/>
  <c r="C4547" i="10"/>
  <c r="C4545" i="10"/>
  <c r="C4544" i="10"/>
  <c r="C4543" i="10"/>
  <c r="C4542" i="10"/>
  <c r="C4541" i="10"/>
  <c r="C4539" i="10"/>
  <c r="C4538" i="10"/>
  <c r="C4531" i="10"/>
  <c r="C4530" i="10"/>
  <c r="C4529" i="10"/>
  <c r="C4528" i="10"/>
  <c r="C4527" i="10"/>
  <c r="C4525" i="10"/>
  <c r="C4524" i="10"/>
  <c r="C4522" i="10"/>
  <c r="C4521" i="10"/>
  <c r="C4520" i="10"/>
  <c r="C4519" i="10"/>
  <c r="C4518" i="10"/>
  <c r="C4517" i="10"/>
  <c r="C4514" i="10"/>
  <c r="C4513" i="10"/>
  <c r="C4511" i="10"/>
  <c r="C4509" i="10"/>
  <c r="C4507" i="10"/>
  <c r="C4506" i="10"/>
  <c r="C4504" i="10"/>
  <c r="C4503" i="10"/>
  <c r="C4502" i="10"/>
  <c r="C4501" i="10"/>
  <c r="C4500" i="10"/>
  <c r="C4498" i="10"/>
  <c r="C4497" i="10"/>
  <c r="C4472" i="10"/>
  <c r="C4471" i="10"/>
  <c r="C4470" i="10"/>
  <c r="C4469" i="10"/>
  <c r="C4468" i="10"/>
  <c r="C4467" i="10"/>
  <c r="C4466" i="10"/>
  <c r="C4465" i="10"/>
  <c r="C4464" i="10"/>
  <c r="C4463" i="10"/>
  <c r="C4462" i="10"/>
  <c r="C4461" i="10"/>
  <c r="C4460" i="10"/>
  <c r="C4459" i="10"/>
  <c r="C4458" i="10"/>
  <c r="C4457" i="10"/>
  <c r="C4456" i="10"/>
  <c r="C4450" i="10"/>
  <c r="C4448" i="10"/>
  <c r="C4438" i="10"/>
  <c r="C4437" i="10"/>
  <c r="C4435" i="10"/>
  <c r="C4434" i="10"/>
  <c r="C4433" i="10"/>
  <c r="C4432" i="10"/>
  <c r="C4431" i="10"/>
  <c r="C4429" i="10"/>
  <c r="C4428" i="10"/>
  <c r="C4427" i="10"/>
  <c r="C4425" i="10"/>
  <c r="C4424" i="10"/>
  <c r="C4423" i="10"/>
  <c r="C4422" i="10"/>
  <c r="C4420" i="10"/>
  <c r="C4419" i="10"/>
  <c r="C4418" i="10"/>
  <c r="C4416" i="10"/>
  <c r="C4415" i="10"/>
  <c r="C4414" i="10"/>
  <c r="C4412" i="10"/>
  <c r="C4411" i="10"/>
  <c r="C4410" i="10"/>
  <c r="C4409" i="10"/>
  <c r="C4408" i="10"/>
  <c r="C4406" i="10"/>
  <c r="C4405" i="10"/>
  <c r="C4404" i="10"/>
  <c r="C4403" i="10"/>
  <c r="C4402" i="10"/>
  <c r="C4401" i="10"/>
  <c r="C4400" i="10"/>
  <c r="C4399" i="10"/>
  <c r="C4398" i="10"/>
  <c r="C4397" i="10"/>
  <c r="C4396" i="10"/>
  <c r="C4395" i="10"/>
  <c r="C4394" i="10"/>
  <c r="C4393" i="10"/>
  <c r="C4385" i="10"/>
  <c r="C4384" i="10"/>
  <c r="C4383" i="10"/>
  <c r="C4378" i="10"/>
  <c r="C4377" i="10"/>
  <c r="C4376" i="10"/>
  <c r="C4375" i="10"/>
  <c r="C4374" i="10"/>
  <c r="C4372" i="10"/>
  <c r="C4371" i="10"/>
  <c r="C4365" i="10"/>
  <c r="C4364" i="10"/>
  <c r="C4363" i="10"/>
  <c r="C4358" i="10"/>
  <c r="C4356" i="10"/>
  <c r="C4354" i="10"/>
  <c r="C4353" i="10"/>
  <c r="C4352" i="10"/>
  <c r="C4351" i="10"/>
  <c r="C4350" i="10"/>
  <c r="C4348" i="10"/>
  <c r="C4347" i="10"/>
  <c r="C4345" i="10"/>
  <c r="C4344" i="10"/>
  <c r="C4338" i="10"/>
  <c r="C4337" i="10"/>
  <c r="C4336" i="10"/>
  <c r="C4335" i="10"/>
  <c r="C4334" i="10"/>
  <c r="C4333" i="10"/>
  <c r="C4332" i="10"/>
  <c r="C4331" i="10"/>
  <c r="C4330" i="10"/>
  <c r="C4329" i="10"/>
  <c r="C4328" i="10"/>
  <c r="C4327" i="10"/>
  <c r="C4326" i="10"/>
  <c r="C4325" i="10"/>
  <c r="C4324" i="10"/>
  <c r="C4323" i="10"/>
  <c r="C4322" i="10"/>
  <c r="C4321" i="10"/>
  <c r="C4319" i="10"/>
  <c r="C4318" i="10"/>
  <c r="C4317" i="10"/>
  <c r="C4316" i="10"/>
  <c r="C4315" i="10"/>
  <c r="C4314" i="10"/>
  <c r="C4313" i="10"/>
  <c r="C4312" i="10"/>
  <c r="C4311" i="10"/>
  <c r="C4309" i="10"/>
  <c r="C4308" i="10"/>
  <c r="C4307" i="10"/>
  <c r="C4305" i="10"/>
  <c r="C4303" i="10"/>
  <c r="C4302" i="10"/>
  <c r="C4301" i="10"/>
  <c r="C4300" i="10"/>
  <c r="C4299" i="10"/>
  <c r="C4298" i="10"/>
  <c r="C4297" i="10"/>
  <c r="C4296" i="10"/>
  <c r="C4295" i="10"/>
  <c r="C4294" i="10"/>
  <c r="C4293" i="10"/>
  <c r="C4292" i="10"/>
  <c r="C4291" i="10"/>
  <c r="C4290" i="10"/>
  <c r="C4289" i="10"/>
  <c r="C4288" i="10"/>
  <c r="C4287" i="10"/>
  <c r="C4286" i="10"/>
  <c r="C4285" i="10"/>
  <c r="C4284" i="10"/>
  <c r="C4283" i="10"/>
  <c r="C4282" i="10"/>
  <c r="C4281" i="10"/>
  <c r="C4280" i="10"/>
  <c r="C4279" i="10"/>
  <c r="C4278" i="10"/>
  <c r="C4277" i="10"/>
  <c r="C4275" i="10"/>
  <c r="C4274" i="10"/>
  <c r="C4273" i="10"/>
  <c r="C4272" i="10"/>
  <c r="C4271" i="10"/>
  <c r="C4270" i="10"/>
  <c r="C4269" i="10"/>
  <c r="C4268" i="10"/>
  <c r="C4267" i="10"/>
  <c r="C4266" i="10"/>
  <c r="C4265" i="10"/>
  <c r="C4264" i="10"/>
  <c r="C4262" i="10"/>
  <c r="C4261" i="10"/>
  <c r="C4260" i="10"/>
  <c r="C4259" i="10"/>
  <c r="C4258" i="10"/>
  <c r="C4257" i="10"/>
  <c r="C4256" i="10"/>
  <c r="C4255" i="10"/>
  <c r="C4254" i="10"/>
  <c r="C4253" i="10"/>
  <c r="C4252" i="10"/>
  <c r="C4251" i="10"/>
  <c r="C4250" i="10"/>
  <c r="C4249" i="10"/>
  <c r="C4248" i="10"/>
  <c r="C4247" i="10"/>
  <c r="C4246" i="10"/>
  <c r="C4245" i="10"/>
  <c r="C4244" i="10"/>
  <c r="C4243" i="10"/>
  <c r="C4242" i="10"/>
  <c r="C4241" i="10"/>
  <c r="C4240" i="10"/>
  <c r="C4239" i="10"/>
  <c r="C4238" i="10"/>
  <c r="C4237" i="10"/>
  <c r="C4231" i="10"/>
  <c r="C4230" i="10"/>
  <c r="C4229" i="10"/>
  <c r="C4227" i="10"/>
  <c r="C4226" i="10"/>
  <c r="C4225" i="10"/>
  <c r="C4224" i="10"/>
  <c r="C4223" i="10"/>
  <c r="C4222" i="10"/>
  <c r="C4216" i="10"/>
  <c r="C4215" i="10"/>
  <c r="C4214" i="10"/>
  <c r="C4207" i="10"/>
  <c r="C4204" i="10"/>
  <c r="C4201" i="10"/>
  <c r="C4191" i="10"/>
  <c r="C4190" i="10"/>
  <c r="C4188" i="10"/>
  <c r="C4187" i="10"/>
  <c r="C4186" i="10"/>
  <c r="C4185" i="10"/>
  <c r="C4179" i="10"/>
  <c r="C4175" i="10"/>
  <c r="C4174" i="10"/>
  <c r="C4171" i="10"/>
  <c r="C4170" i="10"/>
  <c r="C4169" i="10"/>
  <c r="C4168" i="10"/>
  <c r="C4167" i="10"/>
  <c r="C4166" i="10"/>
  <c r="C4165" i="10"/>
  <c r="C4164" i="10"/>
  <c r="C4163" i="10"/>
  <c r="C4162" i="10"/>
  <c r="C4161" i="10"/>
  <c r="C4160" i="10"/>
  <c r="C4158" i="10"/>
  <c r="C4157" i="10"/>
  <c r="C4156" i="10"/>
  <c r="C4155" i="10"/>
  <c r="C4154" i="10"/>
  <c r="C4153" i="10"/>
  <c r="C4152" i="10"/>
  <c r="C4151" i="10"/>
  <c r="C4150" i="10"/>
  <c r="C4148" i="10"/>
  <c r="C4142" i="10"/>
  <c r="C4141" i="10"/>
  <c r="C4140" i="10"/>
  <c r="C4139" i="10"/>
  <c r="C4138" i="10"/>
  <c r="C4137" i="10"/>
  <c r="C4136" i="10"/>
  <c r="C4135" i="10"/>
  <c r="C4134" i="10"/>
  <c r="C4133" i="10"/>
  <c r="C4132" i="10"/>
  <c r="C4131" i="10"/>
  <c r="C4130" i="10"/>
  <c r="C4129" i="10"/>
  <c r="C4128" i="10"/>
  <c r="C4127" i="10"/>
  <c r="C4126" i="10"/>
  <c r="C4125" i="10"/>
  <c r="C4124" i="10"/>
  <c r="C4123" i="10"/>
  <c r="C4122" i="10"/>
  <c r="C4121" i="10"/>
  <c r="C4120" i="10"/>
  <c r="C4119" i="10"/>
  <c r="C4118" i="10"/>
  <c r="C4117" i="10"/>
  <c r="C4116" i="10"/>
  <c r="C4114" i="10"/>
  <c r="C4112" i="10"/>
  <c r="C4111" i="10"/>
  <c r="C4110" i="10"/>
  <c r="C4109" i="10"/>
  <c r="C4108" i="10"/>
  <c r="C4107" i="10"/>
  <c r="C4106" i="10"/>
  <c r="C4105" i="10"/>
  <c r="C4104" i="10"/>
  <c r="C4103" i="10"/>
  <c r="C4102" i="10"/>
  <c r="C4101" i="10"/>
  <c r="C4100" i="10"/>
  <c r="C4099" i="10"/>
  <c r="C4098" i="10"/>
  <c r="C4097" i="10"/>
  <c r="C4096" i="10"/>
  <c r="C4095" i="10"/>
  <c r="C4094" i="10"/>
  <c r="C4092" i="10"/>
  <c r="C4091" i="10"/>
  <c r="C4090" i="10"/>
  <c r="C4089" i="10"/>
  <c r="C4088" i="10"/>
  <c r="C4087" i="10"/>
  <c r="C4086" i="10"/>
  <c r="C4085" i="10"/>
  <c r="C4084" i="10"/>
  <c r="C4083" i="10"/>
  <c r="C4082" i="10"/>
  <c r="C4081" i="10"/>
  <c r="C4080" i="10"/>
  <c r="C4079" i="10"/>
  <c r="C4078" i="10"/>
  <c r="C4077" i="10"/>
  <c r="C4076" i="10"/>
  <c r="C4075" i="10"/>
  <c r="C4074" i="10"/>
  <c r="C4073" i="10"/>
  <c r="C4072" i="10"/>
  <c r="C4070" i="10"/>
  <c r="C4069" i="10"/>
  <c r="C4068" i="10"/>
  <c r="C4067" i="10"/>
  <c r="C4066" i="10"/>
  <c r="C4065" i="10"/>
  <c r="C4064" i="10"/>
  <c r="C4063" i="10"/>
  <c r="C4061" i="10"/>
  <c r="C4060" i="10"/>
  <c r="C4059" i="10"/>
  <c r="C4058" i="10"/>
  <c r="C4057" i="10"/>
  <c r="C4056" i="10"/>
  <c r="C4055" i="10"/>
  <c r="C4054" i="10"/>
  <c r="C4053" i="10"/>
  <c r="C4052" i="10"/>
  <c r="C4051" i="10"/>
  <c r="C4049" i="10"/>
  <c r="C4048" i="10"/>
  <c r="C4047" i="10"/>
  <c r="C4046" i="10"/>
  <c r="C4045" i="10"/>
  <c r="C4044" i="10"/>
  <c r="C4043" i="10"/>
  <c r="C4042" i="10"/>
  <c r="C4041" i="10"/>
  <c r="C4040" i="10"/>
  <c r="C4038" i="10"/>
  <c r="C4037" i="10"/>
  <c r="C4036" i="10"/>
  <c r="C4035" i="10"/>
  <c r="C4034" i="10"/>
  <c r="C4033" i="10"/>
  <c r="C4032" i="10"/>
  <c r="C4031" i="10"/>
  <c r="C4030" i="10"/>
  <c r="C4029" i="10"/>
  <c r="C4028" i="10"/>
  <c r="C4027" i="10"/>
  <c r="C4026" i="10"/>
  <c r="C4025" i="10"/>
  <c r="C4024" i="10"/>
  <c r="C4023" i="10"/>
  <c r="C4022" i="10"/>
  <c r="C4020" i="10"/>
  <c r="C4019" i="10"/>
  <c r="C4018" i="10"/>
  <c r="C4017" i="10"/>
  <c r="C4016" i="10"/>
  <c r="C4015" i="10"/>
  <c r="C4014" i="10"/>
  <c r="C4013" i="10"/>
  <c r="C4012" i="10"/>
  <c r="C4011" i="10"/>
  <c r="C4009" i="10"/>
  <c r="C4008" i="10"/>
  <c r="C4007" i="10"/>
  <c r="C4006" i="10"/>
  <c r="C4005" i="10"/>
  <c r="C4003" i="10"/>
  <c r="C4002" i="10"/>
  <c r="C4001" i="10"/>
  <c r="C4000" i="10"/>
  <c r="C3999" i="10"/>
  <c r="C3998" i="10"/>
  <c r="C3996" i="10"/>
  <c r="C3993" i="10"/>
  <c r="C3992" i="10"/>
  <c r="C3991" i="10"/>
  <c r="C3989" i="10"/>
  <c r="C3985" i="10"/>
  <c r="C3984" i="10"/>
  <c r="C3983" i="10"/>
  <c r="C3982" i="10"/>
  <c r="C3981" i="10"/>
  <c r="C3980" i="10"/>
  <c r="C3979" i="10"/>
  <c r="C3978" i="10"/>
  <c r="C3977" i="10"/>
  <c r="C3976" i="10"/>
  <c r="C3975" i="10"/>
  <c r="C3974" i="10"/>
  <c r="C3973" i="10"/>
  <c r="C3972" i="10"/>
  <c r="C3971" i="10"/>
  <c r="C3970" i="10"/>
  <c r="C3969" i="10"/>
  <c r="C3968" i="10"/>
  <c r="C3967" i="10"/>
  <c r="C3966" i="10"/>
  <c r="C3965" i="10"/>
  <c r="C3964" i="10"/>
  <c r="C3963" i="10"/>
  <c r="C3962" i="10"/>
  <c r="C3961" i="10"/>
  <c r="C3960" i="10"/>
  <c r="C3959" i="10"/>
  <c r="C3958" i="10"/>
  <c r="C3957" i="10"/>
  <c r="C3956" i="10"/>
  <c r="C3955" i="10"/>
  <c r="C3954" i="10"/>
  <c r="C3953" i="10"/>
  <c r="C3952" i="10"/>
  <c r="C3951" i="10"/>
  <c r="C3950" i="10"/>
  <c r="C3949" i="10"/>
  <c r="C3948" i="10"/>
  <c r="C3947" i="10"/>
  <c r="C3946" i="10"/>
  <c r="C3945" i="10"/>
  <c r="C3944" i="10"/>
  <c r="C3943" i="10"/>
  <c r="C3942" i="10"/>
  <c r="C3941" i="10"/>
  <c r="C3940" i="10"/>
  <c r="C3939" i="10"/>
  <c r="C3938" i="10"/>
  <c r="C3937" i="10"/>
  <c r="C3936" i="10"/>
  <c r="C3935" i="10"/>
  <c r="C3933" i="10"/>
  <c r="C3932" i="10"/>
  <c r="C3931" i="10"/>
  <c r="C3930" i="10"/>
  <c r="C3929" i="10"/>
  <c r="C3928" i="10"/>
  <c r="C3927" i="10"/>
  <c r="C3926" i="10"/>
  <c r="C3925" i="10"/>
  <c r="C3924" i="10"/>
  <c r="C3923" i="10"/>
  <c r="C3922" i="10"/>
  <c r="C3921" i="10"/>
  <c r="C3920" i="10"/>
  <c r="C3919" i="10"/>
  <c r="C3918" i="10"/>
  <c r="C3917" i="10"/>
  <c r="C3916" i="10"/>
  <c r="C3915" i="10"/>
  <c r="C3914" i="10"/>
  <c r="C3913" i="10"/>
  <c r="C3912" i="10"/>
  <c r="C3911" i="10"/>
  <c r="C3910" i="10"/>
  <c r="C3909" i="10"/>
  <c r="C3908" i="10"/>
  <c r="C3907" i="10"/>
  <c r="C3906" i="10"/>
  <c r="C3905" i="10"/>
  <c r="C3904" i="10"/>
  <c r="C3903" i="10"/>
  <c r="C3902" i="10"/>
  <c r="C3901" i="10"/>
  <c r="C3900" i="10"/>
  <c r="C3899" i="10"/>
  <c r="C3898" i="10"/>
  <c r="C3897" i="10"/>
  <c r="C3896" i="10"/>
  <c r="C3895" i="10"/>
  <c r="C3894" i="10"/>
  <c r="C3892" i="10"/>
  <c r="C3890" i="10"/>
  <c r="C3889" i="10"/>
  <c r="C3888" i="10"/>
  <c r="C3887" i="10"/>
  <c r="C3886" i="10"/>
  <c r="C3885" i="10"/>
  <c r="C3884" i="10"/>
  <c r="C3883" i="10"/>
  <c r="C3882" i="10"/>
  <c r="C3881" i="10"/>
  <c r="C3880" i="10"/>
  <c r="C3879" i="10"/>
  <c r="C3877" i="10"/>
  <c r="C3876" i="10"/>
  <c r="C3875" i="10"/>
  <c r="C3874" i="10"/>
  <c r="C3873" i="10"/>
  <c r="C3872" i="10"/>
  <c r="C3871" i="10"/>
  <c r="C3870" i="10"/>
  <c r="C3869" i="10"/>
  <c r="C3868" i="10"/>
  <c r="C3867" i="10"/>
  <c r="C3866" i="10"/>
  <c r="C3865" i="10"/>
  <c r="C3864" i="10"/>
  <c r="C3863" i="10"/>
  <c r="C3862" i="10"/>
  <c r="C3861" i="10"/>
  <c r="C3860" i="10"/>
  <c r="C3859" i="10"/>
  <c r="C3858" i="10"/>
  <c r="C3857" i="10"/>
  <c r="C3856" i="10"/>
  <c r="C3855" i="10"/>
  <c r="C3854" i="10"/>
  <c r="C3853" i="10"/>
  <c r="C3852" i="10"/>
  <c r="C3851" i="10"/>
  <c r="C3850" i="10"/>
  <c r="C3849" i="10"/>
  <c r="C3848" i="10"/>
  <c r="C3847" i="10"/>
  <c r="C3846" i="10"/>
  <c r="C3845" i="10"/>
  <c r="C3844" i="10"/>
  <c r="C3843" i="10"/>
  <c r="C3842" i="10"/>
  <c r="C3841" i="10"/>
  <c r="C3840" i="10"/>
  <c r="C3839" i="10"/>
  <c r="C3838" i="10"/>
  <c r="C3837" i="10"/>
  <c r="C3836" i="10"/>
  <c r="C3834" i="10"/>
  <c r="C3833" i="10"/>
  <c r="C3832" i="10"/>
  <c r="C3831" i="10"/>
  <c r="C3830" i="10"/>
  <c r="C3829" i="10"/>
  <c r="C3828" i="10"/>
  <c r="C3827" i="10"/>
  <c r="C3826" i="10"/>
  <c r="C3825" i="10"/>
  <c r="C3824" i="10"/>
  <c r="C3823" i="10"/>
  <c r="C3821" i="10"/>
  <c r="C3820" i="10"/>
  <c r="C3819" i="10"/>
  <c r="C3817" i="10"/>
  <c r="C3816" i="10"/>
  <c r="C3815" i="10"/>
  <c r="C3814" i="10"/>
  <c r="C3813" i="10"/>
  <c r="C3812" i="10"/>
  <c r="C3811" i="10"/>
  <c r="C3810" i="10"/>
  <c r="C3809" i="10"/>
  <c r="C3808" i="10"/>
  <c r="C3807" i="10"/>
  <c r="C3806" i="10"/>
  <c r="C3805" i="10"/>
  <c r="C3804" i="10"/>
  <c r="C3803" i="10"/>
  <c r="C3802" i="10"/>
  <c r="C3801" i="10"/>
  <c r="C3800" i="10"/>
  <c r="C3799" i="10"/>
  <c r="C3798" i="10"/>
  <c r="C3797" i="10"/>
  <c r="C3796" i="10"/>
  <c r="C3795" i="10"/>
  <c r="C3794" i="10"/>
  <c r="C3793" i="10"/>
  <c r="C3792" i="10"/>
  <c r="C3791" i="10"/>
  <c r="C3790" i="10"/>
  <c r="C3789" i="10"/>
  <c r="C3788" i="10"/>
  <c r="C3787" i="10"/>
  <c r="C3786" i="10"/>
  <c r="C3785" i="10"/>
  <c r="C3784" i="10"/>
  <c r="C3783" i="10"/>
  <c r="C3782" i="10"/>
  <c r="C3781" i="10"/>
  <c r="C3780" i="10"/>
  <c r="C3779" i="10"/>
  <c r="C3778" i="10"/>
  <c r="C3777" i="10"/>
  <c r="C3776" i="10"/>
  <c r="C3775" i="10"/>
  <c r="C3774" i="10"/>
  <c r="C3773" i="10"/>
  <c r="C3772" i="10"/>
  <c r="C3771" i="10"/>
  <c r="C3770" i="10"/>
  <c r="C3769" i="10"/>
  <c r="C3768" i="10"/>
  <c r="C3767" i="10"/>
  <c r="C3766" i="10"/>
  <c r="C3765" i="10"/>
  <c r="C3764" i="10"/>
  <c r="C3763" i="10"/>
  <c r="C3762" i="10"/>
  <c r="C3761" i="10"/>
  <c r="C3759" i="10"/>
  <c r="C3758" i="10"/>
  <c r="C3757" i="10"/>
  <c r="C3756" i="10"/>
  <c r="C3755" i="10"/>
  <c r="C3754" i="10"/>
  <c r="C3753" i="10"/>
  <c r="C3752" i="10"/>
  <c r="C3751" i="10"/>
  <c r="C3750" i="10"/>
  <c r="C3749" i="10"/>
  <c r="C3748" i="10"/>
  <c r="C3747" i="10"/>
  <c r="C3746" i="10"/>
  <c r="C3745" i="10"/>
  <c r="C3744" i="10"/>
  <c r="C3743" i="10"/>
  <c r="C3742" i="10"/>
  <c r="C3740" i="10"/>
  <c r="C3739" i="10"/>
  <c r="C3738" i="10"/>
  <c r="C3737" i="10"/>
  <c r="C3736" i="10"/>
  <c r="C3735" i="10"/>
  <c r="C3734" i="10"/>
  <c r="C3733" i="10"/>
  <c r="C3732" i="10"/>
  <c r="C3731" i="10"/>
  <c r="C3730" i="10"/>
  <c r="C3729" i="10"/>
  <c r="C3728" i="10"/>
  <c r="C3727" i="10"/>
  <c r="C3726" i="10"/>
  <c r="C3725" i="10"/>
  <c r="C3724" i="10"/>
  <c r="C3723" i="10"/>
  <c r="C3722" i="10"/>
  <c r="C3721" i="10"/>
  <c r="C3720" i="10"/>
  <c r="C3719" i="10"/>
  <c r="C3718" i="10"/>
  <c r="C3717" i="10"/>
  <c r="C3716" i="10"/>
  <c r="C3715" i="10"/>
  <c r="C3714" i="10"/>
  <c r="C3713" i="10"/>
  <c r="C3712" i="10"/>
  <c r="C3711" i="10"/>
  <c r="C3710" i="10"/>
  <c r="C3709" i="10"/>
  <c r="C3708" i="10"/>
  <c r="C3706" i="10"/>
  <c r="C3705" i="10"/>
  <c r="C3704" i="10"/>
  <c r="C3703" i="10"/>
  <c r="C3702" i="10"/>
  <c r="C3701" i="10"/>
  <c r="C3700" i="10"/>
  <c r="C3699" i="10"/>
  <c r="C3698" i="10"/>
  <c r="C3697" i="10"/>
  <c r="C3696" i="10"/>
  <c r="C3695" i="10"/>
  <c r="C3694" i="10"/>
  <c r="C3693" i="10"/>
  <c r="C3692" i="10"/>
  <c r="C3691" i="10"/>
  <c r="C3690" i="10"/>
  <c r="C3689" i="10"/>
  <c r="C3688" i="10"/>
  <c r="C3687" i="10"/>
  <c r="C3686" i="10"/>
  <c r="C3685" i="10"/>
  <c r="C3684" i="10"/>
  <c r="C3683" i="10"/>
  <c r="C3682" i="10"/>
  <c r="C3681" i="10"/>
  <c r="C3680" i="10"/>
  <c r="C3679" i="10"/>
  <c r="C3678" i="10"/>
  <c r="C3677" i="10"/>
  <c r="C3676" i="10"/>
  <c r="C3675" i="10"/>
  <c r="C3674" i="10"/>
  <c r="C3673" i="10"/>
  <c r="C3672" i="10"/>
  <c r="C3671" i="10"/>
  <c r="C3670" i="10"/>
  <c r="C3669" i="10"/>
  <c r="C3668" i="10"/>
  <c r="C3667" i="10"/>
  <c r="C3666" i="10"/>
  <c r="C3665" i="10"/>
  <c r="C3664" i="10"/>
  <c r="C3663" i="10"/>
  <c r="C3662" i="10"/>
  <c r="C3661" i="10"/>
  <c r="C3660" i="10"/>
  <c r="C3659" i="10"/>
  <c r="C3658" i="10"/>
  <c r="C3657" i="10"/>
  <c r="C3656" i="10"/>
  <c r="C3655" i="10"/>
  <c r="C3654" i="10"/>
  <c r="C3653" i="10"/>
  <c r="C3652" i="10"/>
  <c r="C3651" i="10"/>
  <c r="C3650" i="10"/>
  <c r="C3649" i="10"/>
  <c r="C3648" i="10"/>
  <c r="C3647" i="10"/>
  <c r="C3646" i="10"/>
  <c r="C3645" i="10"/>
  <c r="C3644" i="10"/>
  <c r="C3643" i="10"/>
  <c r="C3642" i="10"/>
  <c r="C3641" i="10"/>
  <c r="C3640" i="10"/>
  <c r="C3639" i="10"/>
  <c r="C3638" i="10"/>
  <c r="C3637" i="10"/>
  <c r="C3636" i="10"/>
  <c r="C3635" i="10"/>
  <c r="C3633" i="10"/>
  <c r="C3631" i="10"/>
  <c r="C3630" i="10"/>
  <c r="C3629" i="10"/>
  <c r="C3628" i="10"/>
  <c r="C3627" i="10"/>
  <c r="C3626" i="10"/>
  <c r="C3625" i="10"/>
  <c r="C3624" i="10"/>
  <c r="C3623" i="10"/>
  <c r="C3622" i="10"/>
  <c r="C3621" i="10"/>
  <c r="C3620" i="10"/>
  <c r="C3619" i="10"/>
  <c r="C3618" i="10"/>
  <c r="C3617" i="10"/>
  <c r="C3616" i="10"/>
  <c r="C3615" i="10"/>
  <c r="C3614" i="10"/>
  <c r="C3613" i="10"/>
  <c r="C3612" i="10"/>
  <c r="C3611" i="10"/>
  <c r="C3610" i="10"/>
  <c r="C3609" i="10"/>
  <c r="C3608" i="10"/>
  <c r="C3607" i="10"/>
  <c r="C3606" i="10"/>
  <c r="C3605" i="10"/>
  <c r="C3604" i="10"/>
  <c r="C3603" i="10"/>
  <c r="C3602" i="10"/>
  <c r="C3601" i="10"/>
  <c r="C3600" i="10"/>
  <c r="C3599" i="10"/>
  <c r="C3598" i="10"/>
  <c r="C3597" i="10"/>
  <c r="C3596" i="10"/>
  <c r="C3595" i="10"/>
  <c r="C3594" i="10"/>
  <c r="C3593" i="10"/>
  <c r="C3592" i="10"/>
  <c r="C3591" i="10"/>
  <c r="C3590" i="10"/>
  <c r="C3588" i="10"/>
  <c r="C3587" i="10"/>
  <c r="C3586" i="10"/>
  <c r="C3585" i="10"/>
  <c r="C3584" i="10"/>
  <c r="C3583" i="10"/>
  <c r="C3582" i="10"/>
  <c r="C3581" i="10"/>
  <c r="C3579" i="10"/>
  <c r="C3578" i="10"/>
  <c r="C3577" i="10"/>
  <c r="C3576" i="10"/>
  <c r="C3575" i="10"/>
  <c r="C3574" i="10"/>
  <c r="C3573" i="10"/>
  <c r="C3572" i="10"/>
  <c r="C3571" i="10"/>
  <c r="C3570" i="10"/>
  <c r="C3569" i="10"/>
  <c r="C3568" i="10"/>
  <c r="C3567" i="10"/>
  <c r="C3566" i="10"/>
  <c r="C3565" i="10"/>
  <c r="C3564" i="10"/>
  <c r="C3563" i="10"/>
  <c r="C3562" i="10"/>
  <c r="C3561" i="10"/>
  <c r="C3560" i="10"/>
  <c r="C3559" i="10"/>
  <c r="C3558" i="10"/>
  <c r="C3557" i="10"/>
  <c r="C3556" i="10"/>
  <c r="C3555" i="10"/>
  <c r="C3554" i="10"/>
  <c r="C3553" i="10"/>
  <c r="C3552" i="10"/>
  <c r="C3551" i="10"/>
  <c r="C3550" i="10"/>
  <c r="C3549" i="10"/>
  <c r="C3548" i="10"/>
  <c r="C3547" i="10"/>
  <c r="C3545" i="10"/>
  <c r="C3544" i="10"/>
  <c r="C3543" i="10"/>
  <c r="C3542" i="10"/>
  <c r="C3541" i="10"/>
  <c r="C3540" i="10"/>
  <c r="C3539" i="10"/>
  <c r="C3538" i="10"/>
  <c r="C3537" i="10"/>
  <c r="C3536" i="10"/>
  <c r="C3535" i="10"/>
  <c r="C3534" i="10"/>
  <c r="C3533" i="10"/>
  <c r="C3532" i="10"/>
  <c r="C3531" i="10"/>
  <c r="C3530" i="10"/>
  <c r="C3529" i="10"/>
  <c r="C3528" i="10"/>
  <c r="C3527" i="10"/>
  <c r="C3526" i="10"/>
  <c r="C3525" i="10"/>
  <c r="C3524" i="10"/>
  <c r="C3523" i="10"/>
  <c r="C3519" i="10"/>
  <c r="C3518" i="10"/>
  <c r="C3517" i="10"/>
  <c r="C3516" i="10"/>
  <c r="C3515" i="10"/>
  <c r="C3514" i="10"/>
  <c r="C3512" i="10"/>
  <c r="C3508" i="10"/>
  <c r="C3507" i="10"/>
  <c r="C3506" i="10"/>
  <c r="C3505" i="10"/>
  <c r="C3504" i="10"/>
  <c r="C3503" i="10"/>
  <c r="C3502" i="10"/>
  <c r="C3501" i="10"/>
  <c r="C3500" i="10"/>
  <c r="C3499" i="10"/>
  <c r="C3498" i="10"/>
  <c r="C3497" i="10"/>
  <c r="C3496" i="10"/>
  <c r="C3495" i="10"/>
  <c r="C3494" i="10"/>
  <c r="C3493" i="10"/>
  <c r="C3492" i="10"/>
  <c r="C3491" i="10"/>
  <c r="C3490" i="10"/>
  <c r="C3489" i="10"/>
  <c r="C3488" i="10"/>
  <c r="C3487" i="10"/>
  <c r="C3486" i="10"/>
  <c r="C3485" i="10"/>
  <c r="C3484" i="10"/>
  <c r="C3483" i="10"/>
  <c r="C3482" i="10"/>
  <c r="C3481" i="10"/>
  <c r="C3480" i="10"/>
  <c r="C3479" i="10"/>
  <c r="C3478" i="10"/>
  <c r="C3477" i="10"/>
  <c r="C3476" i="10"/>
  <c r="C3475" i="10"/>
  <c r="C3474" i="10"/>
  <c r="C3473" i="10"/>
  <c r="C3472" i="10"/>
  <c r="C3471" i="10"/>
  <c r="C3470" i="10"/>
  <c r="C3469" i="10"/>
  <c r="C3468" i="10"/>
  <c r="C3467" i="10"/>
  <c r="C3466" i="10"/>
  <c r="C3465" i="10"/>
  <c r="C3464" i="10"/>
  <c r="C3463" i="10"/>
  <c r="C3462" i="10"/>
  <c r="C3461" i="10"/>
  <c r="C3460" i="10"/>
  <c r="C3459" i="10"/>
  <c r="C3458" i="10"/>
  <c r="C3457" i="10"/>
  <c r="C3456" i="10"/>
  <c r="C3455" i="10"/>
  <c r="C3454" i="10"/>
  <c r="C3453" i="10"/>
  <c r="C3452" i="10"/>
  <c r="C3451" i="10"/>
  <c r="C3450" i="10"/>
  <c r="C3449" i="10"/>
  <c r="C3448" i="10"/>
  <c r="C3447" i="10"/>
  <c r="C3446" i="10"/>
  <c r="C3445" i="10"/>
  <c r="C3444" i="10"/>
  <c r="C3443" i="10"/>
  <c r="C3442" i="10"/>
  <c r="C3441" i="10"/>
  <c r="C3440" i="10"/>
  <c r="C3439" i="10"/>
  <c r="C3438" i="10"/>
  <c r="C3437" i="10"/>
  <c r="C3436" i="10"/>
  <c r="C3435" i="10"/>
  <c r="C3434" i="10"/>
  <c r="C3433" i="10"/>
  <c r="C3432" i="10"/>
  <c r="C3431" i="10"/>
  <c r="C3430" i="10"/>
  <c r="C3429" i="10"/>
  <c r="C3428" i="10"/>
  <c r="C3427" i="10"/>
  <c r="C3426" i="10"/>
  <c r="C3425" i="10"/>
  <c r="C3424" i="10"/>
  <c r="C3423" i="10"/>
  <c r="C3422" i="10"/>
  <c r="C3421" i="10"/>
  <c r="C3420" i="10"/>
  <c r="C3419" i="10"/>
  <c r="C3418" i="10"/>
  <c r="C3417" i="10"/>
  <c r="C3416" i="10"/>
  <c r="C3415" i="10"/>
  <c r="C3414" i="10"/>
  <c r="C3413" i="10"/>
  <c r="C3412" i="10"/>
  <c r="C3411" i="10"/>
  <c r="C3410" i="10"/>
  <c r="C3409" i="10"/>
  <c r="C3408" i="10"/>
  <c r="C3407" i="10"/>
  <c r="C3406" i="10"/>
  <c r="C3405" i="10"/>
  <c r="C3404" i="10"/>
  <c r="C3403" i="10"/>
  <c r="C3402" i="10"/>
  <c r="C3401" i="10"/>
  <c r="C3399" i="10"/>
  <c r="C3398" i="10"/>
  <c r="C3397" i="10"/>
  <c r="C3396" i="10"/>
  <c r="C3395" i="10"/>
  <c r="C3394" i="10"/>
  <c r="C3393" i="10"/>
  <c r="C3392" i="10"/>
  <c r="C3391" i="10"/>
  <c r="C3390" i="10"/>
  <c r="C3389" i="10"/>
  <c r="C3388" i="10"/>
  <c r="C3386" i="10"/>
  <c r="C3385" i="10"/>
  <c r="C3384" i="10"/>
  <c r="C3383" i="10"/>
  <c r="C3382" i="10"/>
  <c r="C3381" i="10"/>
  <c r="C3380" i="10"/>
  <c r="C3379" i="10"/>
  <c r="C3378" i="10"/>
  <c r="C3377" i="10"/>
  <c r="C3376" i="10"/>
  <c r="C3375" i="10"/>
  <c r="C3374" i="10"/>
  <c r="C3373" i="10"/>
  <c r="C3372" i="10"/>
  <c r="C3371" i="10"/>
  <c r="C3370" i="10"/>
  <c r="C3369" i="10"/>
  <c r="C3368" i="10"/>
  <c r="C3367" i="10"/>
  <c r="C3366" i="10"/>
  <c r="C3365" i="10"/>
  <c r="C3364" i="10"/>
  <c r="C3363" i="10"/>
  <c r="C3362" i="10"/>
  <c r="C3361" i="10"/>
  <c r="C3360" i="10"/>
  <c r="C3359" i="10"/>
  <c r="C3358" i="10"/>
  <c r="C3357" i="10"/>
  <c r="C3356" i="10"/>
  <c r="C3355" i="10"/>
  <c r="C3354" i="10"/>
  <c r="C3353" i="10"/>
  <c r="C3352" i="10"/>
  <c r="C3351" i="10"/>
  <c r="C3350" i="10"/>
  <c r="C3349" i="10"/>
  <c r="C3348" i="10"/>
  <c r="C3347" i="10"/>
  <c r="C3346" i="10"/>
  <c r="C3345" i="10"/>
  <c r="C3343" i="10"/>
  <c r="C3342" i="10"/>
  <c r="C3341" i="10"/>
  <c r="C3340" i="10"/>
  <c r="C3339" i="10"/>
  <c r="C3338" i="10"/>
  <c r="C3337" i="10"/>
  <c r="C3336" i="10"/>
  <c r="C3335" i="10"/>
  <c r="C3334" i="10"/>
  <c r="C3333" i="10"/>
  <c r="C3332" i="10"/>
  <c r="C3330" i="10"/>
  <c r="C3329" i="10"/>
  <c r="C3328" i="10"/>
  <c r="C3327" i="10"/>
  <c r="C3326" i="10"/>
  <c r="C3325" i="10"/>
  <c r="C3324" i="10"/>
  <c r="C3323" i="10"/>
  <c r="C3322" i="10"/>
  <c r="C3321" i="10"/>
  <c r="C3320" i="10"/>
  <c r="C3319" i="10"/>
  <c r="C3318" i="10"/>
  <c r="C3317" i="10"/>
  <c r="C3316" i="10"/>
  <c r="C3315" i="10"/>
  <c r="C3314" i="10"/>
  <c r="C3313" i="10"/>
  <c r="C3312" i="10"/>
  <c r="C3311" i="10"/>
  <c r="C3310" i="10"/>
  <c r="C3309" i="10"/>
  <c r="C3308" i="10"/>
  <c r="C3307" i="10"/>
  <c r="C3306" i="10"/>
  <c r="C3305" i="10"/>
  <c r="C3304" i="10"/>
  <c r="C3303" i="10"/>
  <c r="C3302" i="10"/>
  <c r="C3301" i="10"/>
  <c r="C3300" i="10"/>
  <c r="C3299" i="10"/>
  <c r="C3298" i="10"/>
  <c r="C3297" i="10"/>
  <c r="C3296" i="10"/>
  <c r="C3295" i="10"/>
  <c r="C3294" i="10"/>
  <c r="C3293" i="10"/>
  <c r="C3292" i="10"/>
  <c r="C3291" i="10"/>
  <c r="C3290" i="10"/>
  <c r="C3289" i="10"/>
  <c r="C3288" i="10"/>
  <c r="C3287" i="10"/>
  <c r="C3286" i="10"/>
  <c r="C3285" i="10"/>
  <c r="C3284" i="10"/>
  <c r="C3283" i="10"/>
  <c r="C3282" i="10"/>
  <c r="C3281" i="10"/>
  <c r="C3280" i="10"/>
  <c r="C3279" i="10"/>
  <c r="C3278" i="10"/>
  <c r="C3277" i="10"/>
  <c r="C3276" i="10"/>
  <c r="C3275" i="10"/>
  <c r="C3274" i="10"/>
  <c r="C3272" i="10"/>
  <c r="C3271" i="10"/>
  <c r="C3270" i="10"/>
  <c r="C3269" i="10"/>
  <c r="C3268" i="10"/>
  <c r="C3267" i="10"/>
  <c r="C3266" i="10"/>
  <c r="C3265" i="10"/>
  <c r="C3264" i="10"/>
  <c r="C3263" i="10"/>
  <c r="C3262" i="10"/>
  <c r="C3261" i="10"/>
  <c r="C3260" i="10"/>
  <c r="C3259" i="10"/>
  <c r="C3258" i="10"/>
  <c r="C3257" i="10"/>
  <c r="C3256" i="10"/>
  <c r="C3255" i="10"/>
  <c r="C3253" i="10"/>
  <c r="C3252" i="10"/>
  <c r="C3251" i="10"/>
  <c r="C3250" i="10"/>
  <c r="C3249" i="10"/>
  <c r="C3248" i="10"/>
  <c r="C3247" i="10"/>
  <c r="C3246" i="10"/>
  <c r="C3245" i="10"/>
  <c r="C3244" i="10"/>
  <c r="C3243" i="10"/>
  <c r="C3242" i="10"/>
  <c r="C3241" i="10"/>
  <c r="C3240" i="10"/>
  <c r="C3239" i="10"/>
  <c r="C3238" i="10"/>
  <c r="C3237" i="10"/>
  <c r="C3236" i="10"/>
  <c r="C3235" i="10"/>
  <c r="C3234" i="10"/>
  <c r="C3233" i="10"/>
  <c r="C3232" i="10"/>
  <c r="C3231" i="10"/>
  <c r="C3230" i="10"/>
  <c r="C3229" i="10"/>
  <c r="C3228" i="10"/>
  <c r="C3227" i="10"/>
  <c r="C3226" i="10"/>
  <c r="C3225" i="10"/>
  <c r="C3224" i="10"/>
  <c r="C3223" i="10"/>
  <c r="C3222" i="10"/>
  <c r="C3221" i="10"/>
  <c r="C3220" i="10"/>
  <c r="C3218" i="10"/>
  <c r="C3217" i="10"/>
  <c r="C3216" i="10"/>
  <c r="C3215" i="10"/>
  <c r="C3214" i="10"/>
  <c r="C3213" i="10"/>
  <c r="C3212" i="10"/>
  <c r="C3211" i="10"/>
  <c r="C3210" i="10"/>
  <c r="C3209" i="10"/>
  <c r="C3208" i="10"/>
  <c r="C3207" i="10"/>
  <c r="C3206" i="10"/>
  <c r="C3205" i="10"/>
  <c r="C3204" i="10"/>
  <c r="C3203" i="10"/>
  <c r="C3202" i="10"/>
  <c r="C3201" i="10"/>
  <c r="C3200" i="10"/>
  <c r="C3199" i="10"/>
  <c r="C3198" i="10"/>
  <c r="C3197" i="10"/>
  <c r="C3196" i="10"/>
  <c r="C3195" i="10"/>
  <c r="C3194" i="10"/>
  <c r="C3193" i="10"/>
  <c r="C3192" i="10"/>
  <c r="C3191" i="10"/>
  <c r="C3190" i="10"/>
  <c r="C3189" i="10"/>
  <c r="C3188" i="10"/>
  <c r="C3187" i="10"/>
  <c r="C3186" i="10"/>
  <c r="C3185" i="10"/>
  <c r="C3184" i="10"/>
  <c r="C3183" i="10"/>
  <c r="C3182" i="10"/>
  <c r="C3181" i="10"/>
  <c r="C3180" i="10"/>
  <c r="C3179" i="10"/>
  <c r="C3178" i="10"/>
  <c r="C3177" i="10"/>
  <c r="C3176" i="10"/>
  <c r="C3175" i="10"/>
  <c r="C3174" i="10"/>
  <c r="C3173" i="10"/>
  <c r="C3172" i="10"/>
  <c r="C3171" i="10"/>
  <c r="C3170" i="10"/>
  <c r="C3169" i="10"/>
  <c r="C3168" i="10"/>
  <c r="C3167" i="10"/>
  <c r="C3166" i="10"/>
  <c r="C3165" i="10"/>
  <c r="C3164" i="10"/>
  <c r="C3163" i="10"/>
  <c r="C3162" i="10"/>
  <c r="C3161" i="10"/>
  <c r="C3160" i="10"/>
  <c r="C3159" i="10"/>
  <c r="C3158" i="10"/>
  <c r="C3157" i="10"/>
  <c r="C3156" i="10"/>
  <c r="C3155" i="10"/>
  <c r="C3154" i="10"/>
  <c r="C3153" i="10"/>
  <c r="C3152" i="10"/>
  <c r="C3151" i="10"/>
  <c r="C3150" i="10"/>
  <c r="C3149" i="10"/>
  <c r="C3148" i="10"/>
  <c r="C3147" i="10"/>
  <c r="C3145" i="10"/>
  <c r="C3143" i="10"/>
  <c r="C3142" i="10"/>
  <c r="C3141" i="10"/>
  <c r="C3140" i="10"/>
  <c r="C3139" i="10"/>
  <c r="C3138" i="10"/>
  <c r="C3137" i="10"/>
  <c r="C3136" i="10"/>
  <c r="C3135" i="10"/>
  <c r="C3134" i="10"/>
  <c r="C3133" i="10"/>
  <c r="C3132" i="10"/>
  <c r="C3131" i="10"/>
  <c r="C3130" i="10"/>
  <c r="C3129" i="10"/>
  <c r="C3128" i="10"/>
  <c r="C3127" i="10"/>
  <c r="C3126" i="10"/>
  <c r="C3125" i="10"/>
  <c r="C3124" i="10"/>
  <c r="C3123" i="10"/>
  <c r="C3122" i="10"/>
  <c r="C3121" i="10"/>
  <c r="C3120" i="10"/>
  <c r="C3119" i="10"/>
  <c r="C3118" i="10"/>
  <c r="C3117" i="10"/>
  <c r="C3116" i="10"/>
  <c r="C3115" i="10"/>
  <c r="C3114" i="10"/>
  <c r="C3113" i="10"/>
  <c r="C3112" i="10"/>
  <c r="C3111" i="10"/>
  <c r="C3110" i="10"/>
  <c r="C3109" i="10"/>
  <c r="C3108" i="10"/>
  <c r="C3107" i="10"/>
  <c r="C3106" i="10"/>
  <c r="C3105" i="10"/>
  <c r="C3104" i="10"/>
  <c r="C3103" i="10"/>
  <c r="C3102" i="10"/>
  <c r="C3100" i="10"/>
  <c r="C3099" i="10"/>
  <c r="C3098" i="10"/>
  <c r="C3097" i="10"/>
  <c r="C3096" i="10"/>
  <c r="C3095" i="10"/>
  <c r="C3094" i="10"/>
  <c r="C3093" i="10"/>
  <c r="C3091" i="10"/>
  <c r="C3090" i="10"/>
  <c r="C3089" i="10"/>
  <c r="C3088" i="10"/>
  <c r="C3087" i="10"/>
  <c r="C3086" i="10"/>
  <c r="C3085" i="10"/>
  <c r="C3084" i="10"/>
  <c r="C3083" i="10"/>
  <c r="C3082" i="10"/>
  <c r="C3081" i="10"/>
  <c r="C3080" i="10"/>
  <c r="C3079" i="10"/>
  <c r="C3078" i="10"/>
  <c r="C3077" i="10"/>
  <c r="C3076" i="10"/>
  <c r="C3075" i="10"/>
  <c r="C3074" i="10"/>
  <c r="C3073" i="10"/>
  <c r="C3072" i="10"/>
  <c r="C3071" i="10"/>
  <c r="C3070" i="10"/>
  <c r="C3069" i="10"/>
  <c r="C3068" i="10"/>
  <c r="C3067" i="10"/>
  <c r="C3066" i="10"/>
  <c r="C3065" i="10"/>
  <c r="C3064" i="10"/>
  <c r="C3063" i="10"/>
  <c r="C3062" i="10"/>
  <c r="C3061" i="10"/>
  <c r="C3060" i="10"/>
  <c r="C3059" i="10"/>
  <c r="C3057" i="10"/>
  <c r="C3056" i="10"/>
  <c r="C3055" i="10"/>
  <c r="C3054" i="10"/>
  <c r="C3053" i="10"/>
  <c r="C3052" i="10"/>
  <c r="C3051" i="10"/>
  <c r="C3050" i="10"/>
  <c r="C3048" i="10"/>
  <c r="C3040" i="10"/>
  <c r="C3039" i="10"/>
  <c r="C3038" i="10"/>
  <c r="C3037" i="10"/>
  <c r="C3036" i="10"/>
  <c r="C3035" i="10"/>
  <c r="C3034" i="10"/>
  <c r="C3033" i="10"/>
  <c r="C3032" i="10"/>
  <c r="C3031" i="10"/>
  <c r="C3030" i="10"/>
  <c r="C3029" i="10"/>
  <c r="C3028" i="10"/>
  <c r="C3027" i="10"/>
  <c r="C3026" i="10"/>
  <c r="C3025" i="10"/>
  <c r="C3024" i="10"/>
  <c r="C3023" i="10"/>
  <c r="C3022" i="10"/>
  <c r="C3021" i="10"/>
  <c r="C3020" i="10"/>
  <c r="C3019" i="10"/>
  <c r="C3018" i="10"/>
  <c r="C3017" i="10"/>
  <c r="C3016" i="10"/>
  <c r="C3015" i="10"/>
  <c r="C3014" i="10"/>
  <c r="C3013" i="10"/>
  <c r="C3012" i="10"/>
  <c r="C3011" i="10"/>
  <c r="C3010" i="10"/>
  <c r="C3009" i="10"/>
  <c r="C3008" i="10"/>
  <c r="C3007" i="10"/>
  <c r="C3006" i="10"/>
  <c r="C3005" i="10"/>
  <c r="C3004" i="10"/>
  <c r="C3003" i="10"/>
  <c r="C3002" i="10"/>
  <c r="C3001" i="10"/>
  <c r="C3000" i="10"/>
  <c r="C2999" i="10"/>
  <c r="C2998" i="10"/>
  <c r="C2997" i="10"/>
  <c r="C2996" i="10"/>
  <c r="C2995" i="10"/>
  <c r="C2994" i="10"/>
  <c r="C2993" i="10"/>
  <c r="C2992" i="10"/>
  <c r="C2947" i="10"/>
  <c r="C2946" i="10"/>
  <c r="C2945" i="10"/>
  <c r="C2944" i="10"/>
  <c r="C2943" i="10"/>
  <c r="C2942" i="10"/>
  <c r="C2936" i="10"/>
  <c r="C2935" i="10"/>
  <c r="C2934" i="10"/>
  <c r="C2933" i="10"/>
  <c r="C2932" i="10"/>
  <c r="C2931" i="10"/>
  <c r="C2930" i="10"/>
  <c r="C2929" i="10"/>
  <c r="C2928" i="10"/>
  <c r="C2927" i="10"/>
  <c r="C2926" i="10"/>
  <c r="C2925" i="10"/>
  <c r="C2924" i="10"/>
  <c r="C2923" i="10"/>
  <c r="C2922" i="10"/>
  <c r="C2921" i="10"/>
  <c r="C2920" i="10"/>
  <c r="C2919" i="10"/>
  <c r="C2918" i="10"/>
  <c r="C2917" i="10"/>
  <c r="C2916" i="10"/>
  <c r="C2915" i="10"/>
  <c r="C2914" i="10"/>
  <c r="C2913" i="10"/>
  <c r="C2912" i="10"/>
  <c r="C2911" i="10"/>
  <c r="C2910" i="10"/>
  <c r="C2909" i="10"/>
  <c r="C2908" i="10"/>
  <c r="C2907" i="10"/>
  <c r="C2906" i="10"/>
  <c r="C2905" i="10"/>
  <c r="C2904" i="10"/>
  <c r="C2902" i="10"/>
  <c r="C2901" i="10"/>
  <c r="C2900" i="10"/>
  <c r="C2899" i="10"/>
  <c r="C2898" i="10"/>
  <c r="C2897" i="10"/>
  <c r="C2896" i="10"/>
  <c r="C2895" i="10"/>
  <c r="C2894" i="10"/>
  <c r="C2893" i="10"/>
  <c r="C2892" i="10"/>
  <c r="C2891" i="10"/>
  <c r="C2890" i="10"/>
  <c r="C2889" i="10"/>
  <c r="C2888" i="10"/>
  <c r="C2887" i="10"/>
  <c r="C2886" i="10"/>
  <c r="C2885" i="10"/>
  <c r="C2884" i="10"/>
  <c r="C2883" i="10"/>
  <c r="C2882" i="10"/>
  <c r="C2881" i="10"/>
  <c r="C2880" i="10"/>
  <c r="C2879" i="10"/>
  <c r="C2878" i="10"/>
  <c r="C2877" i="10"/>
  <c r="C2876" i="10"/>
  <c r="C2875" i="10"/>
  <c r="C2874" i="10"/>
  <c r="C2873" i="10"/>
  <c r="C2872" i="10"/>
  <c r="C2871" i="10"/>
  <c r="C2870" i="10"/>
  <c r="C2869" i="10"/>
  <c r="C2868" i="10"/>
  <c r="C2867" i="10"/>
  <c r="C2865" i="10"/>
  <c r="C2864" i="10"/>
  <c r="C2863" i="10"/>
  <c r="C2862" i="10"/>
  <c r="C2861" i="10"/>
  <c r="C2860" i="10"/>
  <c r="C2859" i="10"/>
  <c r="C2858" i="10"/>
  <c r="C2857" i="10"/>
  <c r="C2856" i="10"/>
  <c r="C2855" i="10"/>
  <c r="C2854" i="10"/>
  <c r="C2853" i="10"/>
  <c r="C2852" i="10"/>
  <c r="C2851" i="10"/>
  <c r="C2850" i="10"/>
  <c r="C2849" i="10"/>
  <c r="C2848" i="10"/>
  <c r="C2847" i="10"/>
  <c r="C2846" i="10"/>
  <c r="C2845" i="10"/>
  <c r="C2844" i="10"/>
  <c r="C2843" i="10"/>
  <c r="C2842" i="10"/>
  <c r="C2841" i="10"/>
  <c r="C2840" i="10"/>
  <c r="C2839" i="10"/>
  <c r="C2838" i="10"/>
  <c r="C2837" i="10"/>
  <c r="C2836" i="10"/>
  <c r="C2835" i="10"/>
  <c r="C2834" i="10"/>
  <c r="C2833" i="10"/>
  <c r="C2832" i="10"/>
  <c r="C2831" i="10"/>
  <c r="C2830" i="10"/>
  <c r="C2828" i="10"/>
  <c r="C2827" i="10"/>
  <c r="C2826" i="10"/>
  <c r="C2825" i="10"/>
  <c r="C2824" i="10"/>
  <c r="C2823" i="10"/>
  <c r="C2822" i="10"/>
  <c r="C2821" i="10"/>
  <c r="C2820" i="10"/>
  <c r="C2811" i="10"/>
  <c r="C2809" i="10"/>
  <c r="C2808" i="10"/>
  <c r="C2807" i="10"/>
  <c r="C2806" i="10"/>
  <c r="C2805" i="10"/>
  <c r="C2804" i="10"/>
  <c r="C2803" i="10"/>
  <c r="C2802" i="10"/>
  <c r="C2801" i="10"/>
  <c r="C2800" i="10"/>
  <c r="C2799" i="10"/>
  <c r="C2798" i="10"/>
  <c r="C2797" i="10"/>
  <c r="C2796" i="10"/>
  <c r="C2795" i="10"/>
  <c r="C2794" i="10"/>
  <c r="C2793" i="10"/>
  <c r="C2792" i="10"/>
  <c r="C2791" i="10"/>
  <c r="C2790" i="10"/>
  <c r="C2789" i="10"/>
  <c r="C2788" i="10"/>
  <c r="C2787" i="10"/>
  <c r="C2786" i="10"/>
  <c r="C2785" i="10"/>
  <c r="C2784" i="10"/>
  <c r="C2783" i="10"/>
  <c r="C2782" i="10"/>
  <c r="C2781" i="10"/>
  <c r="C2780" i="10"/>
  <c r="C2779" i="10"/>
  <c r="C2778" i="10"/>
  <c r="C2777" i="10"/>
  <c r="C2776" i="10"/>
  <c r="C2775" i="10"/>
  <c r="C2774" i="10"/>
  <c r="C2773" i="10"/>
  <c r="C2772" i="10"/>
  <c r="C2771" i="10"/>
  <c r="C2770" i="10"/>
  <c r="C2769" i="10"/>
  <c r="C2768" i="10"/>
  <c r="C2767" i="10"/>
  <c r="C2766" i="10"/>
  <c r="C2765" i="10"/>
  <c r="C2764" i="10"/>
  <c r="C2763" i="10"/>
  <c r="C2762" i="10"/>
  <c r="C2761" i="10"/>
  <c r="C2760" i="10"/>
  <c r="C2759" i="10"/>
  <c r="C2758" i="10"/>
  <c r="C2756" i="10"/>
  <c r="C2755" i="10"/>
  <c r="C2754" i="10"/>
  <c r="C2741" i="10"/>
  <c r="C2740" i="10"/>
  <c r="C2738" i="10"/>
  <c r="C2737" i="10"/>
  <c r="C2736" i="10"/>
  <c r="C2735" i="10"/>
  <c r="C2734" i="10"/>
  <c r="C2733" i="10"/>
  <c r="C2732" i="10"/>
  <c r="C2731" i="10"/>
  <c r="C2730" i="10"/>
  <c r="C2729" i="10"/>
  <c r="C2728" i="10"/>
  <c r="C2727" i="10"/>
  <c r="C2726" i="10"/>
  <c r="C2725" i="10"/>
  <c r="C2724" i="10"/>
  <c r="C2723" i="10"/>
  <c r="C2722" i="10"/>
  <c r="C2721" i="10"/>
  <c r="C2720" i="10"/>
  <c r="C2719" i="10"/>
  <c r="C2718" i="10"/>
  <c r="C2717" i="10"/>
  <c r="C2716" i="10"/>
  <c r="C2715" i="10"/>
  <c r="C2714" i="10"/>
  <c r="C2713" i="10"/>
  <c r="C2712" i="10"/>
  <c r="C2711" i="10"/>
  <c r="C2710" i="10"/>
  <c r="C2709" i="10"/>
  <c r="C2708" i="10"/>
  <c r="C2707" i="10"/>
  <c r="C2706" i="10"/>
  <c r="C2705" i="10"/>
  <c r="C2704" i="10"/>
  <c r="C2703" i="10"/>
  <c r="C2702" i="10"/>
  <c r="C2700" i="10"/>
  <c r="C2699" i="10"/>
  <c r="C2698" i="10"/>
  <c r="C2697" i="10"/>
  <c r="C2696" i="10"/>
  <c r="C2695" i="10"/>
  <c r="C2694" i="10"/>
  <c r="C2693" i="10"/>
  <c r="C2692" i="10"/>
  <c r="C2691" i="10"/>
  <c r="C2690" i="10"/>
  <c r="C2687" i="10"/>
  <c r="C2686" i="10"/>
  <c r="C2685" i="10"/>
  <c r="C2684" i="10"/>
  <c r="C2683" i="10"/>
  <c r="C2682" i="10"/>
  <c r="C2681" i="10"/>
  <c r="C2680" i="10"/>
  <c r="C2679" i="10"/>
  <c r="C2678" i="10"/>
  <c r="C2677" i="10"/>
  <c r="C2676" i="10"/>
  <c r="C2675" i="10"/>
  <c r="C2674" i="10"/>
  <c r="C2672" i="10"/>
  <c r="C2671" i="10"/>
  <c r="C2670" i="10"/>
  <c r="C2669" i="10"/>
  <c r="C2662" i="10"/>
  <c r="C2659" i="10"/>
  <c r="C2658" i="10"/>
  <c r="C2656" i="10"/>
  <c r="C2655" i="10"/>
  <c r="C2654" i="10"/>
  <c r="C2653" i="10"/>
  <c r="C2652" i="10"/>
  <c r="C2651" i="10"/>
  <c r="C2650" i="10"/>
  <c r="C2649" i="10"/>
  <c r="C2648" i="10"/>
  <c r="C2647" i="10"/>
  <c r="C2646" i="10"/>
  <c r="C2645" i="10"/>
  <c r="C2644" i="10"/>
  <c r="C2643" i="10"/>
  <c r="C2642" i="10"/>
  <c r="C2641" i="10"/>
  <c r="C2640" i="10"/>
  <c r="C2639" i="10"/>
  <c r="C2638" i="10"/>
  <c r="C2637" i="10"/>
  <c r="C2636" i="10"/>
  <c r="C2635" i="10"/>
  <c r="C2634" i="10"/>
  <c r="C2633" i="10"/>
  <c r="C2632" i="10"/>
  <c r="C2631" i="10"/>
  <c r="C2630" i="10"/>
  <c r="C2629" i="10"/>
  <c r="C2628" i="10"/>
  <c r="C2627" i="10"/>
  <c r="C2626" i="10"/>
  <c r="C2625" i="10"/>
  <c r="C2624" i="10"/>
  <c r="C2623" i="10"/>
  <c r="C2622" i="10"/>
  <c r="C2621" i="10"/>
  <c r="C2620" i="10"/>
  <c r="C2619" i="10"/>
  <c r="C2617" i="10"/>
  <c r="C2616" i="10"/>
  <c r="C2615" i="10"/>
  <c r="C2614" i="10"/>
  <c r="C2613" i="10"/>
  <c r="C2612" i="10"/>
  <c r="C2611" i="10"/>
  <c r="C2610" i="10"/>
  <c r="C2609" i="10"/>
  <c r="C2608" i="10"/>
  <c r="C2607" i="10"/>
  <c r="C2606" i="10"/>
  <c r="C2603" i="10"/>
  <c r="C2602" i="10"/>
  <c r="C2601" i="10"/>
  <c r="C2600" i="10"/>
  <c r="C2599" i="10"/>
  <c r="C2598" i="10"/>
  <c r="C2597" i="10"/>
  <c r="C2596" i="10"/>
  <c r="C2595" i="10"/>
  <c r="C2594" i="10"/>
  <c r="C2593" i="10"/>
  <c r="C2592" i="10"/>
  <c r="C2591" i="10"/>
  <c r="C2590" i="10"/>
  <c r="C2589" i="10"/>
  <c r="C2587" i="10"/>
  <c r="C2586" i="10"/>
  <c r="C2585" i="10"/>
  <c r="C2584" i="10"/>
  <c r="C2573" i="10"/>
  <c r="C2571" i="10"/>
  <c r="C2570" i="10"/>
  <c r="C2567" i="10"/>
  <c r="C2566" i="10"/>
  <c r="C2565" i="10"/>
  <c r="C2564" i="10"/>
  <c r="C2563" i="10"/>
  <c r="C2562" i="10"/>
  <c r="C2561" i="10"/>
  <c r="C2560" i="10"/>
  <c r="C2559" i="10"/>
  <c r="C2558" i="10"/>
  <c r="C2557" i="10"/>
  <c r="C2556" i="10"/>
  <c r="C2555" i="10"/>
  <c r="C2554" i="10"/>
  <c r="C2553" i="10"/>
  <c r="C2552" i="10"/>
  <c r="C2551" i="10"/>
  <c r="C2550" i="10"/>
  <c r="C2549" i="10"/>
  <c r="C2548" i="10"/>
  <c r="C2547" i="10"/>
  <c r="C2546" i="10"/>
  <c r="C2545" i="10"/>
  <c r="C2544" i="10"/>
  <c r="C2543" i="10"/>
  <c r="C2542" i="10"/>
  <c r="C2541" i="10"/>
  <c r="C2540" i="10"/>
  <c r="C2539" i="10"/>
  <c r="C2538" i="10"/>
  <c r="C2537" i="10"/>
  <c r="C2536" i="10"/>
  <c r="C2535" i="10"/>
  <c r="C2534" i="10"/>
  <c r="C2533" i="10"/>
  <c r="C2532" i="10"/>
  <c r="C2531" i="10"/>
  <c r="C2530" i="10"/>
  <c r="C2529" i="10"/>
  <c r="C2528" i="10"/>
  <c r="C2527" i="10"/>
  <c r="C2526" i="10"/>
  <c r="C2525" i="10"/>
  <c r="C2524" i="10"/>
  <c r="C2523" i="10"/>
  <c r="C2522" i="10"/>
  <c r="C2521" i="10"/>
  <c r="C2520" i="10"/>
  <c r="C2519" i="10"/>
  <c r="C2518" i="10"/>
  <c r="C2517" i="10"/>
  <c r="C2516" i="10"/>
  <c r="C2515" i="10"/>
  <c r="C2514" i="10"/>
  <c r="C2513" i="10"/>
  <c r="C2512" i="10"/>
  <c r="C2511" i="10"/>
  <c r="C2509" i="10"/>
  <c r="C2508" i="10"/>
  <c r="C2507" i="10"/>
  <c r="C2506" i="10"/>
  <c r="C2505" i="10"/>
  <c r="C2504" i="10"/>
  <c r="C2503" i="10"/>
  <c r="C2502" i="10"/>
  <c r="C2501" i="10"/>
  <c r="C2500" i="10"/>
  <c r="C2499" i="10"/>
  <c r="C2498" i="10"/>
  <c r="C2497" i="10"/>
  <c r="C2496" i="10"/>
  <c r="C2495" i="10"/>
  <c r="C2494" i="10"/>
  <c r="C2493" i="10"/>
  <c r="C2492" i="10"/>
  <c r="C2489" i="10"/>
  <c r="C2488" i="10"/>
  <c r="C2487" i="10"/>
  <c r="C2479" i="10"/>
  <c r="C2478" i="10"/>
  <c r="C2474" i="10"/>
  <c r="C2472" i="10"/>
  <c r="C2471" i="10"/>
  <c r="C2467" i="10"/>
  <c r="C2465" i="10"/>
  <c r="C2463" i="10"/>
  <c r="C2462" i="10"/>
  <c r="C2460" i="10"/>
  <c r="C2455" i="10"/>
  <c r="C2454" i="10"/>
  <c r="C2452" i="10"/>
  <c r="C2451" i="10"/>
  <c r="C2450" i="10"/>
  <c r="C2448" i="10"/>
  <c r="C2447" i="10"/>
  <c r="C2445" i="10"/>
  <c r="C2444" i="10"/>
  <c r="C2443" i="10"/>
  <c r="C2442" i="10"/>
  <c r="C2441" i="10"/>
  <c r="C2440" i="10"/>
  <c r="C2439" i="10"/>
  <c r="C2438" i="10"/>
  <c r="C2436" i="10"/>
  <c r="C2435" i="10"/>
  <c r="C2434" i="10"/>
  <c r="C2433" i="10"/>
  <c r="C2418" i="10"/>
  <c r="C2412" i="10"/>
  <c r="C2410" i="10"/>
  <c r="C2408" i="10"/>
  <c r="C2403" i="10"/>
  <c r="C2402" i="10"/>
  <c r="C2400" i="10"/>
  <c r="C2399" i="10"/>
  <c r="C2398" i="10"/>
  <c r="C2397" i="10"/>
  <c r="C2395" i="10"/>
  <c r="C2389" i="10"/>
  <c r="C2388" i="10"/>
  <c r="C2387" i="10"/>
  <c r="C2386" i="10"/>
  <c r="C2384" i="10"/>
  <c r="C2380" i="10"/>
  <c r="C2379" i="10"/>
  <c r="C2374" i="10"/>
  <c r="C2373" i="10"/>
  <c r="C2371" i="10"/>
  <c r="C2370" i="10"/>
  <c r="C2369" i="10"/>
  <c r="C2368" i="10"/>
  <c r="C2367" i="10"/>
  <c r="C2366" i="10"/>
  <c r="C2365" i="10"/>
  <c r="C2364" i="10"/>
  <c r="C2363" i="10"/>
  <c r="C2361" i="10"/>
  <c r="C2360" i="10"/>
  <c r="C2358" i="10"/>
  <c r="C2357" i="10"/>
  <c r="C2356" i="10"/>
  <c r="C2355" i="10"/>
  <c r="C2345" i="10"/>
  <c r="C2339" i="10"/>
  <c r="C2338" i="10"/>
  <c r="C2337" i="10"/>
  <c r="C2336" i="10"/>
  <c r="C2335" i="10"/>
  <c r="C2334" i="10"/>
  <c r="C2333" i="10"/>
  <c r="C2332" i="10"/>
  <c r="C2331" i="10"/>
  <c r="C2330" i="10"/>
  <c r="C2329" i="10"/>
  <c r="C2328" i="10"/>
  <c r="C2327" i="10"/>
  <c r="C2326" i="10"/>
  <c r="C2325" i="10"/>
  <c r="C2324" i="10"/>
  <c r="C2323" i="10"/>
  <c r="C2322" i="10"/>
  <c r="C2321" i="10"/>
  <c r="C2319" i="10"/>
  <c r="C2317" i="10"/>
  <c r="C2315" i="10"/>
  <c r="C2314" i="10"/>
  <c r="C2313" i="10"/>
  <c r="C2312" i="10"/>
  <c r="C2311" i="10"/>
  <c r="C2310" i="10"/>
  <c r="C2304" i="10"/>
  <c r="C2302" i="10"/>
  <c r="C2301" i="10"/>
  <c r="C2300" i="10"/>
  <c r="C2299" i="10"/>
  <c r="C2298" i="10"/>
  <c r="C2296" i="10"/>
  <c r="C2294" i="10"/>
  <c r="C2293" i="10"/>
  <c r="C2292" i="10"/>
  <c r="C2291" i="10"/>
  <c r="C2290" i="10"/>
  <c r="C2289" i="10"/>
  <c r="C2288" i="10"/>
  <c r="C2287" i="10"/>
  <c r="C2281" i="10"/>
  <c r="C2280" i="10"/>
  <c r="C2279" i="10"/>
  <c r="C2278" i="10"/>
  <c r="C2277" i="10"/>
  <c r="C2274" i="10"/>
  <c r="C2272" i="10"/>
  <c r="C2268" i="10"/>
  <c r="C2267" i="10"/>
  <c r="C2261" i="10"/>
  <c r="C2260" i="10"/>
  <c r="C2259" i="10"/>
  <c r="C2258" i="10"/>
  <c r="C2257" i="10"/>
  <c r="C2256" i="10"/>
  <c r="C2255" i="10"/>
  <c r="C2254" i="10"/>
  <c r="C2253" i="10"/>
  <c r="C2252" i="10"/>
  <c r="C2250" i="10"/>
  <c r="C2249" i="10"/>
  <c r="C2248" i="10"/>
  <c r="C2247" i="10"/>
  <c r="C2246" i="10"/>
  <c r="C2245" i="10"/>
  <c r="C2244" i="10"/>
  <c r="C2243" i="10"/>
  <c r="C2242" i="10"/>
  <c r="C2241" i="10"/>
  <c r="C2239" i="10"/>
  <c r="C2238" i="10"/>
  <c r="C2237" i="10"/>
  <c r="C2236" i="10"/>
  <c r="C2235" i="10"/>
  <c r="C2234" i="10"/>
  <c r="C2233" i="10"/>
  <c r="C2232" i="10"/>
  <c r="C2231" i="10"/>
  <c r="C2230" i="10"/>
  <c r="C2228" i="10"/>
  <c r="C2227" i="10"/>
  <c r="C2226" i="10"/>
  <c r="C2225" i="10"/>
  <c r="C2224" i="10"/>
  <c r="C2223" i="10"/>
  <c r="C2222" i="10"/>
  <c r="C2221" i="10"/>
  <c r="C2220" i="10"/>
  <c r="C2219" i="10"/>
  <c r="C2217" i="10"/>
  <c r="C2216" i="10"/>
  <c r="C2215" i="10"/>
  <c r="C2214" i="10"/>
  <c r="C2213" i="10"/>
  <c r="C2212" i="10"/>
  <c r="C2211" i="10"/>
  <c r="C2210" i="10"/>
  <c r="C2209" i="10"/>
  <c r="C2208" i="10"/>
  <c r="C2206" i="10"/>
  <c r="C2205" i="10"/>
  <c r="C2204" i="10"/>
  <c r="C2203" i="10"/>
  <c r="C2202" i="10"/>
  <c r="C2201" i="10"/>
  <c r="C2200" i="10"/>
  <c r="C2199" i="10"/>
  <c r="C2198" i="10"/>
  <c r="C2197" i="10"/>
  <c r="C2195" i="10"/>
  <c r="C2194" i="10"/>
  <c r="C2193" i="10"/>
  <c r="C2192" i="10"/>
  <c r="C2191" i="10"/>
  <c r="C2190" i="10"/>
  <c r="C2189" i="10"/>
  <c r="C2188" i="10"/>
  <c r="C2187" i="10"/>
  <c r="C2186" i="10"/>
  <c r="C2184" i="10"/>
  <c r="C2182" i="10"/>
  <c r="C2181" i="10"/>
  <c r="C2180" i="10"/>
  <c r="C2179" i="10"/>
  <c r="C2178" i="10"/>
  <c r="C2177" i="10"/>
  <c r="C2176" i="10"/>
  <c r="C2175" i="10"/>
  <c r="C2174" i="10"/>
  <c r="C2173" i="10"/>
  <c r="C2171" i="10"/>
  <c r="C2170" i="10"/>
  <c r="C2169" i="10"/>
  <c r="C2168" i="10"/>
  <c r="C2167" i="10"/>
  <c r="C2166" i="10"/>
  <c r="C2165" i="10"/>
  <c r="C2164" i="10"/>
  <c r="C2163" i="10"/>
  <c r="C2156" i="10"/>
  <c r="C2155" i="10"/>
  <c r="C2154" i="10"/>
  <c r="C2152" i="10"/>
  <c r="C2151" i="10"/>
  <c r="C2150" i="10"/>
  <c r="C2148" i="10"/>
  <c r="C2146" i="10"/>
  <c r="C2145" i="10"/>
  <c r="C2144" i="10"/>
  <c r="C2143" i="10"/>
  <c r="C2142" i="10"/>
  <c r="C2141" i="10"/>
  <c r="C2140" i="10"/>
  <c r="C2139" i="10"/>
  <c r="C2138" i="10"/>
  <c r="C2137" i="10"/>
  <c r="C2135" i="10"/>
  <c r="C2134" i="10"/>
  <c r="C2133" i="10"/>
  <c r="C2132" i="10"/>
  <c r="C2131" i="10"/>
  <c r="C2130" i="10"/>
  <c r="C2129" i="10"/>
  <c r="C2128" i="10"/>
  <c r="C2127" i="10"/>
  <c r="C2126" i="10"/>
  <c r="C2124" i="10"/>
  <c r="C2123" i="10"/>
  <c r="C2122" i="10"/>
  <c r="C2121" i="10"/>
  <c r="C2120" i="10"/>
  <c r="C2119" i="10"/>
  <c r="C2118" i="10"/>
  <c r="C2117" i="10"/>
  <c r="C2116" i="10"/>
  <c r="C2115" i="10"/>
  <c r="C2113" i="10"/>
  <c r="C2112" i="10"/>
  <c r="C2111" i="10"/>
  <c r="C2110" i="10"/>
  <c r="C2109" i="10"/>
  <c r="C2108" i="10"/>
  <c r="C2107" i="10"/>
  <c r="C2106" i="10"/>
  <c r="C2105" i="10"/>
  <c r="C2104" i="10"/>
  <c r="C2102" i="10"/>
  <c r="C2101" i="10"/>
  <c r="C2100" i="10"/>
  <c r="C2099" i="10"/>
  <c r="C2098" i="10"/>
  <c r="C2097" i="10"/>
  <c r="C2096" i="10"/>
  <c r="C2095" i="10"/>
  <c r="C2094" i="10"/>
  <c r="C2093" i="10"/>
  <c r="C2091" i="10"/>
  <c r="C2090" i="10"/>
  <c r="C2089" i="10"/>
  <c r="C2088" i="10"/>
  <c r="C2087" i="10"/>
  <c r="C2086" i="10"/>
  <c r="C2085" i="10"/>
  <c r="C2084" i="10"/>
  <c r="C2083" i="10"/>
  <c r="C2082" i="10"/>
  <c r="C2080" i="10"/>
  <c r="C2079" i="10"/>
  <c r="C2078" i="10"/>
  <c r="C2077" i="10"/>
  <c r="C2076" i="10"/>
  <c r="C2075" i="10"/>
  <c r="C2074" i="10"/>
  <c r="C2073" i="10"/>
  <c r="C2072" i="10"/>
  <c r="C2071" i="10"/>
  <c r="C2069" i="10"/>
  <c r="C2068" i="10"/>
  <c r="C2067" i="10"/>
  <c r="C2066" i="10"/>
  <c r="C2065" i="10"/>
  <c r="C2064" i="10"/>
  <c r="C2063" i="10"/>
  <c r="C2062" i="10"/>
  <c r="C2061" i="10"/>
  <c r="C2060" i="10"/>
  <c r="C2059" i="10"/>
  <c r="C2057" i="10"/>
  <c r="C2056" i="10"/>
  <c r="C2055" i="10"/>
  <c r="C2054" i="10"/>
  <c r="C2053" i="10"/>
  <c r="C2052" i="10"/>
  <c r="C2051" i="10"/>
  <c r="C2050" i="10"/>
  <c r="C2049" i="10"/>
  <c r="C2048" i="10"/>
  <c r="C2041" i="10"/>
  <c r="C2040" i="10"/>
  <c r="C2039" i="10"/>
  <c r="C2038" i="10"/>
  <c r="C2037" i="10"/>
  <c r="C2036" i="10"/>
  <c r="C2035" i="10"/>
  <c r="C2034" i="10"/>
  <c r="C2033" i="10"/>
  <c r="C2032" i="10"/>
  <c r="C2031" i="10"/>
  <c r="C2030" i="10"/>
  <c r="C2029" i="10"/>
  <c r="C2028" i="10"/>
  <c r="C2026" i="10"/>
  <c r="C2025" i="10"/>
  <c r="C2024" i="10"/>
  <c r="C2023" i="10"/>
  <c r="C2022" i="10"/>
  <c r="C2021" i="10"/>
  <c r="C2020" i="10"/>
  <c r="C2019" i="10"/>
  <c r="C2018" i="10"/>
  <c r="C2017" i="10"/>
  <c r="C2016" i="10"/>
  <c r="C2015" i="10"/>
  <c r="C2014" i="10"/>
  <c r="C2013" i="10"/>
  <c r="C2012" i="10"/>
  <c r="C2011" i="10"/>
  <c r="C2010" i="10"/>
  <c r="C2009" i="10"/>
  <c r="C2008" i="10"/>
  <c r="C2007" i="10"/>
  <c r="C2006" i="10"/>
  <c r="C2005" i="10"/>
  <c r="C2004" i="10"/>
  <c r="C2002" i="10"/>
  <c r="C2001" i="10"/>
  <c r="C2000" i="10"/>
  <c r="C1999" i="10"/>
  <c r="C1998" i="10"/>
  <c r="C1997" i="10"/>
  <c r="C1996" i="10"/>
  <c r="C1995" i="10"/>
  <c r="C1994" i="10"/>
  <c r="C1993" i="10"/>
  <c r="C1992" i="10"/>
  <c r="C1991" i="10"/>
  <c r="C1990" i="10"/>
  <c r="C1989" i="10"/>
  <c r="C1988" i="10"/>
  <c r="C1987" i="10"/>
  <c r="C1986" i="10"/>
  <c r="C1985" i="10"/>
  <c r="C1984" i="10"/>
  <c r="C1983" i="10"/>
  <c r="C1982" i="10"/>
  <c r="C1981" i="10"/>
  <c r="C1980" i="10"/>
  <c r="C1979" i="10"/>
  <c r="C1978" i="10"/>
  <c r="C1971" i="10"/>
  <c r="C1970" i="10"/>
  <c r="C1968" i="10"/>
  <c r="C1967" i="10"/>
  <c r="C1966" i="10"/>
  <c r="C1965" i="10"/>
  <c r="C1964" i="10"/>
  <c r="C1963" i="10"/>
  <c r="C1962" i="10"/>
  <c r="C1961" i="10"/>
  <c r="C1959" i="10"/>
  <c r="C1958" i="10"/>
  <c r="C1957" i="10"/>
  <c r="C1956" i="10"/>
  <c r="C1955" i="10"/>
  <c r="C1954" i="10"/>
  <c r="C1953" i="10"/>
  <c r="C1952" i="10"/>
  <c r="C1950" i="10"/>
  <c r="C1949" i="10"/>
  <c r="C1948" i="10"/>
  <c r="C1947" i="10"/>
  <c r="C1946" i="10"/>
  <c r="C1944" i="10"/>
  <c r="C1943" i="10"/>
  <c r="C1942" i="10"/>
  <c r="C1941" i="10"/>
  <c r="C1933" i="10"/>
  <c r="C1932" i="10"/>
  <c r="C1931" i="10"/>
  <c r="C1930" i="10"/>
  <c r="C1929" i="10"/>
  <c r="C1928" i="10"/>
  <c r="C1927" i="10"/>
  <c r="C1926" i="10"/>
  <c r="C1925" i="10"/>
  <c r="C1924" i="10"/>
  <c r="C1923" i="10"/>
  <c r="C1922" i="10"/>
  <c r="C1921" i="10"/>
  <c r="C1919" i="10"/>
  <c r="C1918" i="10"/>
  <c r="C1916" i="10"/>
  <c r="C1915" i="10"/>
  <c r="C1914" i="10"/>
  <c r="C1913" i="10"/>
  <c r="C1912" i="10"/>
  <c r="C1911" i="10"/>
  <c r="C1910" i="10"/>
  <c r="C1909" i="10"/>
  <c r="C1908" i="10"/>
  <c r="C1907" i="10"/>
  <c r="C1905" i="10"/>
  <c r="C1904" i="10"/>
  <c r="C1903" i="10"/>
  <c r="C1902" i="10"/>
  <c r="C1901" i="10"/>
  <c r="C1900" i="10"/>
  <c r="C1899" i="10"/>
  <c r="C1898" i="10"/>
  <c r="C1897" i="10"/>
  <c r="C1896" i="10"/>
  <c r="C1895" i="10"/>
  <c r="C1888" i="10"/>
  <c r="C1886" i="10"/>
  <c r="C1884" i="10"/>
  <c r="C1883" i="10"/>
  <c r="C1882" i="10"/>
  <c r="C1881" i="10"/>
  <c r="C1880" i="10"/>
  <c r="C1879" i="10"/>
  <c r="C1878" i="10"/>
  <c r="C1877" i="10"/>
  <c r="C1875" i="10"/>
  <c r="C1874" i="10"/>
  <c r="C1873" i="10"/>
  <c r="C1872" i="10"/>
  <c r="C1871" i="10"/>
  <c r="C1870" i="10"/>
  <c r="C1869" i="10"/>
  <c r="C1868" i="10"/>
  <c r="C1866" i="10"/>
  <c r="C1865" i="10"/>
  <c r="C1863" i="10"/>
  <c r="C1862" i="10"/>
  <c r="C1861" i="10"/>
  <c r="C1860" i="10"/>
  <c r="C1859" i="10"/>
  <c r="C1857" i="10"/>
  <c r="C1856" i="10"/>
  <c r="C1855" i="10"/>
  <c r="C1854" i="10"/>
  <c r="H752" i="10" l="1"/>
  <c r="G752" i="10"/>
  <c r="F752" i="10"/>
  <c r="C752" i="10"/>
  <c r="E752" i="10" s="1"/>
  <c r="H750" i="10"/>
  <c r="G750" i="10"/>
  <c r="F750" i="10"/>
  <c r="E750" i="10"/>
  <c r="H749" i="10"/>
  <c r="G749" i="10"/>
  <c r="F749" i="10"/>
  <c r="E749" i="10"/>
  <c r="H748" i="10"/>
  <c r="G748" i="10"/>
  <c r="F748" i="10"/>
  <c r="E748" i="10"/>
  <c r="H747" i="10"/>
  <c r="G747" i="10"/>
  <c r="F747" i="10"/>
  <c r="E747" i="10"/>
  <c r="H746" i="10"/>
  <c r="G746" i="10"/>
  <c r="F746" i="10"/>
  <c r="E746" i="10"/>
  <c r="H745" i="10"/>
  <c r="G745" i="10"/>
  <c r="F745" i="10"/>
  <c r="E745" i="10"/>
  <c r="H744" i="10"/>
  <c r="G744" i="10"/>
  <c r="F744" i="10"/>
  <c r="E744" i="10"/>
  <c r="H743" i="10"/>
  <c r="G743" i="10"/>
  <c r="F743" i="10"/>
  <c r="E743" i="10"/>
  <c r="H742" i="10"/>
  <c r="G742" i="10"/>
  <c r="F742" i="10"/>
  <c r="E742" i="10"/>
  <c r="H741" i="10"/>
  <c r="G741" i="10"/>
  <c r="F741" i="10"/>
  <c r="E741" i="10"/>
  <c r="H740" i="10"/>
  <c r="G740" i="10"/>
  <c r="F740" i="10"/>
  <c r="E740" i="10"/>
  <c r="H739" i="10"/>
  <c r="G739" i="10"/>
  <c r="F739" i="10"/>
  <c r="E739" i="10"/>
  <c r="H738" i="10"/>
  <c r="G738" i="10"/>
  <c r="F738" i="10"/>
  <c r="E738" i="10"/>
  <c r="H737" i="10"/>
  <c r="G737" i="10"/>
  <c r="F737" i="10"/>
  <c r="E737" i="10"/>
  <c r="H736" i="10"/>
  <c r="G736" i="10"/>
  <c r="F736" i="10"/>
  <c r="E736" i="10"/>
  <c r="H735" i="10"/>
  <c r="G735" i="10"/>
  <c r="F735" i="10"/>
  <c r="E735" i="10"/>
  <c r="H734" i="10"/>
  <c r="G734" i="10"/>
  <c r="F734" i="10"/>
  <c r="E734" i="10"/>
  <c r="H733" i="10"/>
  <c r="G733" i="10"/>
  <c r="F733" i="10"/>
  <c r="E733" i="10"/>
  <c r="H732" i="10"/>
  <c r="G732" i="10"/>
  <c r="F732" i="10"/>
  <c r="E732" i="10"/>
  <c r="H731" i="10"/>
  <c r="G731" i="10"/>
  <c r="F731" i="10"/>
  <c r="E731" i="10"/>
  <c r="H730" i="10"/>
  <c r="G730" i="10"/>
  <c r="F730" i="10"/>
  <c r="E730" i="10"/>
  <c r="H729" i="10"/>
  <c r="G729" i="10"/>
  <c r="F729" i="10"/>
  <c r="E729" i="10"/>
  <c r="H728" i="10"/>
  <c r="G728" i="10"/>
  <c r="F728" i="10"/>
  <c r="E728" i="10"/>
  <c r="H727" i="10"/>
  <c r="G727" i="10"/>
  <c r="F727" i="10"/>
  <c r="E727" i="10"/>
  <c r="H726" i="10"/>
  <c r="G726" i="10"/>
  <c r="F726" i="10"/>
  <c r="E726" i="10"/>
  <c r="H725" i="10"/>
  <c r="G725" i="10"/>
  <c r="F725" i="10"/>
  <c r="E725" i="10"/>
  <c r="H724" i="10"/>
  <c r="G724" i="10"/>
  <c r="F724" i="10"/>
  <c r="E724" i="10"/>
  <c r="H723" i="10"/>
  <c r="G723" i="10"/>
  <c r="F723" i="10"/>
  <c r="E723" i="10"/>
  <c r="H722" i="10"/>
  <c r="G722" i="10"/>
  <c r="F722" i="10"/>
  <c r="E722" i="10"/>
  <c r="H721" i="10"/>
  <c r="G721" i="10"/>
  <c r="F721" i="10"/>
  <c r="E721" i="10"/>
  <c r="H720" i="10"/>
  <c r="G720" i="10"/>
  <c r="F720" i="10"/>
  <c r="E720" i="10"/>
  <c r="H719" i="10"/>
  <c r="G719" i="10"/>
  <c r="F719" i="10"/>
  <c r="E719" i="10"/>
  <c r="H718" i="10"/>
  <c r="G718" i="10"/>
  <c r="F718" i="10"/>
  <c r="E718" i="10"/>
  <c r="H717" i="10"/>
  <c r="G717" i="10"/>
  <c r="F717" i="10"/>
  <c r="E717" i="10"/>
  <c r="H716" i="10"/>
  <c r="G716" i="10"/>
  <c r="F716" i="10"/>
  <c r="E716" i="10"/>
  <c r="H715" i="10"/>
  <c r="G715" i="10"/>
  <c r="F715" i="10"/>
  <c r="E715" i="10"/>
  <c r="H714" i="10"/>
  <c r="G714" i="10"/>
  <c r="F714" i="10"/>
  <c r="E714" i="10"/>
  <c r="H713" i="10"/>
  <c r="G713" i="10"/>
  <c r="F713" i="10"/>
  <c r="E713" i="10"/>
  <c r="H712" i="10"/>
  <c r="G712" i="10"/>
  <c r="F712" i="10"/>
  <c r="E712" i="10"/>
  <c r="H711" i="10"/>
  <c r="G711" i="10"/>
  <c r="F711" i="10"/>
  <c r="E711" i="10"/>
  <c r="H710" i="10"/>
  <c r="G710" i="10"/>
  <c r="F710" i="10"/>
  <c r="E710" i="10"/>
  <c r="H709" i="10"/>
  <c r="G709" i="10"/>
  <c r="F709" i="10"/>
  <c r="E709" i="10"/>
  <c r="H708" i="10"/>
  <c r="G708" i="10"/>
  <c r="F708" i="10"/>
  <c r="E708" i="10"/>
  <c r="H707" i="10"/>
  <c r="G707" i="10"/>
  <c r="F707" i="10"/>
  <c r="E707" i="10"/>
  <c r="H706" i="10"/>
  <c r="G706" i="10"/>
  <c r="F706" i="10"/>
  <c r="E706" i="10"/>
  <c r="H705" i="10"/>
  <c r="G705" i="10"/>
  <c r="F705" i="10"/>
  <c r="E705" i="10"/>
  <c r="H704" i="10"/>
  <c r="G704" i="10"/>
  <c r="F704" i="10"/>
  <c r="E704" i="10"/>
  <c r="H703" i="10"/>
  <c r="G703" i="10"/>
  <c r="F703" i="10"/>
  <c r="E703" i="10"/>
  <c r="H702" i="10"/>
  <c r="G702" i="10"/>
  <c r="F702" i="10"/>
  <c r="E702" i="10"/>
  <c r="H701" i="10"/>
  <c r="G701" i="10"/>
  <c r="F701" i="10"/>
  <c r="E701" i="10"/>
  <c r="H700" i="10"/>
  <c r="G700" i="10"/>
  <c r="F700" i="10"/>
  <c r="E700" i="10"/>
  <c r="H699" i="10"/>
  <c r="G699" i="10"/>
  <c r="F699" i="10"/>
  <c r="E699" i="10"/>
  <c r="C11" i="10" l="1"/>
  <c r="E11" i="10" s="1"/>
  <c r="C12" i="10"/>
  <c r="E12" i="10" s="1"/>
  <c r="C13" i="10"/>
  <c r="E13" i="10" s="1"/>
  <c r="C14" i="10"/>
  <c r="E14" i="10" s="1"/>
  <c r="C16" i="10"/>
  <c r="E16" i="10" s="1"/>
  <c r="C17" i="10"/>
  <c r="E17" i="10" s="1"/>
  <c r="C18" i="10"/>
  <c r="E18" i="10" s="1"/>
  <c r="C19" i="10"/>
  <c r="E19" i="10" s="1"/>
  <c r="C21" i="10"/>
  <c r="E21" i="10" s="1"/>
  <c r="C22" i="10"/>
  <c r="E22" i="10" s="1"/>
  <c r="C23" i="10"/>
  <c r="E23" i="10" s="1"/>
  <c r="C24" i="10"/>
  <c r="E24" i="10" s="1"/>
  <c r="C25" i="10"/>
  <c r="E25" i="10" s="1"/>
  <c r="C26" i="10"/>
  <c r="E26" i="10" s="1"/>
  <c r="C27" i="10"/>
  <c r="E27" i="10" s="1"/>
  <c r="C30" i="10"/>
  <c r="E30" i="10" s="1"/>
  <c r="C33" i="10"/>
  <c r="E33" i="10" s="1"/>
  <c r="C34" i="10"/>
  <c r="E34" i="10" s="1"/>
  <c r="C35" i="10"/>
  <c r="E35" i="10" s="1"/>
  <c r="C37" i="10"/>
  <c r="E37" i="10" s="1"/>
  <c r="C39" i="10"/>
  <c r="E39" i="10" s="1"/>
  <c r="C40" i="10"/>
  <c r="E40" i="10" s="1"/>
  <c r="C42" i="10"/>
  <c r="E42" i="10" s="1"/>
  <c r="C43" i="10"/>
  <c r="E43" i="10" s="1"/>
  <c r="C44" i="10"/>
  <c r="E44" i="10" s="1"/>
  <c r="C45" i="10"/>
  <c r="E45" i="10" s="1"/>
  <c r="C47" i="10"/>
  <c r="E47" i="10" s="1"/>
  <c r="C48" i="10"/>
  <c r="E48" i="10" s="1"/>
  <c r="C49" i="10"/>
  <c r="E49" i="10" s="1"/>
  <c r="C50" i="10"/>
  <c r="E50" i="10" s="1"/>
  <c r="C51" i="10"/>
  <c r="E51" i="10" s="1"/>
  <c r="C53" i="10"/>
  <c r="E53" i="10" s="1"/>
  <c r="C55" i="10"/>
  <c r="E55" i="10" s="1"/>
  <c r="C58" i="10"/>
  <c r="E58" i="10" s="1"/>
  <c r="C59" i="10"/>
  <c r="E59" i="10" s="1"/>
  <c r="C60" i="10"/>
  <c r="E60" i="10" s="1"/>
  <c r="C62" i="10"/>
  <c r="E62" i="10" s="1"/>
  <c r="C64" i="10"/>
  <c r="E64" i="10" s="1"/>
  <c r="C65" i="10"/>
  <c r="E65" i="10" s="1"/>
  <c r="C67" i="10"/>
  <c r="E67" i="10" s="1"/>
  <c r="C68" i="10"/>
  <c r="E68" i="10" s="1"/>
  <c r="C69" i="10"/>
  <c r="E69" i="10" s="1"/>
  <c r="C70" i="10"/>
  <c r="E70" i="10" s="1"/>
  <c r="C72" i="10"/>
  <c r="E72" i="10" s="1"/>
  <c r="C73" i="10"/>
  <c r="E73" i="10" s="1"/>
  <c r="C74" i="10"/>
  <c r="E74" i="10" s="1"/>
  <c r="C75" i="10"/>
  <c r="E75" i="10" s="1"/>
  <c r="C76" i="10"/>
  <c r="E76" i="10" s="1"/>
  <c r="C78" i="10"/>
  <c r="E78" i="10" s="1"/>
  <c r="C80" i="10"/>
  <c r="E80" i="10" s="1"/>
  <c r="C82" i="10"/>
  <c r="E82" i="10" s="1"/>
  <c r="C83" i="10"/>
  <c r="E83" i="10" s="1"/>
  <c r="C84" i="10"/>
  <c r="E84" i="10" s="1"/>
  <c r="C85" i="10"/>
  <c r="E85" i="10" s="1"/>
  <c r="C86" i="10"/>
  <c r="E86" i="10" s="1"/>
  <c r="C87" i="10"/>
  <c r="E87" i="10" s="1"/>
  <c r="C88" i="10"/>
  <c r="E88" i="10" s="1"/>
  <c r="C89" i="10"/>
  <c r="E89" i="10" s="1"/>
  <c r="C90" i="10"/>
  <c r="E90" i="10" s="1"/>
  <c r="C91" i="10"/>
  <c r="E91" i="10" s="1"/>
  <c r="C92" i="10"/>
  <c r="E92" i="10" s="1"/>
  <c r="C93" i="10"/>
  <c r="E93" i="10" s="1"/>
  <c r="C94" i="10"/>
  <c r="E94" i="10" s="1"/>
  <c r="C96" i="10"/>
  <c r="E96" i="10" s="1"/>
  <c r="E99" i="10"/>
  <c r="E103" i="10"/>
  <c r="E102"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C140" i="10"/>
  <c r="E140" i="10" s="1"/>
  <c r="C142" i="10"/>
  <c r="E142" i="10" s="1"/>
  <c r="C146" i="10"/>
  <c r="E146" i="10" s="1"/>
  <c r="C147" i="10"/>
  <c r="E147" i="10" s="1"/>
  <c r="C145" i="10"/>
  <c r="E145" i="10" s="1"/>
  <c r="C149" i="10"/>
  <c r="E149" i="10" s="1"/>
  <c r="C150" i="10"/>
  <c r="E150" i="10" s="1"/>
  <c r="C151" i="10"/>
  <c r="E151" i="10" s="1"/>
  <c r="C152" i="10"/>
  <c r="E152" i="10" s="1"/>
  <c r="C154" i="10"/>
  <c r="E154" i="10" s="1"/>
  <c r="C155" i="10"/>
  <c r="E155" i="10" s="1"/>
  <c r="E156" i="10"/>
  <c r="E157" i="10"/>
  <c r="C158" i="10"/>
  <c r="E158" i="10" s="1"/>
  <c r="C159" i="10"/>
  <c r="E159" i="10" s="1"/>
  <c r="C161" i="10"/>
  <c r="E161" i="10" s="1"/>
  <c r="C162" i="10"/>
  <c r="E162" i="10" s="1"/>
  <c r="C163" i="10"/>
  <c r="E163" i="10" s="1"/>
  <c r="C164" i="10"/>
  <c r="E164" i="10" s="1"/>
  <c r="C165" i="10"/>
  <c r="E165" i="10" s="1"/>
  <c r="C167" i="10"/>
  <c r="E167" i="10" s="1"/>
  <c r="C168" i="10"/>
  <c r="E168" i="10" s="1"/>
  <c r="C169" i="10"/>
  <c r="E169" i="10" s="1"/>
  <c r="C170" i="10"/>
  <c r="E170" i="10" s="1"/>
  <c r="C172" i="10"/>
  <c r="E172" i="10" s="1"/>
  <c r="C173" i="10"/>
  <c r="E173" i="10" s="1"/>
  <c r="C174" i="10"/>
  <c r="E174" i="10" s="1"/>
  <c r="C175" i="10"/>
  <c r="E175" i="10" s="1"/>
  <c r="C176" i="10"/>
  <c r="E176" i="10" s="1"/>
  <c r="C177" i="10"/>
  <c r="E177" i="10" s="1"/>
  <c r="C178" i="10"/>
  <c r="E178" i="10" s="1"/>
  <c r="C179" i="10"/>
  <c r="E179" i="10" s="1"/>
  <c r="C180" i="10"/>
  <c r="E180" i="10" s="1"/>
  <c r="C181" i="10"/>
  <c r="E181" i="10" s="1"/>
  <c r="C182" i="10"/>
  <c r="E182" i="10" s="1"/>
  <c r="C183" i="10"/>
  <c r="E183" i="10" s="1"/>
  <c r="C184" i="10"/>
  <c r="E184" i="10" s="1"/>
  <c r="C185" i="10"/>
  <c r="E185" i="10" s="1"/>
  <c r="C186" i="10"/>
  <c r="E186" i="10" s="1"/>
  <c r="C187" i="10"/>
  <c r="E187" i="10" s="1"/>
  <c r="C188" i="10"/>
  <c r="E188" i="10" s="1"/>
  <c r="C189" i="10"/>
  <c r="E189" i="10" s="1"/>
  <c r="C190" i="10"/>
  <c r="E190" i="10" s="1"/>
  <c r="C191" i="10"/>
  <c r="E191" i="10" s="1"/>
  <c r="C192" i="10"/>
  <c r="E192" i="10" s="1"/>
  <c r="C193" i="10"/>
  <c r="E193" i="10" s="1"/>
  <c r="C194" i="10"/>
  <c r="E194" i="10" s="1"/>
  <c r="C196" i="10"/>
  <c r="E196" i="10" s="1"/>
  <c r="C198" i="10"/>
  <c r="E198" i="10" s="1"/>
  <c r="C202" i="10"/>
  <c r="E202" i="10" s="1"/>
  <c r="C203" i="10"/>
  <c r="E203" i="10" s="1"/>
  <c r="C201" i="10"/>
  <c r="E201" i="10" s="1"/>
  <c r="C205" i="10"/>
  <c r="E205" i="10" s="1"/>
  <c r="C206" i="10"/>
  <c r="E206" i="10" s="1"/>
  <c r="C207" i="10"/>
  <c r="E207" i="10" s="1"/>
  <c r="C208" i="10"/>
  <c r="E208" i="10" s="1"/>
  <c r="C210" i="10"/>
  <c r="E210" i="10" s="1"/>
  <c r="C211" i="10"/>
  <c r="E211" i="10" s="1"/>
  <c r="E212" i="10"/>
  <c r="E213" i="10"/>
  <c r="C214" i="10"/>
  <c r="E214" i="10" s="1"/>
  <c r="C215" i="10"/>
  <c r="E215" i="10" s="1"/>
  <c r="C217" i="10"/>
  <c r="E217" i="10" s="1"/>
  <c r="C218" i="10"/>
  <c r="E218" i="10" s="1"/>
  <c r="C219" i="10"/>
  <c r="E219" i="10" s="1"/>
  <c r="C220" i="10"/>
  <c r="E220" i="10" s="1"/>
  <c r="C221" i="10"/>
  <c r="E221" i="10" s="1"/>
  <c r="C223" i="10"/>
  <c r="E223" i="10" s="1"/>
  <c r="C224" i="10"/>
  <c r="E224" i="10" s="1"/>
  <c r="C225" i="10"/>
  <c r="E225" i="10" s="1"/>
  <c r="C226" i="10"/>
  <c r="E226" i="10" s="1"/>
  <c r="C228" i="10"/>
  <c r="E228" i="10" s="1"/>
  <c r="C229" i="10"/>
  <c r="E229" i="10" s="1"/>
  <c r="C230" i="10"/>
  <c r="E230" i="10" s="1"/>
  <c r="C231" i="10"/>
  <c r="E231" i="10" s="1"/>
  <c r="C232" i="10"/>
  <c r="E232" i="10" s="1"/>
  <c r="C233" i="10"/>
  <c r="E233" i="10" s="1"/>
  <c r="C234" i="10"/>
  <c r="E234" i="10" s="1"/>
  <c r="C235" i="10"/>
  <c r="E235" i="10" s="1"/>
  <c r="C236" i="10"/>
  <c r="E236" i="10" s="1"/>
  <c r="C237" i="10"/>
  <c r="E237" i="10" s="1"/>
  <c r="C238" i="10"/>
  <c r="E238" i="10" s="1"/>
  <c r="C239" i="10"/>
  <c r="E239" i="10" s="1"/>
  <c r="C240" i="10"/>
  <c r="E240" i="10" s="1"/>
  <c r="C241" i="10"/>
  <c r="E241" i="10" s="1"/>
  <c r="C242" i="10"/>
  <c r="E242" i="10" s="1"/>
  <c r="C243" i="10"/>
  <c r="E243" i="10" s="1"/>
  <c r="C244" i="10"/>
  <c r="E244" i="10" s="1"/>
  <c r="C245" i="10"/>
  <c r="E245" i="10" s="1"/>
  <c r="C246" i="10"/>
  <c r="E246" i="10" s="1"/>
  <c r="C247" i="10"/>
  <c r="E247" i="10" s="1"/>
  <c r="C248" i="10"/>
  <c r="E248" i="10" s="1"/>
  <c r="C249" i="10"/>
  <c r="E249" i="10" s="1"/>
  <c r="C250" i="10"/>
  <c r="E250" i="10" s="1"/>
  <c r="C252" i="10"/>
  <c r="E252" i="10" s="1"/>
  <c r="C254" i="10"/>
  <c r="E254" i="10" s="1"/>
  <c r="C257" i="10"/>
  <c r="E257" i="10" s="1"/>
  <c r="C258" i="10"/>
  <c r="E258" i="10" s="1"/>
  <c r="C259" i="10"/>
  <c r="E259" i="10" s="1"/>
  <c r="C260" i="10"/>
  <c r="E260" i="10" s="1"/>
  <c r="C261" i="10"/>
  <c r="E261" i="10" s="1"/>
  <c r="C262" i="10"/>
  <c r="E262" i="10" s="1"/>
  <c r="C264" i="10"/>
  <c r="E264" i="10" s="1"/>
  <c r="C265" i="10"/>
  <c r="E265" i="10" s="1"/>
  <c r="C266" i="10"/>
  <c r="E266" i="10" s="1"/>
  <c r="E267" i="10"/>
  <c r="E268" i="10"/>
  <c r="C269" i="10"/>
  <c r="E269" i="10" s="1"/>
  <c r="C270" i="10"/>
  <c r="E270" i="10" s="1"/>
  <c r="C272" i="10"/>
  <c r="E272" i="10" s="1"/>
  <c r="C273" i="10"/>
  <c r="E273" i="10" s="1"/>
  <c r="C274" i="10"/>
  <c r="E274" i="10" s="1"/>
  <c r="C275" i="10"/>
  <c r="E275" i="10" s="1"/>
  <c r="C276" i="10"/>
  <c r="E276" i="10" s="1"/>
  <c r="C278" i="10"/>
  <c r="E278" i="10" s="1"/>
  <c r="C279" i="10"/>
  <c r="E279" i="10" s="1"/>
  <c r="C280" i="10"/>
  <c r="E280" i="10" s="1"/>
  <c r="C281" i="10"/>
  <c r="E281" i="10" s="1"/>
  <c r="C283" i="10"/>
  <c r="E283" i="10" s="1"/>
  <c r="C284" i="10"/>
  <c r="E284" i="10" s="1"/>
  <c r="C285" i="10"/>
  <c r="E285" i="10" s="1"/>
  <c r="C286" i="10"/>
  <c r="E286" i="10" s="1"/>
  <c r="C287" i="10"/>
  <c r="E287" i="10" s="1"/>
  <c r="C288" i="10"/>
  <c r="E288" i="10" s="1"/>
  <c r="C289" i="10"/>
  <c r="E289" i="10" s="1"/>
  <c r="C290" i="10"/>
  <c r="E290" i="10" s="1"/>
  <c r="C291" i="10"/>
  <c r="E291" i="10" s="1"/>
  <c r="C292" i="10"/>
  <c r="E292" i="10" s="1"/>
  <c r="C293" i="10"/>
  <c r="E293" i="10" s="1"/>
  <c r="C294" i="10"/>
  <c r="E294" i="10" s="1"/>
  <c r="C295" i="10"/>
  <c r="E295" i="10" s="1"/>
  <c r="C296" i="10"/>
  <c r="E296" i="10" s="1"/>
  <c r="C297" i="10"/>
  <c r="E297" i="10" s="1"/>
  <c r="C298" i="10"/>
  <c r="E298" i="10" s="1"/>
  <c r="C299" i="10"/>
  <c r="E299" i="10" s="1"/>
  <c r="C300" i="10"/>
  <c r="E300" i="10" s="1"/>
  <c r="C301" i="10"/>
  <c r="E301" i="10" s="1"/>
  <c r="C302" i="10"/>
  <c r="E302" i="10" s="1"/>
  <c r="C303" i="10"/>
  <c r="E303" i="10" s="1"/>
  <c r="C304" i="10"/>
  <c r="E304" i="10" s="1"/>
  <c r="C305" i="10"/>
  <c r="E305" i="10" s="1"/>
  <c r="C307" i="10"/>
  <c r="E307" i="10" s="1"/>
  <c r="C309" i="10"/>
  <c r="E309" i="10" s="1"/>
  <c r="C312" i="10"/>
  <c r="E312" i="10" s="1"/>
  <c r="C313" i="10"/>
  <c r="E313" i="10" s="1"/>
  <c r="C314" i="10"/>
  <c r="E314" i="10" s="1"/>
  <c r="C315" i="10"/>
  <c r="E315" i="10" s="1"/>
  <c r="C316" i="10"/>
  <c r="E316" i="10" s="1"/>
  <c r="C317" i="10"/>
  <c r="E317" i="10" s="1"/>
  <c r="C319" i="10"/>
  <c r="E319" i="10" s="1"/>
  <c r="C320" i="10"/>
  <c r="E320" i="10" s="1"/>
  <c r="C321" i="10"/>
  <c r="E321" i="10" s="1"/>
  <c r="E322" i="10"/>
  <c r="C323" i="10"/>
  <c r="E323" i="10" s="1"/>
  <c r="C324" i="10"/>
  <c r="E324" i="10" s="1"/>
  <c r="E325" i="10"/>
  <c r="C326" i="10"/>
  <c r="E326" i="10" s="1"/>
  <c r="C327" i="10"/>
  <c r="E327" i="10" s="1"/>
  <c r="C328" i="10"/>
  <c r="E328" i="10" s="1"/>
  <c r="C329" i="10"/>
  <c r="E329" i="10" s="1"/>
  <c r="C330" i="10"/>
  <c r="E330" i="10" s="1"/>
  <c r="C331" i="10"/>
  <c r="E331" i="10" s="1"/>
  <c r="C333" i="10"/>
  <c r="E333" i="10" s="1"/>
  <c r="C334" i="10"/>
  <c r="E334" i="10" s="1"/>
  <c r="C335" i="10"/>
  <c r="E335" i="10" s="1"/>
  <c r="C336" i="10"/>
  <c r="E336" i="10" s="1"/>
  <c r="C337" i="10"/>
  <c r="E337" i="10" s="1"/>
  <c r="C339" i="10"/>
  <c r="E339" i="10" s="1"/>
  <c r="C340" i="10"/>
  <c r="E340" i="10" s="1"/>
  <c r="C341" i="10"/>
  <c r="E341" i="10" s="1"/>
  <c r="C342" i="10"/>
  <c r="E342" i="10" s="1"/>
  <c r="C343" i="10"/>
  <c r="E343" i="10" s="1"/>
  <c r="C344" i="10"/>
  <c r="E344" i="10" s="1"/>
  <c r="C345" i="10"/>
  <c r="E345" i="10" s="1"/>
  <c r="C346" i="10"/>
  <c r="E346" i="10" s="1"/>
  <c r="C347" i="10"/>
  <c r="E347" i="10" s="1"/>
  <c r="C348" i="10"/>
  <c r="E348" i="10" s="1"/>
  <c r="C350" i="10"/>
  <c r="E350" i="10" s="1"/>
  <c r="C351" i="10"/>
  <c r="E351" i="10" s="1"/>
  <c r="C352" i="10"/>
  <c r="E352" i="10" s="1"/>
  <c r="C353" i="10"/>
  <c r="E353" i="10" s="1"/>
  <c r="C354" i="10"/>
  <c r="E354" i="10" s="1"/>
  <c r="C355" i="10"/>
  <c r="E355" i="10" s="1"/>
  <c r="C356" i="10"/>
  <c r="E356" i="10" s="1"/>
  <c r="C357" i="10"/>
  <c r="E357" i="10" s="1"/>
  <c r="C358" i="10"/>
  <c r="E358" i="10" s="1"/>
  <c r="C359" i="10"/>
  <c r="E359" i="10" s="1"/>
  <c r="C360" i="10"/>
  <c r="E360" i="10" s="1"/>
  <c r="C361" i="10"/>
  <c r="E361" i="10" s="1"/>
  <c r="C362" i="10"/>
  <c r="E362" i="10" s="1"/>
  <c r="C363" i="10"/>
  <c r="E363" i="10" s="1"/>
  <c r="C364" i="10"/>
  <c r="E364" i="10" s="1"/>
  <c r="C365" i="10"/>
  <c r="E365" i="10" s="1"/>
  <c r="C366" i="10"/>
  <c r="E366" i="10" s="1"/>
  <c r="C367" i="10"/>
  <c r="E367" i="10" s="1"/>
  <c r="C369" i="10"/>
  <c r="E369" i="10" s="1"/>
  <c r="C371" i="10"/>
  <c r="E371" i="10" s="1"/>
  <c r="C374" i="10"/>
  <c r="E374" i="10" s="1"/>
  <c r="C375" i="10"/>
  <c r="E375" i="10" s="1"/>
  <c r="C377" i="10"/>
  <c r="E377" i="10" s="1"/>
  <c r="C378" i="10"/>
  <c r="E378" i="10" s="1"/>
  <c r="C379" i="10"/>
  <c r="E379" i="10" s="1"/>
  <c r="C380" i="10"/>
  <c r="E380" i="10" s="1"/>
  <c r="C381" i="10"/>
  <c r="E381" i="10" s="1"/>
  <c r="C382" i="10"/>
  <c r="E382" i="10" s="1"/>
  <c r="C383" i="10"/>
  <c r="E383" i="10" s="1"/>
  <c r="E384" i="10"/>
  <c r="E385" i="10"/>
  <c r="C386" i="10"/>
  <c r="E386" i="10" s="1"/>
  <c r="C388" i="10"/>
  <c r="E388" i="10" s="1"/>
  <c r="C389" i="10"/>
  <c r="E389" i="10" s="1"/>
  <c r="C390" i="10"/>
  <c r="E390" i="10" s="1"/>
  <c r="C391" i="10"/>
  <c r="E391" i="10" s="1"/>
  <c r="C392" i="10"/>
  <c r="E392" i="10" s="1"/>
  <c r="C394" i="10"/>
  <c r="E394" i="10" s="1"/>
  <c r="C395" i="10"/>
  <c r="E395" i="10" s="1"/>
  <c r="C396" i="10"/>
  <c r="E396" i="10" s="1"/>
  <c r="C397" i="10"/>
  <c r="E397" i="10" s="1"/>
  <c r="C398" i="10"/>
  <c r="E398" i="10" s="1"/>
  <c r="C399" i="10"/>
  <c r="E399" i="10" s="1"/>
  <c r="C400" i="10"/>
  <c r="E400" i="10" s="1"/>
  <c r="C401" i="10"/>
  <c r="E401" i="10" s="1"/>
  <c r="C402" i="10"/>
  <c r="E402" i="10" s="1"/>
  <c r="C403" i="10"/>
  <c r="E403" i="10" s="1"/>
  <c r="C405" i="10"/>
  <c r="E405" i="10" s="1"/>
  <c r="C406" i="10"/>
  <c r="E406" i="10" s="1"/>
  <c r="C407" i="10"/>
  <c r="E407" i="10" s="1"/>
  <c r="C408" i="10"/>
  <c r="E408" i="10" s="1"/>
  <c r="C409" i="10"/>
  <c r="E409" i="10" s="1"/>
  <c r="C410" i="10"/>
  <c r="E410" i="10" s="1"/>
  <c r="C411" i="10"/>
  <c r="E411" i="10" s="1"/>
  <c r="C412" i="10"/>
  <c r="E412" i="10" s="1"/>
  <c r="C413" i="10"/>
  <c r="E413" i="10" s="1"/>
  <c r="C414" i="10"/>
  <c r="E414" i="10" s="1"/>
  <c r="C415" i="10"/>
  <c r="E415" i="10" s="1"/>
  <c r="C416" i="10"/>
  <c r="E416" i="10" s="1"/>
  <c r="C417" i="10"/>
  <c r="E417" i="10" s="1"/>
  <c r="C418" i="10"/>
  <c r="E418" i="10" s="1"/>
  <c r="C419" i="10"/>
  <c r="E419" i="10" s="1"/>
  <c r="C420" i="10"/>
  <c r="E420" i="10" s="1"/>
  <c r="C421" i="10"/>
  <c r="E421" i="10" s="1"/>
  <c r="C423" i="10"/>
  <c r="E423" i="10" s="1"/>
  <c r="C425" i="10"/>
  <c r="E425" i="10" s="1"/>
  <c r="C428" i="10"/>
  <c r="E428" i="10" s="1"/>
  <c r="C429" i="10"/>
  <c r="E429" i="10" s="1"/>
  <c r="C431" i="10"/>
  <c r="E431" i="10" s="1"/>
  <c r="C432" i="10"/>
  <c r="E432" i="10" s="1"/>
  <c r="C433" i="10"/>
  <c r="E433" i="10" s="1"/>
  <c r="C434" i="10"/>
  <c r="E434" i="10" s="1"/>
  <c r="C435" i="10"/>
  <c r="E435" i="10" s="1"/>
  <c r="C436" i="10"/>
  <c r="E436" i="10" s="1"/>
  <c r="C437" i="10"/>
  <c r="E437" i="10" s="1"/>
  <c r="E438" i="10"/>
  <c r="E439" i="10"/>
  <c r="C440" i="10"/>
  <c r="E440" i="10" s="1"/>
  <c r="C442" i="10"/>
  <c r="E442" i="10" s="1"/>
  <c r="C443" i="10"/>
  <c r="E443" i="10" s="1"/>
  <c r="C444" i="10"/>
  <c r="E444" i="10" s="1"/>
  <c r="C445" i="10"/>
  <c r="E445" i="10" s="1"/>
  <c r="C446" i="10"/>
  <c r="E446" i="10" s="1"/>
  <c r="C448" i="10"/>
  <c r="E448" i="10" s="1"/>
  <c r="C449" i="10"/>
  <c r="E449" i="10" s="1"/>
  <c r="C450" i="10"/>
  <c r="E450" i="10" s="1"/>
  <c r="C451" i="10"/>
  <c r="E451" i="10" s="1"/>
  <c r="C452" i="10"/>
  <c r="E452" i="10" s="1"/>
  <c r="C453" i="10"/>
  <c r="E453" i="10" s="1"/>
  <c r="C454" i="10"/>
  <c r="E454" i="10" s="1"/>
  <c r="C455" i="10"/>
  <c r="E455" i="10" s="1"/>
  <c r="C456" i="10"/>
  <c r="E456" i="10" s="1"/>
  <c r="C457" i="10"/>
  <c r="E457" i="10" s="1"/>
  <c r="C459" i="10"/>
  <c r="E459" i="10" s="1"/>
  <c r="C460" i="10"/>
  <c r="E460" i="10" s="1"/>
  <c r="C461" i="10"/>
  <c r="E461" i="10" s="1"/>
  <c r="C462" i="10"/>
  <c r="E462" i="10" s="1"/>
  <c r="C463" i="10"/>
  <c r="E463" i="10" s="1"/>
  <c r="C464" i="10"/>
  <c r="E464" i="10" s="1"/>
  <c r="C465" i="10"/>
  <c r="E465" i="10" s="1"/>
  <c r="C466" i="10"/>
  <c r="E466" i="10" s="1"/>
  <c r="C467" i="10"/>
  <c r="E467" i="10" s="1"/>
  <c r="C468" i="10"/>
  <c r="E468" i="10" s="1"/>
  <c r="C469" i="10"/>
  <c r="E469" i="10" s="1"/>
  <c r="C470" i="10"/>
  <c r="E470" i="10" s="1"/>
  <c r="C471" i="10"/>
  <c r="E471" i="10" s="1"/>
  <c r="C472" i="10"/>
  <c r="E472" i="10" s="1"/>
  <c r="C473" i="10"/>
  <c r="E473" i="10" s="1"/>
  <c r="C474" i="10"/>
  <c r="E474" i="10" s="1"/>
  <c r="C475" i="10"/>
  <c r="E475" i="10" s="1"/>
  <c r="C477" i="10"/>
  <c r="E477" i="10" s="1"/>
  <c r="C479" i="10"/>
  <c r="E479" i="10" s="1"/>
  <c r="C480" i="10"/>
  <c r="E480" i="10" s="1"/>
  <c r="C481" i="10"/>
  <c r="E481" i="10" s="1"/>
  <c r="C482" i="10"/>
  <c r="E482" i="10" s="1"/>
  <c r="C483" i="10"/>
  <c r="E483" i="10" s="1"/>
  <c r="C486" i="10"/>
  <c r="E486" i="10" s="1"/>
  <c r="C487" i="10"/>
  <c r="E487" i="10" s="1"/>
  <c r="C488" i="10"/>
  <c r="E488" i="10" s="1"/>
  <c r="C489" i="10"/>
  <c r="E489" i="10" s="1"/>
  <c r="C491" i="10"/>
  <c r="E491" i="10" s="1"/>
  <c r="C492" i="10"/>
  <c r="E492" i="10" s="1"/>
  <c r="C493" i="10"/>
  <c r="E493" i="10" s="1"/>
  <c r="C494" i="10"/>
  <c r="E494" i="10" s="1"/>
  <c r="C495" i="10"/>
  <c r="E495" i="10" s="1"/>
  <c r="C496" i="10"/>
  <c r="E496" i="10" s="1"/>
  <c r="C497" i="10"/>
  <c r="E497" i="10" s="1"/>
  <c r="C498" i="10"/>
  <c r="E498" i="10" s="1"/>
  <c r="C499" i="10"/>
  <c r="E499" i="10" s="1"/>
  <c r="C500" i="10"/>
  <c r="E500" i="10" s="1"/>
  <c r="C501" i="10"/>
  <c r="E501" i="10" s="1"/>
  <c r="C502" i="10"/>
  <c r="E502" i="10" s="1"/>
  <c r="C503" i="10"/>
  <c r="E503" i="10" s="1"/>
  <c r="C504" i="10"/>
  <c r="E504" i="10" s="1"/>
  <c r="C505" i="10"/>
  <c r="E505" i="10" s="1"/>
  <c r="C506" i="10"/>
  <c r="E506" i="10" s="1"/>
  <c r="C507" i="10"/>
  <c r="E507" i="10" s="1"/>
  <c r="C508" i="10"/>
  <c r="E508" i="10" s="1"/>
  <c r="C509" i="10"/>
  <c r="E509" i="10" s="1"/>
  <c r="C510" i="10"/>
  <c r="E510" i="10" s="1"/>
  <c r="C511" i="10"/>
  <c r="E511" i="10" s="1"/>
  <c r="C512" i="10"/>
  <c r="E512" i="10" s="1"/>
  <c r="C514" i="10"/>
  <c r="E514" i="10" s="1"/>
  <c r="C515" i="10"/>
  <c r="E515" i="10" s="1"/>
  <c r="C516" i="10"/>
  <c r="E516" i="10" s="1"/>
  <c r="C517" i="10"/>
  <c r="E517" i="10" s="1"/>
  <c r="C518" i="10"/>
  <c r="E518" i="10" s="1"/>
  <c r="C519" i="10"/>
  <c r="E519" i="10" s="1"/>
  <c r="C521" i="10"/>
  <c r="E521" i="10" s="1"/>
  <c r="C522" i="10"/>
  <c r="E522" i="10" s="1"/>
  <c r="C523" i="10"/>
  <c r="E523" i="10" s="1"/>
  <c r="C524" i="10"/>
  <c r="E524" i="10" s="1"/>
  <c r="C525" i="10"/>
  <c r="E525" i="10" s="1"/>
  <c r="C528" i="10"/>
  <c r="E528" i="10" s="1"/>
  <c r="C529" i="10"/>
  <c r="E529" i="10" s="1"/>
  <c r="C530" i="10"/>
  <c r="E530" i="10" s="1"/>
  <c r="C531" i="10"/>
  <c r="E531" i="10" s="1"/>
  <c r="C532" i="10"/>
  <c r="E532" i="10" s="1"/>
  <c r="C534" i="10"/>
  <c r="E534" i="10" s="1"/>
  <c r="C535" i="10"/>
  <c r="E535" i="10" s="1"/>
  <c r="C536" i="10"/>
  <c r="E536" i="10" s="1"/>
  <c r="C537" i="10"/>
  <c r="E537" i="10" s="1"/>
  <c r="C538" i="10"/>
  <c r="E538" i="10" s="1"/>
  <c r="C539" i="10"/>
  <c r="E539" i="10" s="1"/>
  <c r="C540" i="10"/>
  <c r="E540" i="10" s="1"/>
  <c r="C541" i="10"/>
  <c r="E541" i="10" s="1"/>
  <c r="C542" i="10"/>
  <c r="E542" i="10" s="1"/>
  <c r="C543" i="10"/>
  <c r="E543" i="10" s="1"/>
  <c r="C544" i="10"/>
  <c r="E544" i="10" s="1"/>
  <c r="C545" i="10"/>
  <c r="E545" i="10" s="1"/>
  <c r="C546" i="10"/>
  <c r="E546" i="10" s="1"/>
  <c r="C547" i="10"/>
  <c r="E547" i="10" s="1"/>
  <c r="C548" i="10"/>
  <c r="E548" i="10" s="1"/>
  <c r="C549" i="10"/>
  <c r="E549" i="10" s="1"/>
  <c r="C550" i="10"/>
  <c r="E550" i="10" s="1"/>
  <c r="C551" i="10"/>
  <c r="E551" i="10" s="1"/>
  <c r="C552" i="10"/>
  <c r="E552" i="10" s="1"/>
  <c r="C553" i="10"/>
  <c r="E553" i="10" s="1"/>
  <c r="C554" i="10"/>
  <c r="E554" i="10" s="1"/>
  <c r="C555" i="10"/>
  <c r="E555" i="10" s="1"/>
  <c r="C556" i="10"/>
  <c r="E556" i="10" s="1"/>
  <c r="C557" i="10"/>
  <c r="E557" i="10" s="1"/>
  <c r="C558" i="10"/>
  <c r="E558" i="10" s="1"/>
  <c r="C559" i="10"/>
  <c r="E559" i="10" s="1"/>
  <c r="C560" i="10"/>
  <c r="E560" i="10" s="1"/>
  <c r="C561" i="10"/>
  <c r="E561" i="10" s="1"/>
  <c r="C562" i="10"/>
  <c r="E562" i="10" s="1"/>
  <c r="C563" i="10"/>
  <c r="E563" i="10" s="1"/>
  <c r="C564" i="10"/>
  <c r="E564" i="10" s="1"/>
  <c r="C566" i="10"/>
  <c r="E566" i="10" s="1"/>
  <c r="C567" i="10"/>
  <c r="E567" i="10" s="1"/>
  <c r="C569" i="10"/>
  <c r="E569" i="10" s="1"/>
  <c r="C570" i="10"/>
  <c r="E570" i="10" s="1"/>
  <c r="C571" i="10"/>
  <c r="E571" i="10" s="1"/>
  <c r="C572" i="10"/>
  <c r="E572" i="10" s="1"/>
  <c r="C573" i="10"/>
  <c r="E573" i="10" s="1"/>
  <c r="C574" i="10"/>
  <c r="E574" i="10" s="1"/>
  <c r="C576" i="10"/>
  <c r="E576" i="10" s="1"/>
  <c r="C577" i="10"/>
  <c r="E577" i="10" s="1"/>
  <c r="C578" i="10"/>
  <c r="E578" i="10" s="1"/>
  <c r="C579" i="10"/>
  <c r="E579" i="10" s="1"/>
  <c r="C580" i="10"/>
  <c r="E580" i="10" s="1"/>
  <c r="C582" i="10"/>
  <c r="E582" i="10" s="1"/>
  <c r="C583" i="10"/>
  <c r="E583" i="10" s="1"/>
  <c r="C585" i="10"/>
  <c r="E585" i="10" s="1"/>
  <c r="C589" i="10"/>
  <c r="E589" i="10" s="1"/>
  <c r="C588" i="10"/>
  <c r="E588" i="10" s="1"/>
  <c r="C590" i="10"/>
  <c r="E590" i="10" s="1"/>
  <c r="C592" i="10"/>
  <c r="E592" i="10" s="1"/>
  <c r="C593" i="10"/>
  <c r="E593" i="10" s="1"/>
  <c r="C594" i="10"/>
  <c r="E594" i="10" s="1"/>
  <c r="C595" i="10"/>
  <c r="E595" i="10" s="1"/>
  <c r="C597" i="10"/>
  <c r="E597" i="10" s="1"/>
  <c r="E598" i="10"/>
  <c r="C599" i="10"/>
  <c r="E599" i="10" s="1"/>
  <c r="C600" i="10"/>
  <c r="E600" i="10" s="1"/>
  <c r="C601" i="10"/>
  <c r="E601" i="10" s="1"/>
  <c r="E602" i="10"/>
  <c r="C604" i="10"/>
  <c r="E604" i="10" s="1"/>
  <c r="C605" i="10"/>
  <c r="E605" i="10" s="1"/>
  <c r="C606" i="10"/>
  <c r="E606" i="10" s="1"/>
  <c r="C607" i="10"/>
  <c r="E607" i="10" s="1"/>
  <c r="C608" i="10"/>
  <c r="E608" i="10" s="1"/>
  <c r="C610" i="10"/>
  <c r="E610" i="10" s="1"/>
  <c r="C611" i="10"/>
  <c r="E611" i="10" s="1"/>
  <c r="C612" i="10"/>
  <c r="E612" i="10" s="1"/>
  <c r="C613" i="10"/>
  <c r="E613" i="10" s="1"/>
  <c r="C614" i="10"/>
  <c r="E614" i="10" s="1"/>
  <c r="C615" i="10"/>
  <c r="E615" i="10" s="1"/>
  <c r="C616" i="10"/>
  <c r="E616" i="10" s="1"/>
  <c r="C617" i="10"/>
  <c r="E617" i="10" s="1"/>
  <c r="C618" i="10"/>
  <c r="E618" i="10" s="1"/>
  <c r="C619" i="10"/>
  <c r="E619" i="10" s="1"/>
  <c r="C621" i="10"/>
  <c r="E621" i="10" s="1"/>
  <c r="C622" i="10"/>
  <c r="E622" i="10" s="1"/>
  <c r="C623" i="10"/>
  <c r="E623" i="10" s="1"/>
  <c r="C624" i="10"/>
  <c r="E624" i="10" s="1"/>
  <c r="C625" i="10"/>
  <c r="E625" i="10" s="1"/>
  <c r="C626" i="10"/>
  <c r="E626" i="10" s="1"/>
  <c r="C627" i="10"/>
  <c r="E627" i="10" s="1"/>
  <c r="C628" i="10"/>
  <c r="E628" i="10" s="1"/>
  <c r="C629" i="10"/>
  <c r="E629" i="10" s="1"/>
  <c r="C630" i="10"/>
  <c r="E630" i="10" s="1"/>
  <c r="C631" i="10"/>
  <c r="E631" i="10" s="1"/>
  <c r="C632" i="10"/>
  <c r="E632" i="10" s="1"/>
  <c r="C633" i="10"/>
  <c r="E633" i="10" s="1"/>
  <c r="C634" i="10"/>
  <c r="E634" i="10" s="1"/>
  <c r="C635" i="10"/>
  <c r="E635" i="10" s="1"/>
  <c r="C636" i="10"/>
  <c r="E636" i="10" s="1"/>
  <c r="C638" i="10"/>
  <c r="E638" i="10" s="1"/>
  <c r="E640" i="10"/>
  <c r="E643" i="10"/>
  <c r="E642"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C695" i="10"/>
  <c r="E695" i="10" s="1"/>
  <c r="E697" i="10"/>
  <c r="C754" i="10"/>
  <c r="E754" i="10" s="1"/>
  <c r="C757" i="10"/>
  <c r="E757" i="10" s="1"/>
  <c r="C758" i="10"/>
  <c r="E758" i="10" s="1"/>
  <c r="C760" i="10"/>
  <c r="E760" i="10" s="1"/>
  <c r="C761" i="10"/>
  <c r="E761" i="10" s="1"/>
  <c r="C763" i="10"/>
  <c r="E763" i="10" s="1"/>
  <c r="C764" i="10"/>
  <c r="E764" i="10" s="1"/>
  <c r="C765" i="10"/>
  <c r="E765" i="10" s="1"/>
  <c r="C766" i="10"/>
  <c r="E766" i="10" s="1"/>
  <c r="C767" i="10"/>
  <c r="E767" i="10" s="1"/>
  <c r="C769" i="10"/>
  <c r="E769" i="10" s="1"/>
  <c r="C770" i="10"/>
  <c r="E770" i="10" s="1"/>
  <c r="C771" i="10"/>
  <c r="E771" i="10" s="1"/>
  <c r="C772" i="10"/>
  <c r="E772" i="10" s="1"/>
  <c r="C774" i="10"/>
  <c r="E774" i="10" s="1"/>
  <c r="C775" i="10"/>
  <c r="E775" i="10" s="1"/>
  <c r="C776" i="10"/>
  <c r="E776" i="10" s="1"/>
  <c r="C777" i="10"/>
  <c r="E777" i="10" s="1"/>
  <c r="C778" i="10"/>
  <c r="E778" i="10" s="1"/>
  <c r="C779" i="10"/>
  <c r="E779" i="10" s="1"/>
  <c r="C780" i="10"/>
  <c r="E780" i="10" s="1"/>
  <c r="C782" i="10"/>
  <c r="E782" i="10" s="1"/>
  <c r="C785" i="10"/>
  <c r="E785" i="10" s="1"/>
  <c r="C786" i="10"/>
  <c r="E786" i="10" s="1"/>
  <c r="C788" i="10"/>
  <c r="E788" i="10" s="1"/>
  <c r="C789" i="10"/>
  <c r="E789" i="10" s="1"/>
  <c r="C791" i="10"/>
  <c r="E791" i="10" s="1"/>
  <c r="C792" i="10"/>
  <c r="E792" i="10" s="1"/>
  <c r="C793" i="10"/>
  <c r="E793" i="10" s="1"/>
  <c r="C794" i="10"/>
  <c r="E794" i="10" s="1"/>
  <c r="C796" i="10"/>
  <c r="E796" i="10" s="1"/>
  <c r="C797" i="10"/>
  <c r="E797" i="10" s="1"/>
  <c r="C798" i="10"/>
  <c r="E798" i="10" s="1"/>
  <c r="C799" i="10"/>
  <c r="E799" i="10" s="1"/>
  <c r="C801" i="10"/>
  <c r="E801" i="10" s="1"/>
  <c r="C802" i="10"/>
  <c r="E802" i="10" s="1"/>
  <c r="C803" i="10"/>
  <c r="E803" i="10" s="1"/>
  <c r="C804" i="10"/>
  <c r="E804" i="10" s="1"/>
  <c r="C805" i="10"/>
  <c r="E805" i="10" s="1"/>
  <c r="C806" i="10"/>
  <c r="E806" i="10" s="1"/>
  <c r="C808" i="10"/>
  <c r="E808" i="10" s="1"/>
  <c r="C811" i="10"/>
  <c r="E811" i="10" s="1"/>
  <c r="C812" i="10"/>
  <c r="E812" i="10" s="1"/>
  <c r="C813" i="10"/>
  <c r="E813" i="10" s="1"/>
  <c r="C814" i="10"/>
  <c r="E814" i="10" s="1"/>
  <c r="C815" i="10"/>
  <c r="E815" i="10" s="1"/>
  <c r="C816" i="10"/>
  <c r="E816" i="10" s="1"/>
  <c r="C818" i="10"/>
  <c r="E818" i="10" s="1"/>
  <c r="E819" i="10"/>
  <c r="C820" i="10"/>
  <c r="E820" i="10" s="1"/>
  <c r="C821" i="10"/>
  <c r="E821" i="10" s="1"/>
  <c r="C822" i="10"/>
  <c r="E822" i="10" s="1"/>
  <c r="E823" i="10"/>
  <c r="C824" i="10"/>
  <c r="E824" i="10" s="1"/>
  <c r="C826" i="10"/>
  <c r="E826" i="10" s="1"/>
  <c r="C827" i="10"/>
  <c r="E827" i="10" s="1"/>
  <c r="C828" i="10"/>
  <c r="E828" i="10" s="1"/>
  <c r="C829" i="10"/>
  <c r="E829" i="10" s="1"/>
  <c r="C830" i="10"/>
  <c r="E830" i="10" s="1"/>
  <c r="C832" i="10"/>
  <c r="E832" i="10" s="1"/>
  <c r="C833" i="10"/>
  <c r="E833" i="10" s="1"/>
  <c r="C834" i="10"/>
  <c r="E834" i="10" s="1"/>
  <c r="C835" i="10"/>
  <c r="E835" i="10" s="1"/>
  <c r="C836" i="10"/>
  <c r="E836" i="10" s="1"/>
  <c r="C837" i="10"/>
  <c r="E837" i="10" s="1"/>
  <c r="C838" i="10"/>
  <c r="E838" i="10" s="1"/>
  <c r="C839" i="10"/>
  <c r="E839" i="10" s="1"/>
  <c r="C840" i="10"/>
  <c r="E840" i="10" s="1"/>
  <c r="C841" i="10"/>
  <c r="E841" i="10" s="1"/>
  <c r="C843" i="10"/>
  <c r="E843" i="10" s="1"/>
  <c r="C844" i="10"/>
  <c r="E844" i="10" s="1"/>
  <c r="C845" i="10"/>
  <c r="E845" i="10" s="1"/>
  <c r="C846" i="10"/>
  <c r="E846" i="10" s="1"/>
  <c r="C847" i="10"/>
  <c r="E847" i="10" s="1"/>
  <c r="C848" i="10"/>
  <c r="E848" i="10" s="1"/>
  <c r="C849" i="10"/>
  <c r="E849" i="10" s="1"/>
  <c r="C850" i="10"/>
  <c r="E850" i="10" s="1"/>
  <c r="C851" i="10"/>
  <c r="E851" i="10" s="1"/>
  <c r="C852" i="10"/>
  <c r="E852" i="10" s="1"/>
  <c r="C854" i="10"/>
  <c r="E854" i="10" s="1"/>
  <c r="C855" i="10"/>
  <c r="E855" i="10" s="1"/>
  <c r="C856" i="10"/>
  <c r="E856" i="10" s="1"/>
  <c r="C857" i="10"/>
  <c r="E857" i="10" s="1"/>
  <c r="C858" i="10"/>
  <c r="E858" i="10" s="1"/>
  <c r="C859" i="10"/>
  <c r="E859" i="10" s="1"/>
  <c r="C860" i="10"/>
  <c r="E860" i="10" s="1"/>
  <c r="C861" i="10"/>
  <c r="E861" i="10" s="1"/>
  <c r="C862" i="10"/>
  <c r="E862" i="10" s="1"/>
  <c r="C863" i="10"/>
  <c r="E863" i="10" s="1"/>
  <c r="C864" i="10"/>
  <c r="E864" i="10" s="1"/>
  <c r="C865" i="10"/>
  <c r="E865" i="10" s="1"/>
  <c r="C866" i="10"/>
  <c r="E866" i="10" s="1"/>
  <c r="C867" i="10"/>
  <c r="E867" i="10" s="1"/>
  <c r="C868" i="10"/>
  <c r="E868" i="10" s="1"/>
  <c r="C869" i="10"/>
  <c r="E869" i="10" s="1"/>
  <c r="C870" i="10"/>
  <c r="E870" i="10" s="1"/>
  <c r="C871" i="10"/>
  <c r="E871" i="10" s="1"/>
  <c r="C873" i="10"/>
  <c r="E873" i="10" s="1"/>
  <c r="C875" i="10"/>
  <c r="E875" i="10" s="1"/>
  <c r="C878" i="10"/>
  <c r="E878" i="10" s="1"/>
  <c r="C879" i="10"/>
  <c r="E879" i="10" s="1"/>
  <c r="C880" i="10"/>
  <c r="E880" i="10" s="1"/>
  <c r="C881" i="10"/>
  <c r="E881" i="10" s="1"/>
  <c r="C882" i="10"/>
  <c r="E882" i="10" s="1"/>
  <c r="C883" i="10"/>
  <c r="E883" i="10" s="1"/>
  <c r="C885" i="10"/>
  <c r="E885" i="10" s="1"/>
  <c r="C886" i="10"/>
  <c r="E886" i="10" s="1"/>
  <c r="C887" i="10"/>
  <c r="E887" i="10" s="1"/>
  <c r="E888" i="10"/>
  <c r="C889" i="10"/>
  <c r="E889" i="10" s="1"/>
  <c r="C890" i="10"/>
  <c r="E890" i="10" s="1"/>
  <c r="C891" i="10"/>
  <c r="E891" i="10" s="1"/>
  <c r="C892" i="10"/>
  <c r="E892" i="10" s="1"/>
  <c r="C893" i="10"/>
  <c r="E893" i="10" s="1"/>
  <c r="E894" i="10"/>
  <c r="C895" i="10"/>
  <c r="E895" i="10" s="1"/>
  <c r="C896" i="10"/>
  <c r="E896" i="10" s="1"/>
  <c r="C897" i="10"/>
  <c r="E897" i="10" s="1"/>
  <c r="C899" i="10"/>
  <c r="E899" i="10" s="1"/>
  <c r="C900" i="10"/>
  <c r="E900" i="10" s="1"/>
  <c r="C901" i="10"/>
  <c r="E901" i="10" s="1"/>
  <c r="C902" i="10"/>
  <c r="E902" i="10" s="1"/>
  <c r="C903" i="10"/>
  <c r="E903" i="10" s="1"/>
  <c r="C905" i="10"/>
  <c r="E905" i="10" s="1"/>
  <c r="C906" i="10"/>
  <c r="E906" i="10" s="1"/>
  <c r="C907" i="10"/>
  <c r="E907" i="10" s="1"/>
  <c r="C908" i="10"/>
  <c r="E908" i="10" s="1"/>
  <c r="C909" i="10"/>
  <c r="E909" i="10" s="1"/>
  <c r="C910" i="10"/>
  <c r="E910" i="10" s="1"/>
  <c r="C911" i="10"/>
  <c r="E911" i="10" s="1"/>
  <c r="C912" i="10"/>
  <c r="E912" i="10" s="1"/>
  <c r="C913" i="10"/>
  <c r="E913" i="10" s="1"/>
  <c r="C914" i="10"/>
  <c r="E914" i="10" s="1"/>
  <c r="C916" i="10"/>
  <c r="E916" i="10" s="1"/>
  <c r="C917" i="10"/>
  <c r="E917" i="10" s="1"/>
  <c r="C918" i="10"/>
  <c r="E918" i="10" s="1"/>
  <c r="C919" i="10"/>
  <c r="E919" i="10" s="1"/>
  <c r="C920" i="10"/>
  <c r="E920" i="10" s="1"/>
  <c r="C921" i="10"/>
  <c r="E921" i="10" s="1"/>
  <c r="C922" i="10"/>
  <c r="E922" i="10" s="1"/>
  <c r="C923" i="10"/>
  <c r="E923" i="10" s="1"/>
  <c r="C924" i="10"/>
  <c r="E924" i="10" s="1"/>
  <c r="C925" i="10"/>
  <c r="E925" i="10" s="1"/>
  <c r="C927" i="10"/>
  <c r="E927" i="10" s="1"/>
  <c r="C928" i="10"/>
  <c r="E928" i="10" s="1"/>
  <c r="C929" i="10"/>
  <c r="E929" i="10" s="1"/>
  <c r="C930" i="10"/>
  <c r="E930" i="10" s="1"/>
  <c r="C931" i="10"/>
  <c r="E931" i="10" s="1"/>
  <c r="C932" i="10"/>
  <c r="E932" i="10" s="1"/>
  <c r="C933" i="10"/>
  <c r="E933" i="10" s="1"/>
  <c r="C934" i="10"/>
  <c r="E934" i="10" s="1"/>
  <c r="C935" i="10"/>
  <c r="E935" i="10" s="1"/>
  <c r="C936" i="10"/>
  <c r="E936" i="10" s="1"/>
  <c r="C937" i="10"/>
  <c r="E937" i="10" s="1"/>
  <c r="C938" i="10"/>
  <c r="E938" i="10" s="1"/>
  <c r="C939" i="10"/>
  <c r="E939" i="10" s="1"/>
  <c r="C940" i="10"/>
  <c r="E940" i="10" s="1"/>
  <c r="C941" i="10"/>
  <c r="E941" i="10" s="1"/>
  <c r="C942" i="10"/>
  <c r="E942" i="10" s="1"/>
  <c r="C943" i="10"/>
  <c r="E943" i="10" s="1"/>
  <c r="C944" i="10"/>
  <c r="E944" i="10" s="1"/>
  <c r="C946" i="10"/>
  <c r="E946" i="10" s="1"/>
  <c r="C948" i="10"/>
  <c r="E948" i="10" s="1"/>
  <c r="C951" i="10"/>
  <c r="E951" i="10" s="1"/>
  <c r="C952" i="10"/>
  <c r="E952" i="10" s="1"/>
  <c r="C954" i="10"/>
  <c r="E954" i="10" s="1"/>
  <c r="C955" i="10"/>
  <c r="E955" i="10" s="1"/>
  <c r="C956" i="10"/>
  <c r="E956" i="10" s="1"/>
  <c r="C957" i="10"/>
  <c r="E957" i="10" s="1"/>
  <c r="C958" i="10"/>
  <c r="E958" i="10" s="1"/>
  <c r="C959" i="10"/>
  <c r="E959" i="10" s="1"/>
  <c r="C960" i="10"/>
  <c r="E960" i="10" s="1"/>
  <c r="E961" i="10"/>
  <c r="E962" i="10"/>
  <c r="C963" i="10"/>
  <c r="E963" i="10" s="1"/>
  <c r="C965" i="10"/>
  <c r="E965" i="10" s="1"/>
  <c r="C966" i="10"/>
  <c r="E966" i="10" s="1"/>
  <c r="C967" i="10"/>
  <c r="E967" i="10" s="1"/>
  <c r="C968" i="10"/>
  <c r="E968" i="10" s="1"/>
  <c r="C969" i="10"/>
  <c r="E969" i="10" s="1"/>
  <c r="C971" i="10"/>
  <c r="E971" i="10" s="1"/>
  <c r="C972" i="10"/>
  <c r="E972" i="10" s="1"/>
  <c r="C973" i="10"/>
  <c r="E973" i="10" s="1"/>
  <c r="C974" i="10"/>
  <c r="E974" i="10" s="1"/>
  <c r="C975" i="10"/>
  <c r="E975" i="10" s="1"/>
  <c r="C976" i="10"/>
  <c r="E976" i="10" s="1"/>
  <c r="C977" i="10"/>
  <c r="E977" i="10" s="1"/>
  <c r="C978" i="10"/>
  <c r="E978" i="10" s="1"/>
  <c r="C979" i="10"/>
  <c r="E979" i="10" s="1"/>
  <c r="C980" i="10"/>
  <c r="E980" i="10" s="1"/>
  <c r="C982" i="10"/>
  <c r="E982" i="10" s="1"/>
  <c r="C983" i="10"/>
  <c r="E983" i="10" s="1"/>
  <c r="C984" i="10"/>
  <c r="E984" i="10" s="1"/>
  <c r="C985" i="10"/>
  <c r="E985" i="10" s="1"/>
  <c r="C986" i="10"/>
  <c r="E986" i="10" s="1"/>
  <c r="C987" i="10"/>
  <c r="E987" i="10" s="1"/>
  <c r="C988" i="10"/>
  <c r="E988" i="10" s="1"/>
  <c r="C989" i="10"/>
  <c r="E989" i="10" s="1"/>
  <c r="C990" i="10"/>
  <c r="E990" i="10" s="1"/>
  <c r="C991" i="10"/>
  <c r="E991" i="10" s="1"/>
  <c r="C993" i="10"/>
  <c r="E993" i="10" s="1"/>
  <c r="C994" i="10"/>
  <c r="E994" i="10" s="1"/>
  <c r="C995" i="10"/>
  <c r="E995" i="10" s="1"/>
  <c r="C996" i="10"/>
  <c r="E996" i="10" s="1"/>
  <c r="C997" i="10"/>
  <c r="E997" i="10" s="1"/>
  <c r="C998" i="10"/>
  <c r="E998" i="10" s="1"/>
  <c r="C999" i="10"/>
  <c r="E999" i="10" s="1"/>
  <c r="C1000" i="10"/>
  <c r="E1000" i="10" s="1"/>
  <c r="C1001" i="10"/>
  <c r="E1001" i="10" s="1"/>
  <c r="C1002" i="10"/>
  <c r="E1002" i="10" s="1"/>
  <c r="C1003" i="10"/>
  <c r="E1003" i="10" s="1"/>
  <c r="C1004" i="10"/>
  <c r="E1004" i="10" s="1"/>
  <c r="C1005" i="10"/>
  <c r="E1005" i="10" s="1"/>
  <c r="C1006" i="10"/>
  <c r="E1006" i="10" s="1"/>
  <c r="C1007" i="10"/>
  <c r="E1007" i="10" s="1"/>
  <c r="C1008" i="10"/>
  <c r="E1008" i="10" s="1"/>
  <c r="C1010" i="10"/>
  <c r="E1010" i="10" s="1"/>
  <c r="C1012" i="10"/>
  <c r="E1012" i="10" s="1"/>
  <c r="C1015" i="10"/>
  <c r="E1015" i="10" s="1"/>
  <c r="C1016" i="10"/>
  <c r="E1016" i="10" s="1"/>
  <c r="C1018" i="10"/>
  <c r="E1018" i="10" s="1"/>
  <c r="C1019" i="10"/>
  <c r="E1019" i="10" s="1"/>
  <c r="C1020" i="10"/>
  <c r="E1020" i="10" s="1"/>
  <c r="C1021" i="10"/>
  <c r="E1021" i="10" s="1"/>
  <c r="C1022" i="10"/>
  <c r="E1022" i="10" s="1"/>
  <c r="C1023" i="10"/>
  <c r="E1023" i="10" s="1"/>
  <c r="C1024" i="10"/>
  <c r="E1024" i="10" s="1"/>
  <c r="E1025" i="10"/>
  <c r="E1026" i="10"/>
  <c r="C1027" i="10"/>
  <c r="E1027" i="10" s="1"/>
  <c r="C1029" i="10"/>
  <c r="E1029" i="10" s="1"/>
  <c r="C1030" i="10"/>
  <c r="E1030" i="10" s="1"/>
  <c r="C1031" i="10"/>
  <c r="E1031" i="10" s="1"/>
  <c r="C1032" i="10"/>
  <c r="E1032" i="10" s="1"/>
  <c r="C1033" i="10"/>
  <c r="E1033" i="10" s="1"/>
  <c r="C1035" i="10"/>
  <c r="E1035" i="10" s="1"/>
  <c r="C1036" i="10"/>
  <c r="E1036" i="10" s="1"/>
  <c r="C1037" i="10"/>
  <c r="E1037" i="10" s="1"/>
  <c r="C1038" i="10"/>
  <c r="E1038" i="10" s="1"/>
  <c r="C1039" i="10"/>
  <c r="E1039" i="10" s="1"/>
  <c r="C1040" i="10"/>
  <c r="E1040" i="10" s="1"/>
  <c r="C1041" i="10"/>
  <c r="E1041" i="10" s="1"/>
  <c r="C1042" i="10"/>
  <c r="E1042" i="10" s="1"/>
  <c r="C1043" i="10"/>
  <c r="E1043" i="10" s="1"/>
  <c r="C1044" i="10"/>
  <c r="E1044" i="10" s="1"/>
  <c r="C1046" i="10"/>
  <c r="E1046" i="10" s="1"/>
  <c r="C1047" i="10"/>
  <c r="E1047" i="10" s="1"/>
  <c r="C1048" i="10"/>
  <c r="E1048" i="10" s="1"/>
  <c r="C1049" i="10"/>
  <c r="E1049" i="10" s="1"/>
  <c r="C1050" i="10"/>
  <c r="E1050" i="10" s="1"/>
  <c r="C1051" i="10"/>
  <c r="E1051" i="10" s="1"/>
  <c r="C1052" i="10"/>
  <c r="E1052" i="10" s="1"/>
  <c r="C1053" i="10"/>
  <c r="E1053" i="10" s="1"/>
  <c r="C1054" i="10"/>
  <c r="E1054" i="10" s="1"/>
  <c r="C1055" i="10"/>
  <c r="E1055" i="10" s="1"/>
  <c r="C1057" i="10"/>
  <c r="E1057" i="10" s="1"/>
  <c r="C1058" i="10"/>
  <c r="E1058" i="10" s="1"/>
  <c r="C1059" i="10"/>
  <c r="E1059" i="10" s="1"/>
  <c r="C1060" i="10"/>
  <c r="E1060" i="10" s="1"/>
  <c r="C1061" i="10"/>
  <c r="E1061" i="10" s="1"/>
  <c r="C1062" i="10"/>
  <c r="E1062" i="10" s="1"/>
  <c r="C1063" i="10"/>
  <c r="E1063" i="10" s="1"/>
  <c r="C1064" i="10"/>
  <c r="E1064" i="10" s="1"/>
  <c r="C1065" i="10"/>
  <c r="E1065" i="10" s="1"/>
  <c r="C1066" i="10"/>
  <c r="E1066" i="10" s="1"/>
  <c r="C1067" i="10"/>
  <c r="E1067" i="10" s="1"/>
  <c r="C1068" i="10"/>
  <c r="E1068" i="10" s="1"/>
  <c r="C1069" i="10"/>
  <c r="E1069" i="10" s="1"/>
  <c r="C1070" i="10"/>
  <c r="E1070" i="10" s="1"/>
  <c r="C1071" i="10"/>
  <c r="E1071" i="10" s="1"/>
  <c r="C1072" i="10"/>
  <c r="E1072" i="10" s="1"/>
  <c r="C1074" i="10"/>
  <c r="E1074" i="10" s="1"/>
  <c r="C1076" i="10"/>
  <c r="E1076" i="10" s="1"/>
  <c r="C1078" i="10"/>
  <c r="E1078" i="10" s="1"/>
  <c r="C1079" i="10"/>
  <c r="E1079" i="10" s="1"/>
  <c r="C1080" i="10"/>
  <c r="E1080" i="10" s="1"/>
  <c r="C1081" i="10"/>
  <c r="E1081" i="10" s="1"/>
  <c r="C1082" i="10"/>
  <c r="E1082" i="10" s="1"/>
  <c r="C1083" i="10"/>
  <c r="E1083" i="10" s="1"/>
  <c r="C1084" i="10"/>
  <c r="E1084" i="10" s="1"/>
  <c r="C1087" i="10"/>
  <c r="E1087" i="10" s="1"/>
  <c r="C1088" i="10"/>
  <c r="E1088" i="10" s="1"/>
  <c r="C1089" i="10"/>
  <c r="E1089" i="10" s="1"/>
  <c r="C1092" i="10"/>
  <c r="E1092" i="10" s="1"/>
  <c r="C1091" i="10"/>
  <c r="E1091" i="10" s="1"/>
  <c r="C1093" i="10"/>
  <c r="E1093" i="10" s="1"/>
  <c r="C1094" i="10"/>
  <c r="E1094" i="10" s="1"/>
  <c r="C1095" i="10"/>
  <c r="E1095" i="10" s="1"/>
  <c r="C1096" i="10"/>
  <c r="E1096" i="10" s="1"/>
  <c r="C1097" i="10"/>
  <c r="E1097" i="10" s="1"/>
  <c r="C1098" i="10"/>
  <c r="E1098" i="10" s="1"/>
  <c r="C1099" i="10"/>
  <c r="E1099" i="10" s="1"/>
  <c r="C1101" i="10"/>
  <c r="E1101" i="10" s="1"/>
  <c r="C1102" i="10"/>
  <c r="E1102" i="10" s="1"/>
  <c r="C1103" i="10"/>
  <c r="E1103" i="10" s="1"/>
  <c r="C1104" i="10"/>
  <c r="E1104" i="10" s="1"/>
  <c r="C1105" i="10"/>
  <c r="E1105" i="10" s="1"/>
  <c r="C1106" i="10"/>
  <c r="E1106" i="10" s="1"/>
  <c r="C1107" i="10"/>
  <c r="E1107" i="10" s="1"/>
  <c r="C1108" i="10"/>
  <c r="E1108" i="10" s="1"/>
  <c r="C1109" i="10"/>
  <c r="E1109" i="10" s="1"/>
  <c r="C1110" i="10"/>
  <c r="E1110" i="10" s="1"/>
  <c r="C1112" i="10"/>
  <c r="E1112" i="10" s="1"/>
  <c r="C1113" i="10"/>
  <c r="E1113" i="10" s="1"/>
  <c r="C1114" i="10"/>
  <c r="E1114" i="10" s="1"/>
  <c r="C1115" i="10"/>
  <c r="E1115" i="10" s="1"/>
  <c r="C1117" i="10"/>
  <c r="E1117" i="10" s="1"/>
  <c r="C1118" i="10"/>
  <c r="E1118" i="10" s="1"/>
  <c r="C1119" i="10"/>
  <c r="E1119" i="10" s="1"/>
  <c r="C1120" i="10"/>
  <c r="E1120" i="10" s="1"/>
  <c r="C1121" i="10"/>
  <c r="E1121" i="10" s="1"/>
  <c r="C1122" i="10"/>
  <c r="E1122" i="10" s="1"/>
  <c r="C1123" i="10"/>
  <c r="E1123" i="10" s="1"/>
  <c r="C1126" i="10"/>
  <c r="E1126" i="10" s="1"/>
  <c r="C1127" i="10"/>
  <c r="E1127" i="10" s="1"/>
  <c r="C1128" i="10"/>
  <c r="E1128" i="10" s="1"/>
  <c r="C1129" i="10"/>
  <c r="E1129" i="10" s="1"/>
  <c r="C1130" i="10"/>
  <c r="E1130" i="10" s="1"/>
  <c r="C1131" i="10"/>
  <c r="E1131" i="10" s="1"/>
  <c r="C1132" i="10"/>
  <c r="E1132" i="10" s="1"/>
  <c r="C1133" i="10"/>
  <c r="E1133" i="10" s="1"/>
  <c r="C1136" i="10"/>
  <c r="E1136" i="10" s="1"/>
  <c r="C1135" i="10"/>
  <c r="E1135" i="10" s="1"/>
  <c r="C1137" i="10"/>
  <c r="E1137" i="10" s="1"/>
  <c r="C1138" i="10"/>
  <c r="E1138" i="10" s="1"/>
  <c r="C1139" i="10"/>
  <c r="E1139" i="10" s="1"/>
  <c r="C1140" i="10"/>
  <c r="E1140" i="10" s="1"/>
  <c r="C1141" i="10"/>
  <c r="E1141" i="10" s="1"/>
  <c r="C1142" i="10"/>
  <c r="E1142" i="10" s="1"/>
  <c r="C1143" i="10"/>
  <c r="E1143" i="10" s="1"/>
  <c r="C1144" i="10"/>
  <c r="E1144" i="10" s="1"/>
  <c r="C1145" i="10"/>
  <c r="E1145" i="10" s="1"/>
  <c r="C1146" i="10"/>
  <c r="E1146" i="10" s="1"/>
  <c r="C1147" i="10"/>
  <c r="E1147" i="10" s="1"/>
  <c r="C1148" i="10"/>
  <c r="E1148" i="10" s="1"/>
  <c r="C1149" i="10"/>
  <c r="E1149" i="10" s="1"/>
  <c r="C1150" i="10"/>
  <c r="E1150" i="10" s="1"/>
  <c r="C1151" i="10"/>
  <c r="E1151" i="10" s="1"/>
  <c r="C1152" i="10"/>
  <c r="E1152" i="10" s="1"/>
  <c r="C1153" i="10"/>
  <c r="E1153" i="10" s="1"/>
  <c r="C1154" i="10"/>
  <c r="E1154" i="10" s="1"/>
  <c r="C1155" i="10"/>
  <c r="E1155" i="10" s="1"/>
  <c r="C1156" i="10"/>
  <c r="E1156" i="10" s="1"/>
  <c r="C1157" i="10"/>
  <c r="E1157" i="10" s="1"/>
  <c r="C1158" i="10"/>
  <c r="E1158" i="10" s="1"/>
  <c r="C1159" i="10"/>
  <c r="E1159" i="10" s="1"/>
  <c r="C1160" i="10"/>
  <c r="E1160" i="10" s="1"/>
  <c r="C1161" i="10"/>
  <c r="E1161" i="10" s="1"/>
  <c r="C1162" i="10"/>
  <c r="E1162" i="10" s="1"/>
  <c r="C1163" i="10"/>
  <c r="E1163" i="10" s="1"/>
  <c r="C1164" i="10"/>
  <c r="E1164" i="10" s="1"/>
  <c r="C1165" i="10"/>
  <c r="E1165" i="10" s="1"/>
  <c r="C1166" i="10"/>
  <c r="E1166" i="10" s="1"/>
  <c r="C1167" i="10"/>
  <c r="E1167" i="10" s="1"/>
  <c r="C1168" i="10"/>
  <c r="E1168" i="10" s="1"/>
  <c r="C1169" i="10"/>
  <c r="E1169" i="10" s="1"/>
  <c r="C1170" i="10"/>
  <c r="E1170" i="10" s="1"/>
  <c r="C1171" i="10"/>
  <c r="E1171" i="10" s="1"/>
  <c r="C1172" i="10"/>
  <c r="E1172" i="10" s="1"/>
  <c r="C1174" i="10"/>
  <c r="E1174" i="10" s="1"/>
  <c r="C1176" i="10"/>
  <c r="E1176" i="10" s="1"/>
  <c r="C1177" i="10"/>
  <c r="E1177" i="10" s="1"/>
  <c r="C1178" i="10"/>
  <c r="E1178" i="10" s="1"/>
  <c r="C1179" i="10"/>
  <c r="E1179" i="10" s="1"/>
  <c r="C1180" i="10"/>
  <c r="E1180" i="10" s="1"/>
  <c r="C1181" i="10"/>
  <c r="E1181" i="10" s="1"/>
  <c r="C1182" i="10"/>
  <c r="E1182" i="10" s="1"/>
  <c r="C1183" i="10"/>
  <c r="E1183" i="10" s="1"/>
  <c r="C1184" i="10"/>
  <c r="E1184" i="10" s="1"/>
  <c r="C1185" i="10"/>
  <c r="E1185" i="10" s="1"/>
  <c r="C1186" i="10"/>
  <c r="E1186" i="10" s="1"/>
  <c r="C1187" i="10"/>
  <c r="E1187" i="10" s="1"/>
  <c r="C1188" i="10"/>
  <c r="E1188" i="10" s="1"/>
  <c r="C1189" i="10"/>
  <c r="E1189" i="10" s="1"/>
  <c r="C1190" i="10"/>
  <c r="E1190" i="10" s="1"/>
  <c r="C1191" i="10"/>
  <c r="E1191" i="10" s="1"/>
  <c r="C1192" i="10"/>
  <c r="E1192" i="10" s="1"/>
  <c r="C1193" i="10"/>
  <c r="E1193" i="10" s="1"/>
  <c r="C1194" i="10"/>
  <c r="E1194" i="10" s="1"/>
  <c r="C1195" i="10"/>
  <c r="E1195" i="10" s="1"/>
  <c r="C1196" i="10"/>
  <c r="E1196" i="10" s="1"/>
  <c r="C1197" i="10"/>
  <c r="E1197" i="10" s="1"/>
  <c r="C1198" i="10"/>
  <c r="E1198" i="10" s="1"/>
  <c r="C1199" i="10"/>
  <c r="E1199" i="10" s="1"/>
  <c r="C1200" i="10"/>
  <c r="E1200" i="10" s="1"/>
  <c r="C1201" i="10"/>
  <c r="E1201" i="10" s="1"/>
  <c r="C1202" i="10"/>
  <c r="E1202" i="10" s="1"/>
  <c r="C1204" i="10"/>
  <c r="E1204" i="10" s="1"/>
  <c r="C1205" i="10"/>
  <c r="E1205" i="10" s="1"/>
  <c r="C1206" i="10"/>
  <c r="E1206" i="10" s="1"/>
  <c r="C1207" i="10"/>
  <c r="E1207" i="10" s="1"/>
  <c r="C1208" i="10"/>
  <c r="E1208" i="10" s="1"/>
  <c r="C1210" i="10"/>
  <c r="E1210" i="10" s="1"/>
  <c r="C1211" i="10"/>
  <c r="E1211" i="10" s="1"/>
  <c r="C1213" i="10"/>
  <c r="E1213" i="10" s="1"/>
  <c r="C1214" i="10"/>
  <c r="E1214" i="10" s="1"/>
  <c r="C1215" i="10"/>
  <c r="E1215" i="10" s="1"/>
  <c r="C1216" i="10"/>
  <c r="E1216" i="10" s="1"/>
  <c r="C1217" i="10"/>
  <c r="E1217" i="10" s="1"/>
  <c r="C1218" i="10"/>
  <c r="E1218" i="10" s="1"/>
  <c r="C1219" i="10"/>
  <c r="E1219" i="10" s="1"/>
  <c r="C1222" i="10"/>
  <c r="E1222" i="10" s="1"/>
  <c r="C1223" i="10"/>
  <c r="E1223" i="10" s="1"/>
  <c r="C1224" i="10"/>
  <c r="E1224" i="10" s="1"/>
  <c r="C1225" i="10"/>
  <c r="E1225" i="10" s="1"/>
  <c r="C1226" i="10"/>
  <c r="E1226" i="10" s="1"/>
  <c r="C1227" i="10"/>
  <c r="E1227" i="10" s="1"/>
  <c r="C1228" i="10"/>
  <c r="E1228" i="10" s="1"/>
  <c r="C1229" i="10"/>
  <c r="E1229" i="10" s="1"/>
  <c r="C1232" i="10"/>
  <c r="E1232" i="10" s="1"/>
  <c r="C1231" i="10"/>
  <c r="E1231" i="10" s="1"/>
  <c r="C1233" i="10"/>
  <c r="E1233" i="10" s="1"/>
  <c r="C1234" i="10"/>
  <c r="E1234" i="10" s="1"/>
  <c r="C1235" i="10"/>
  <c r="E1235" i="10" s="1"/>
  <c r="C1236" i="10"/>
  <c r="E1236" i="10" s="1"/>
  <c r="C1237" i="10"/>
  <c r="E1237" i="10" s="1"/>
  <c r="C1238" i="10"/>
  <c r="E1238" i="10" s="1"/>
  <c r="C1239" i="10"/>
  <c r="E1239" i="10" s="1"/>
  <c r="C1240" i="10"/>
  <c r="E1240" i="10" s="1"/>
  <c r="C1241" i="10"/>
  <c r="E1241" i="10" s="1"/>
  <c r="C1242" i="10"/>
  <c r="E1242" i="10" s="1"/>
  <c r="C1243" i="10"/>
  <c r="E1243" i="10" s="1"/>
  <c r="C1244" i="10"/>
  <c r="E1244" i="10" s="1"/>
  <c r="C1245" i="10"/>
  <c r="E1245" i="10" s="1"/>
  <c r="C1246" i="10"/>
  <c r="E1246" i="10" s="1"/>
  <c r="C1247" i="10"/>
  <c r="E1247" i="10" s="1"/>
  <c r="C1248" i="10"/>
  <c r="E1248" i="10" s="1"/>
  <c r="C1249" i="10"/>
  <c r="E1249" i="10" s="1"/>
  <c r="C1250" i="10"/>
  <c r="E1250" i="10" s="1"/>
  <c r="C1251" i="10"/>
  <c r="E1251" i="10" s="1"/>
  <c r="C1252" i="10"/>
  <c r="E1252" i="10" s="1"/>
  <c r="C1253" i="10"/>
  <c r="E1253" i="10" s="1"/>
  <c r="C1254" i="10"/>
  <c r="E1254" i="10" s="1"/>
  <c r="C1255" i="10"/>
  <c r="E1255" i="10" s="1"/>
  <c r="C1256" i="10"/>
  <c r="E1256" i="10" s="1"/>
  <c r="C1257" i="10"/>
  <c r="E1257" i="10" s="1"/>
  <c r="C1258" i="10"/>
  <c r="E1258" i="10" s="1"/>
  <c r="C1259" i="10"/>
  <c r="E1259" i="10" s="1"/>
  <c r="C1260" i="10"/>
  <c r="E1260" i="10" s="1"/>
  <c r="C1261" i="10"/>
  <c r="E1261" i="10" s="1"/>
  <c r="C1262" i="10"/>
  <c r="E1262" i="10" s="1"/>
  <c r="C1263" i="10"/>
  <c r="E1263" i="10" s="1"/>
  <c r="C1264" i="10"/>
  <c r="E1264" i="10" s="1"/>
  <c r="C1265" i="10"/>
  <c r="E1265" i="10" s="1"/>
  <c r="C1266" i="10"/>
  <c r="E1266" i="10" s="1"/>
  <c r="C1267" i="10"/>
  <c r="E1267" i="10" s="1"/>
  <c r="C1269" i="10"/>
  <c r="E1269" i="10" s="1"/>
  <c r="C1271" i="10"/>
  <c r="E1271" i="10" s="1"/>
  <c r="C1272" i="10"/>
  <c r="E1272" i="10" s="1"/>
  <c r="C1273" i="10"/>
  <c r="E1273" i="10" s="1"/>
  <c r="C1274" i="10"/>
  <c r="E1274" i="10" s="1"/>
  <c r="C1275" i="10"/>
  <c r="E1275" i="10" s="1"/>
  <c r="C1276" i="10"/>
  <c r="E1276" i="10" s="1"/>
  <c r="C1277" i="10"/>
  <c r="E1277" i="10" s="1"/>
  <c r="C1278" i="10"/>
  <c r="E1278" i="10" s="1"/>
  <c r="C1279" i="10"/>
  <c r="E1279" i="10" s="1"/>
  <c r="C1280" i="10"/>
  <c r="E1280" i="10" s="1"/>
  <c r="C1281" i="10"/>
  <c r="E1281" i="10" s="1"/>
  <c r="C1282" i="10"/>
  <c r="E1282" i="10" s="1"/>
  <c r="C1283" i="10"/>
  <c r="E1283" i="10" s="1"/>
  <c r="C1284" i="10"/>
  <c r="E1284" i="10" s="1"/>
  <c r="C1285" i="10"/>
  <c r="E1285" i="10" s="1"/>
  <c r="C1286" i="10"/>
  <c r="E1286" i="10" s="1"/>
  <c r="C1287" i="10"/>
  <c r="E1287" i="10" s="1"/>
  <c r="C1288" i="10"/>
  <c r="E1288" i="10" s="1"/>
  <c r="C1289" i="10"/>
  <c r="E1289" i="10" s="1"/>
  <c r="C1290" i="10"/>
  <c r="E1290" i="10" s="1"/>
  <c r="C1291" i="10"/>
  <c r="E1291" i="10" s="1"/>
  <c r="C1292" i="10"/>
  <c r="E1292" i="10" s="1"/>
  <c r="C1293" i="10"/>
  <c r="E1293" i="10" s="1"/>
  <c r="C1294" i="10"/>
  <c r="E1294" i="10" s="1"/>
  <c r="C1295" i="10"/>
  <c r="E1295" i="10" s="1"/>
  <c r="C1296" i="10"/>
  <c r="E1296" i="10" s="1"/>
  <c r="C1297" i="10"/>
  <c r="E1297" i="10" s="1"/>
  <c r="C1299" i="10"/>
  <c r="E1299" i="10" s="1"/>
  <c r="C1300" i="10"/>
  <c r="E1300" i="10" s="1"/>
  <c r="C1301" i="10"/>
  <c r="E1301" i="10" s="1"/>
  <c r="C1302" i="10"/>
  <c r="E1302" i="10" s="1"/>
  <c r="C1303" i="10"/>
  <c r="E1303" i="10" s="1"/>
  <c r="C1305" i="10"/>
  <c r="E1305" i="10" s="1"/>
  <c r="C1306" i="10"/>
  <c r="E1306" i="10" s="1"/>
  <c r="C1308" i="10"/>
  <c r="E1308" i="10" s="1"/>
  <c r="C1309" i="10"/>
  <c r="E1309" i="10" s="1"/>
  <c r="C1310" i="10"/>
  <c r="E1310" i="10" s="1"/>
  <c r="C1311" i="10"/>
  <c r="E1311" i="10" s="1"/>
  <c r="C1312" i="10"/>
  <c r="E1312" i="10" s="1"/>
  <c r="C1313" i="10"/>
  <c r="E1313" i="10" s="1"/>
  <c r="C1314" i="10"/>
  <c r="E1314" i="10" s="1"/>
  <c r="C1318" i="10"/>
  <c r="E1318" i="10" s="1"/>
  <c r="C1317" i="10"/>
  <c r="E1317" i="10" s="1"/>
  <c r="C1319" i="10"/>
  <c r="E1319" i="10" s="1"/>
  <c r="C1320" i="10"/>
  <c r="E1320" i="10" s="1"/>
  <c r="C1322" i="10"/>
  <c r="E1322" i="10" s="1"/>
  <c r="C1323" i="10"/>
  <c r="E1323" i="10" s="1"/>
  <c r="C1324" i="10"/>
  <c r="E1324" i="10" s="1"/>
  <c r="C1325" i="10"/>
  <c r="E1325" i="10" s="1"/>
  <c r="C1326" i="10"/>
  <c r="E1326" i="10" s="1"/>
  <c r="C1327" i="10"/>
  <c r="E1327" i="10" s="1"/>
  <c r="C1328" i="10"/>
  <c r="E1328" i="10" s="1"/>
  <c r="C1329" i="10"/>
  <c r="E1329" i="10" s="1"/>
  <c r="C1330" i="10"/>
  <c r="E1330" i="10" s="1"/>
  <c r="C1331" i="10"/>
  <c r="E1331" i="10" s="1"/>
  <c r="C1332" i="10"/>
  <c r="E1332" i="10" s="1"/>
  <c r="C1333" i="10"/>
  <c r="E1333" i="10" s="1"/>
  <c r="C1334" i="10"/>
  <c r="E1334" i="10" s="1"/>
  <c r="C1335" i="10"/>
  <c r="E1335" i="10" s="1"/>
  <c r="C1336" i="10"/>
  <c r="E1336" i="10" s="1"/>
  <c r="C1337" i="10"/>
  <c r="E1337" i="10" s="1"/>
  <c r="C1338" i="10"/>
  <c r="E1338" i="10" s="1"/>
  <c r="C1339" i="10"/>
  <c r="E1339" i="10" s="1"/>
  <c r="C1340" i="10"/>
  <c r="E1340" i="10" s="1"/>
  <c r="C1341" i="10"/>
  <c r="E1341" i="10" s="1"/>
  <c r="C1342" i="10"/>
  <c r="E1342" i="10" s="1"/>
  <c r="C1343" i="10"/>
  <c r="E1343" i="10" s="1"/>
  <c r="C1344" i="10"/>
  <c r="E1344" i="10" s="1"/>
  <c r="C1345" i="10"/>
  <c r="E1345" i="10" s="1"/>
  <c r="C1346" i="10"/>
  <c r="E1346" i="10" s="1"/>
  <c r="C1347" i="10"/>
  <c r="E1347" i="10" s="1"/>
  <c r="C1348" i="10"/>
  <c r="E1348" i="10" s="1"/>
  <c r="C1349" i="10"/>
  <c r="E1349" i="10" s="1"/>
  <c r="C1350" i="10"/>
  <c r="E1350" i="10" s="1"/>
  <c r="C1352" i="10"/>
  <c r="E1352" i="10" s="1"/>
  <c r="C1354" i="10"/>
  <c r="E1354" i="10" s="1"/>
  <c r="C1355" i="10"/>
  <c r="E1355" i="10" s="1"/>
  <c r="C1356" i="10"/>
  <c r="E1356" i="10" s="1"/>
  <c r="C1357" i="10"/>
  <c r="E1357" i="10" s="1"/>
  <c r="C1358" i="10"/>
  <c r="E1358" i="10" s="1"/>
  <c r="C1359" i="10"/>
  <c r="E1359" i="10" s="1"/>
  <c r="C1360" i="10"/>
  <c r="E1360" i="10" s="1"/>
  <c r="C1361" i="10"/>
  <c r="E1361" i="10" s="1"/>
  <c r="C1362" i="10"/>
  <c r="E1362" i="10" s="1"/>
  <c r="C1363" i="10"/>
  <c r="E1363" i="10" s="1"/>
  <c r="C1364" i="10"/>
  <c r="E1364" i="10" s="1"/>
  <c r="C1365" i="10"/>
  <c r="E1365" i="10" s="1"/>
  <c r="C1366" i="10"/>
  <c r="E1366" i="10" s="1"/>
  <c r="C1367" i="10"/>
  <c r="E1367" i="10" s="1"/>
  <c r="C1368" i="10"/>
  <c r="E1368" i="10" s="1"/>
  <c r="C1369" i="10"/>
  <c r="E1369" i="10" s="1"/>
  <c r="C1370" i="10"/>
  <c r="E1370" i="10" s="1"/>
  <c r="C1371" i="10"/>
  <c r="E1371" i="10" s="1"/>
  <c r="C1372" i="10"/>
  <c r="E1372" i="10" s="1"/>
  <c r="C1373" i="10"/>
  <c r="E1373" i="10" s="1"/>
  <c r="C1375" i="10"/>
  <c r="E1375" i="10" s="1"/>
  <c r="C1376" i="10"/>
  <c r="E1376" i="10" s="1"/>
  <c r="C1377" i="10"/>
  <c r="E1377" i="10" s="1"/>
  <c r="C1378" i="10"/>
  <c r="E1378" i="10" s="1"/>
  <c r="C1379" i="10"/>
  <c r="E1379" i="10" s="1"/>
  <c r="C1381" i="10"/>
  <c r="E1381" i="10" s="1"/>
  <c r="C1382" i="10"/>
  <c r="E1382" i="10" s="1"/>
  <c r="C1384" i="10"/>
  <c r="E1384" i="10" s="1"/>
  <c r="C1385" i="10"/>
  <c r="E1385" i="10" s="1"/>
  <c r="C1386" i="10"/>
  <c r="E1386" i="10" s="1"/>
  <c r="C1387" i="10"/>
  <c r="E1387" i="10" s="1"/>
  <c r="C1388" i="10"/>
  <c r="E1388" i="10" s="1"/>
  <c r="C1389" i="10"/>
  <c r="E1389" i="10" s="1"/>
  <c r="C1390" i="10"/>
  <c r="E1390" i="10" s="1"/>
  <c r="C1391" i="10"/>
  <c r="E1391" i="10" s="1"/>
  <c r="C1395" i="10"/>
  <c r="E1395" i="10" s="1"/>
  <c r="C1394" i="10"/>
  <c r="E1394" i="10" s="1"/>
  <c r="C1396" i="10"/>
  <c r="E1396" i="10" s="1"/>
  <c r="C1397" i="10"/>
  <c r="E1397" i="10" s="1"/>
  <c r="C1399" i="10"/>
  <c r="E1399" i="10" s="1"/>
  <c r="C1400" i="10"/>
  <c r="E1400" i="10" s="1"/>
  <c r="C1401" i="10"/>
  <c r="E1401" i="10" s="1"/>
  <c r="C1402" i="10"/>
  <c r="E1402" i="10" s="1"/>
  <c r="C1403" i="10"/>
  <c r="E1403" i="10" s="1"/>
  <c r="C1404" i="10"/>
  <c r="E1404" i="10" s="1"/>
  <c r="C1405" i="10"/>
  <c r="E1405" i="10" s="1"/>
  <c r="C1406" i="10"/>
  <c r="E1406" i="10" s="1"/>
  <c r="C1407" i="10"/>
  <c r="E1407" i="10" s="1"/>
  <c r="C1408" i="10"/>
  <c r="E1408" i="10" s="1"/>
  <c r="C1409" i="10"/>
  <c r="E1409" i="10" s="1"/>
  <c r="C1410" i="10"/>
  <c r="E1410" i="10" s="1"/>
  <c r="C1411" i="10"/>
  <c r="E1411" i="10" s="1"/>
  <c r="C1412" i="10"/>
  <c r="E1412" i="10" s="1"/>
  <c r="C1413" i="10"/>
  <c r="E1413" i="10" s="1"/>
  <c r="C1414" i="10"/>
  <c r="E1414" i="10" s="1"/>
  <c r="C1415" i="10"/>
  <c r="E1415" i="10" s="1"/>
  <c r="C1416" i="10"/>
  <c r="E1416" i="10" s="1"/>
  <c r="C1417" i="10"/>
  <c r="E1417" i="10" s="1"/>
  <c r="C1418" i="10"/>
  <c r="E1418" i="10" s="1"/>
  <c r="C1419" i="10"/>
  <c r="E1419" i="10" s="1"/>
  <c r="C1420" i="10"/>
  <c r="E1420" i="10" s="1"/>
  <c r="C1421" i="10"/>
  <c r="E1421" i="10" s="1"/>
  <c r="C1422" i="10"/>
  <c r="E1422" i="10" s="1"/>
  <c r="C1423" i="10"/>
  <c r="E1423" i="10" s="1"/>
  <c r="C1424" i="10"/>
  <c r="E1424" i="10" s="1"/>
  <c r="C1425" i="10"/>
  <c r="E1425" i="10" s="1"/>
  <c r="C1426" i="10"/>
  <c r="E1426" i="10" s="1"/>
  <c r="C1427" i="10"/>
  <c r="E1427" i="10" s="1"/>
  <c r="C1428" i="10"/>
  <c r="E1428" i="10" s="1"/>
  <c r="C1430" i="10"/>
  <c r="E1430" i="10" s="1"/>
  <c r="C1432" i="10"/>
  <c r="E1432" i="10" s="1"/>
  <c r="C1433" i="10"/>
  <c r="E1433" i="10" s="1"/>
  <c r="C1434" i="10"/>
  <c r="E1434" i="10" s="1"/>
  <c r="C1435" i="10"/>
  <c r="E1435" i="10" s="1"/>
  <c r="C1436" i="10"/>
  <c r="E1436" i="10" s="1"/>
  <c r="C1437" i="10"/>
  <c r="E1437" i="10" s="1"/>
  <c r="C1438" i="10"/>
  <c r="E1438" i="10" s="1"/>
  <c r="C1439" i="10"/>
  <c r="E1439" i="10" s="1"/>
  <c r="C1440" i="10"/>
  <c r="E1440" i="10" s="1"/>
  <c r="C1441" i="10"/>
  <c r="E1441" i="10" s="1"/>
  <c r="C1442" i="10"/>
  <c r="E1442" i="10" s="1"/>
  <c r="C1443" i="10"/>
  <c r="E1443" i="10" s="1"/>
  <c r="C1444" i="10"/>
  <c r="E1444" i="10" s="1"/>
  <c r="C1445" i="10"/>
  <c r="E1445" i="10" s="1"/>
  <c r="C1446" i="10"/>
  <c r="E1446" i="10" s="1"/>
  <c r="C1447" i="10"/>
  <c r="E1447" i="10" s="1"/>
  <c r="C1448" i="10"/>
  <c r="E1448" i="10" s="1"/>
  <c r="C1449" i="10"/>
  <c r="E1449" i="10" s="1"/>
  <c r="C1450" i="10"/>
  <c r="E1450" i="10" s="1"/>
  <c r="C1451" i="10"/>
  <c r="E1451" i="10" s="1"/>
  <c r="C1453" i="10"/>
  <c r="E1453" i="10" s="1"/>
  <c r="C1454" i="10"/>
  <c r="E1454" i="10" s="1"/>
  <c r="C1455" i="10"/>
  <c r="E1455" i="10" s="1"/>
  <c r="C1456" i="10"/>
  <c r="E1456" i="10" s="1"/>
  <c r="C1457" i="10"/>
  <c r="E1457" i="10" s="1"/>
  <c r="C1459" i="10"/>
  <c r="E1459" i="10" s="1"/>
  <c r="C1460" i="10"/>
  <c r="E1460" i="10" s="1"/>
  <c r="C1463" i="10"/>
  <c r="E1463" i="10" s="1"/>
  <c r="C1464" i="10"/>
  <c r="E1464" i="10" s="1"/>
  <c r="C1465" i="10"/>
  <c r="E1465" i="10" s="1"/>
  <c r="C1466" i="10"/>
  <c r="E1466" i="10" s="1"/>
  <c r="C1467" i="10"/>
  <c r="E1467" i="10" s="1"/>
  <c r="C1468" i="10"/>
  <c r="E1468" i="10" s="1"/>
  <c r="C1469" i="10"/>
  <c r="E1469" i="10" s="1"/>
  <c r="C1470" i="10"/>
  <c r="E1470" i="10" s="1"/>
  <c r="C1471" i="10"/>
  <c r="E1471" i="10" s="1"/>
  <c r="C1472" i="10"/>
  <c r="E1472" i="10" s="1"/>
  <c r="C1473" i="10"/>
  <c r="E1473" i="10" s="1"/>
  <c r="C1474" i="10"/>
  <c r="E1474" i="10" s="1"/>
  <c r="C1476" i="10"/>
  <c r="E1476" i="10" s="1"/>
  <c r="C1477" i="10"/>
  <c r="E1477" i="10" s="1"/>
  <c r="C1478" i="10"/>
  <c r="E1478" i="10" s="1"/>
  <c r="C1479" i="10"/>
  <c r="E1479" i="10" s="1"/>
  <c r="C1480" i="10"/>
  <c r="E1480" i="10" s="1"/>
  <c r="C1481" i="10"/>
  <c r="E1481" i="10" s="1"/>
  <c r="C1482" i="10"/>
  <c r="E1482" i="10" s="1"/>
  <c r="C1483" i="10"/>
  <c r="E1483" i="10" s="1"/>
  <c r="C1484" i="10"/>
  <c r="E1484" i="10" s="1"/>
  <c r="C1485" i="10"/>
  <c r="E1485" i="10" s="1"/>
  <c r="C1486" i="10"/>
  <c r="E1486" i="10" s="1"/>
  <c r="C1487" i="10"/>
  <c r="E1487" i="10" s="1"/>
  <c r="C8" i="10"/>
  <c r="E8" i="10" s="1"/>
  <c r="H1065" i="10" l="1"/>
  <c r="G1065" i="10"/>
  <c r="F1065" i="10"/>
  <c r="H1001" i="10" l="1"/>
  <c r="G1001" i="10"/>
  <c r="F1001" i="10"/>
  <c r="H514" i="10"/>
  <c r="G514" i="10"/>
  <c r="F514" i="10"/>
  <c r="F511" i="10"/>
  <c r="G511" i="10"/>
  <c r="H511" i="10"/>
  <c r="F512" i="10"/>
  <c r="G512" i="10"/>
  <c r="H512" i="10"/>
  <c r="H446" i="10"/>
  <c r="G446" i="10"/>
  <c r="F446" i="10"/>
  <c r="H445" i="10"/>
  <c r="G445" i="10"/>
  <c r="F445" i="10"/>
  <c r="H392" i="10"/>
  <c r="G392" i="10"/>
  <c r="F392" i="10"/>
  <c r="H391" i="10"/>
  <c r="G391" i="10"/>
  <c r="F391" i="10"/>
  <c r="H359" i="10"/>
  <c r="G359" i="10"/>
  <c r="F359" i="10"/>
  <c r="H331" i="10"/>
  <c r="G331" i="10"/>
  <c r="F331" i="10"/>
  <c r="H258" i="10"/>
  <c r="G258" i="10"/>
  <c r="F258" i="10"/>
  <c r="H257" i="10"/>
  <c r="G257" i="10"/>
  <c r="F257" i="10"/>
  <c r="F522" i="10" l="1"/>
  <c r="G522" i="10"/>
  <c r="H522" i="10"/>
  <c r="F30" i="10" l="1"/>
  <c r="G30" i="10"/>
  <c r="H30" i="10"/>
  <c r="F33" i="10"/>
  <c r="G33" i="10"/>
  <c r="H33" i="10"/>
  <c r="F34" i="10"/>
  <c r="G34" i="10"/>
  <c r="H34" i="10"/>
  <c r="F35" i="10"/>
  <c r="G35" i="10"/>
  <c r="H35" i="10"/>
  <c r="F37" i="10"/>
  <c r="G37" i="10"/>
  <c r="H37" i="10"/>
  <c r="F39" i="10"/>
  <c r="G39" i="10"/>
  <c r="H39" i="10"/>
  <c r="F40" i="10"/>
  <c r="G40" i="10"/>
  <c r="H40" i="10"/>
  <c r="F47" i="10"/>
  <c r="G47" i="10"/>
  <c r="H47" i="10"/>
  <c r="F48" i="10"/>
  <c r="G48" i="10"/>
  <c r="H48" i="10"/>
  <c r="F49" i="10"/>
  <c r="G49" i="10"/>
  <c r="H49" i="10"/>
  <c r="F50" i="10"/>
  <c r="G50" i="10"/>
  <c r="H50" i="10"/>
  <c r="F51" i="10"/>
  <c r="G51" i="10"/>
  <c r="H51" i="10"/>
  <c r="F53" i="10"/>
  <c r="G53" i="10"/>
  <c r="H53" i="10"/>
  <c r="F55" i="10"/>
  <c r="G55" i="10"/>
  <c r="H55" i="10"/>
  <c r="F58" i="10"/>
  <c r="G58" i="10"/>
  <c r="H58" i="10"/>
  <c r="F59" i="10"/>
  <c r="G59" i="10"/>
  <c r="H59" i="10"/>
  <c r="F60" i="10"/>
  <c r="G60" i="10"/>
  <c r="H60" i="10"/>
  <c r="F62" i="10"/>
  <c r="G62" i="10"/>
  <c r="H62" i="10"/>
  <c r="F64" i="10"/>
  <c r="G64" i="10"/>
  <c r="H64" i="10"/>
  <c r="F65" i="10"/>
  <c r="G65" i="10"/>
  <c r="H65" i="10"/>
  <c r="F67" i="10"/>
  <c r="G67" i="10"/>
  <c r="H67" i="10"/>
  <c r="F68" i="10"/>
  <c r="G68" i="10"/>
  <c r="H68" i="10"/>
  <c r="F69" i="10"/>
  <c r="G69" i="10"/>
  <c r="H69" i="10"/>
  <c r="F70" i="10"/>
  <c r="G70" i="10"/>
  <c r="H70" i="10"/>
  <c r="F72" i="10"/>
  <c r="G72" i="10"/>
  <c r="H72" i="10"/>
  <c r="F73" i="10"/>
  <c r="G73" i="10"/>
  <c r="H73" i="10"/>
  <c r="F74" i="10"/>
  <c r="G74" i="10"/>
  <c r="H74" i="10"/>
  <c r="F75" i="10"/>
  <c r="G75" i="10"/>
  <c r="H75" i="10"/>
  <c r="F76" i="10"/>
  <c r="G76" i="10"/>
  <c r="H76" i="10"/>
  <c r="F78" i="10"/>
  <c r="G78" i="10"/>
  <c r="H78" i="10"/>
  <c r="F93" i="10"/>
  <c r="G93" i="10"/>
  <c r="H93" i="10"/>
  <c r="F94" i="10"/>
  <c r="G94" i="10"/>
  <c r="H94" i="10"/>
  <c r="F96" i="10"/>
  <c r="G96" i="10"/>
  <c r="H96" i="10"/>
  <c r="F107" i="10"/>
  <c r="G107" i="10"/>
  <c r="H107" i="10"/>
  <c r="F140" i="10"/>
  <c r="G140" i="10"/>
  <c r="H140" i="10"/>
  <c r="F142" i="10"/>
  <c r="G142" i="10"/>
  <c r="H142" i="10"/>
  <c r="F152" i="10"/>
  <c r="G152" i="10"/>
  <c r="H152" i="10"/>
  <c r="F190" i="10"/>
  <c r="G190" i="10"/>
  <c r="H190" i="10"/>
  <c r="F196" i="10"/>
  <c r="G196" i="10"/>
  <c r="H196" i="10"/>
  <c r="F198" i="10"/>
  <c r="G198" i="10"/>
  <c r="H198" i="10"/>
  <c r="F208" i="10"/>
  <c r="G208" i="10"/>
  <c r="H208" i="10"/>
  <c r="F246" i="10"/>
  <c r="G246" i="10"/>
  <c r="H246" i="10"/>
  <c r="F252" i="10"/>
  <c r="G252" i="10"/>
  <c r="H252" i="10"/>
  <c r="F254" i="10"/>
  <c r="G254" i="10"/>
  <c r="H254" i="10"/>
  <c r="F262" i="10"/>
  <c r="G262" i="10"/>
  <c r="H262" i="10"/>
  <c r="F301" i="10"/>
  <c r="G301" i="10"/>
  <c r="H301" i="10"/>
  <c r="F307" i="10"/>
  <c r="G307" i="10"/>
  <c r="H307" i="10"/>
  <c r="F309" i="10"/>
  <c r="G309" i="10"/>
  <c r="H309" i="10"/>
  <c r="F315" i="10"/>
  <c r="G315" i="10"/>
  <c r="H315" i="10"/>
  <c r="F365" i="10"/>
  <c r="G365" i="10"/>
  <c r="H365" i="10"/>
  <c r="F369" i="10"/>
  <c r="G369" i="10"/>
  <c r="H369" i="10"/>
  <c r="F371" i="10"/>
  <c r="G371" i="10"/>
  <c r="H371" i="10"/>
  <c r="F419" i="10"/>
  <c r="G419" i="10"/>
  <c r="H419" i="10"/>
  <c r="F423" i="10"/>
  <c r="G423" i="10"/>
  <c r="H423" i="10"/>
  <c r="F425" i="10"/>
  <c r="G425" i="10"/>
  <c r="H425" i="10"/>
  <c r="F473" i="10"/>
  <c r="G473" i="10"/>
  <c r="H473" i="10"/>
  <c r="F477" i="10"/>
  <c r="G477" i="10"/>
  <c r="H477" i="10"/>
  <c r="F479" i="10"/>
  <c r="G479" i="10"/>
  <c r="H479" i="10"/>
  <c r="F480" i="10"/>
  <c r="G480" i="10"/>
  <c r="H480" i="10"/>
  <c r="F481" i="10"/>
  <c r="G481" i="10"/>
  <c r="H481" i="10"/>
  <c r="F482" i="10"/>
  <c r="G482" i="10"/>
  <c r="H482" i="10"/>
  <c r="F483" i="10"/>
  <c r="G483" i="10"/>
  <c r="H483" i="10"/>
  <c r="F491" i="10"/>
  <c r="G491" i="10"/>
  <c r="H491" i="10"/>
  <c r="F518" i="10"/>
  <c r="G518" i="10"/>
  <c r="H518" i="10"/>
  <c r="F519" i="10"/>
  <c r="G519" i="10"/>
  <c r="H519" i="10"/>
  <c r="F521" i="10"/>
  <c r="G521" i="10"/>
  <c r="H521" i="10"/>
  <c r="F523" i="10"/>
  <c r="G523" i="10"/>
  <c r="H523" i="10"/>
  <c r="F524" i="10"/>
  <c r="G524" i="10"/>
  <c r="H524" i="10"/>
  <c r="F525" i="10"/>
  <c r="G525" i="10"/>
  <c r="H525" i="10"/>
  <c r="F562" i="10"/>
  <c r="G562" i="10"/>
  <c r="H562" i="10"/>
  <c r="F563" i="10"/>
  <c r="G563" i="10"/>
  <c r="H563" i="10"/>
  <c r="F564" i="10"/>
  <c r="G564" i="10"/>
  <c r="H564" i="10"/>
  <c r="F567" i="10"/>
  <c r="G567" i="10"/>
  <c r="H567" i="10"/>
  <c r="F574" i="10"/>
  <c r="G574" i="10"/>
  <c r="H574" i="10"/>
  <c r="F578" i="10"/>
  <c r="G578" i="10"/>
  <c r="H578" i="10"/>
  <c r="F583" i="10"/>
  <c r="G583" i="10"/>
  <c r="H583" i="10"/>
  <c r="F595" i="10"/>
  <c r="G595" i="10"/>
  <c r="H595" i="10"/>
  <c r="F619" i="10"/>
  <c r="G619" i="10"/>
  <c r="H619" i="10"/>
  <c r="F622" i="10"/>
  <c r="G622" i="10"/>
  <c r="H622" i="10"/>
  <c r="F634" i="10"/>
  <c r="G634" i="10"/>
  <c r="H634" i="10"/>
  <c r="F638" i="10"/>
  <c r="G638" i="10"/>
  <c r="H638" i="10"/>
  <c r="F640" i="10"/>
  <c r="G640" i="10"/>
  <c r="H640" i="10"/>
  <c r="F647" i="10"/>
  <c r="G647" i="10"/>
  <c r="H647" i="10"/>
  <c r="F678" i="10"/>
  <c r="G678" i="10"/>
  <c r="H678" i="10"/>
  <c r="F695" i="10"/>
  <c r="G695" i="10"/>
  <c r="H695" i="10"/>
  <c r="F697" i="10"/>
  <c r="G697" i="10"/>
  <c r="H697" i="10"/>
  <c r="F758" i="10"/>
  <c r="G758" i="10"/>
  <c r="H758" i="10"/>
  <c r="F761" i="10"/>
  <c r="G761" i="10"/>
  <c r="H761" i="10"/>
  <c r="F763" i="10"/>
  <c r="G763" i="10"/>
  <c r="H763" i="10"/>
  <c r="F764" i="10"/>
  <c r="G764" i="10"/>
  <c r="H764" i="10"/>
  <c r="F765" i="10"/>
  <c r="G765" i="10"/>
  <c r="H765" i="10"/>
  <c r="F766" i="10"/>
  <c r="G766" i="10"/>
  <c r="H766" i="10"/>
  <c r="F767" i="10"/>
  <c r="G767" i="10"/>
  <c r="H767" i="10"/>
  <c r="F769" i="10"/>
  <c r="G769" i="10"/>
  <c r="H769" i="10"/>
  <c r="F770" i="10"/>
  <c r="G770" i="10"/>
  <c r="H770" i="10"/>
  <c r="F771" i="10"/>
  <c r="G771" i="10"/>
  <c r="H771" i="10"/>
  <c r="F774" i="10"/>
  <c r="G774" i="10"/>
  <c r="H774" i="10"/>
  <c r="F778" i="10"/>
  <c r="G778" i="10"/>
  <c r="H778" i="10"/>
  <c r="F779" i="10"/>
  <c r="G779" i="10"/>
  <c r="H779" i="10"/>
  <c r="F786" i="10"/>
  <c r="G786" i="10"/>
  <c r="H786" i="10"/>
  <c r="F789" i="10"/>
  <c r="G789" i="10"/>
  <c r="H789" i="10"/>
  <c r="F791" i="10"/>
  <c r="G791" i="10"/>
  <c r="H791" i="10"/>
  <c r="F792" i="10"/>
  <c r="G792" i="10"/>
  <c r="H792" i="10"/>
  <c r="F793" i="10"/>
  <c r="G793" i="10"/>
  <c r="H793" i="10"/>
  <c r="F794" i="10"/>
  <c r="G794" i="10"/>
  <c r="H794" i="10"/>
  <c r="F796" i="10"/>
  <c r="G796" i="10"/>
  <c r="H796" i="10"/>
  <c r="F797" i="10"/>
  <c r="G797" i="10"/>
  <c r="H797" i="10"/>
  <c r="F798" i="10"/>
  <c r="G798" i="10"/>
  <c r="H798" i="10"/>
  <c r="F801" i="10"/>
  <c r="G801" i="10"/>
  <c r="H801" i="10"/>
  <c r="F804" i="10"/>
  <c r="G804" i="10"/>
  <c r="H804" i="10"/>
  <c r="F805" i="10"/>
  <c r="G805" i="10"/>
  <c r="H805" i="10"/>
  <c r="F808" i="10"/>
  <c r="G808" i="10"/>
  <c r="H808" i="10"/>
  <c r="F814" i="10"/>
  <c r="G814" i="10"/>
  <c r="H814" i="10"/>
  <c r="F852" i="10"/>
  <c r="G852" i="10"/>
  <c r="H852" i="10"/>
  <c r="F869" i="10"/>
  <c r="G869" i="10"/>
  <c r="H869" i="10"/>
  <c r="F873" i="10"/>
  <c r="G873" i="10"/>
  <c r="H873" i="10"/>
  <c r="F875" i="10"/>
  <c r="G875" i="10"/>
  <c r="H875" i="10"/>
  <c r="F877" i="10"/>
  <c r="G877" i="10"/>
  <c r="H877" i="10"/>
  <c r="F881" i="10"/>
  <c r="G881" i="10"/>
  <c r="H881" i="10"/>
  <c r="F925" i="10"/>
  <c r="G925" i="10"/>
  <c r="H925" i="10"/>
  <c r="F942" i="10"/>
  <c r="G942" i="10"/>
  <c r="H942" i="10"/>
  <c r="F946" i="10"/>
  <c r="G946" i="10"/>
  <c r="H946" i="10"/>
  <c r="F948" i="10"/>
  <c r="G948" i="10"/>
  <c r="H948" i="10"/>
  <c r="F991" i="10"/>
  <c r="G991" i="10"/>
  <c r="H991" i="10"/>
  <c r="F1007" i="10"/>
  <c r="G1007" i="10"/>
  <c r="H1007" i="10"/>
  <c r="F1010" i="10"/>
  <c r="G1010" i="10"/>
  <c r="H1010" i="10"/>
  <c r="F1012" i="10"/>
  <c r="G1012" i="10"/>
  <c r="H1012" i="10"/>
  <c r="F1055" i="10"/>
  <c r="G1055" i="10"/>
  <c r="H1055" i="10"/>
  <c r="F1071" i="10"/>
  <c r="G1071" i="10"/>
  <c r="H1071" i="10"/>
  <c r="F1074" i="10"/>
  <c r="G1074" i="10"/>
  <c r="H1074" i="10"/>
  <c r="F1089" i="10"/>
  <c r="G1089" i="10"/>
  <c r="H1089" i="10"/>
  <c r="F1091" i="10"/>
  <c r="G1091" i="10"/>
  <c r="H1091" i="10"/>
  <c r="F1094" i="10"/>
  <c r="G1094" i="10"/>
  <c r="H1094" i="10"/>
  <c r="F1102" i="10"/>
  <c r="G1102" i="10"/>
  <c r="H1102" i="10"/>
  <c r="F1105" i="10"/>
  <c r="G1105" i="10"/>
  <c r="H1105" i="10"/>
  <c r="F1113" i="10"/>
  <c r="G1113" i="10"/>
  <c r="H1113" i="10"/>
  <c r="F1114" i="10"/>
  <c r="G1114" i="10"/>
  <c r="H1114" i="10"/>
  <c r="F1126" i="10"/>
  <c r="G1126" i="10"/>
  <c r="H1126" i="10"/>
  <c r="F1136" i="10"/>
  <c r="G1136" i="10"/>
  <c r="H1136" i="10"/>
  <c r="F1144" i="10"/>
  <c r="G1144" i="10"/>
  <c r="H1144" i="10"/>
  <c r="F1145" i="10"/>
  <c r="G1145" i="10"/>
  <c r="H1145" i="10"/>
  <c r="F1152" i="10"/>
  <c r="G1152" i="10"/>
  <c r="H1152" i="10"/>
  <c r="F1154" i="10"/>
  <c r="G1154" i="10"/>
  <c r="H1154" i="10"/>
  <c r="F1156" i="10"/>
  <c r="G1156" i="10"/>
  <c r="H1156" i="10"/>
  <c r="F1157" i="10"/>
  <c r="G1157" i="10"/>
  <c r="H1157" i="10"/>
  <c r="F1169" i="10"/>
  <c r="G1169" i="10"/>
  <c r="H1169" i="10"/>
  <c r="F1170" i="10"/>
  <c r="G1170" i="10"/>
  <c r="H1170" i="10"/>
  <c r="F1171" i="10"/>
  <c r="G1171" i="10"/>
  <c r="H1171" i="10"/>
  <c r="F1172" i="10"/>
  <c r="G1172" i="10"/>
  <c r="H1172" i="10"/>
  <c r="F1202" i="10"/>
  <c r="G1202" i="10"/>
  <c r="H1202" i="10"/>
  <c r="F1205" i="10"/>
  <c r="G1205" i="10"/>
  <c r="H1205" i="10"/>
  <c r="F1206" i="10"/>
  <c r="G1206" i="10"/>
  <c r="H1206" i="10"/>
  <c r="F1207" i="10"/>
  <c r="G1207" i="10"/>
  <c r="H1207" i="10"/>
  <c r="F1214" i="10"/>
  <c r="G1214" i="10"/>
  <c r="H1214" i="10"/>
  <c r="F1215" i="10"/>
  <c r="G1215" i="10"/>
  <c r="H1215" i="10"/>
  <c r="F1216" i="10"/>
  <c r="G1216" i="10"/>
  <c r="H1216" i="10"/>
  <c r="F1217" i="10"/>
  <c r="G1217" i="10"/>
  <c r="H1217" i="10"/>
  <c r="F1218" i="10"/>
  <c r="G1218" i="10"/>
  <c r="H1218" i="10"/>
  <c r="F1219" i="10"/>
  <c r="G1219" i="10"/>
  <c r="H1219" i="10"/>
  <c r="F1222" i="10"/>
  <c r="G1222" i="10"/>
  <c r="H1222" i="10"/>
  <c r="F1223" i="10"/>
  <c r="G1223" i="10"/>
  <c r="H1223" i="10"/>
  <c r="F1224" i="10"/>
  <c r="G1224" i="10"/>
  <c r="H1224" i="10"/>
  <c r="F1225" i="10"/>
  <c r="G1225" i="10"/>
  <c r="H1225" i="10"/>
  <c r="F1226" i="10"/>
  <c r="G1226" i="10"/>
  <c r="H1226" i="10"/>
  <c r="F1227" i="10"/>
  <c r="G1227" i="10"/>
  <c r="H1227" i="10"/>
  <c r="F1228" i="10"/>
  <c r="G1228" i="10"/>
  <c r="H1228" i="10"/>
  <c r="F1232" i="10"/>
  <c r="G1232" i="10"/>
  <c r="H1232" i="10"/>
  <c r="F1231" i="10"/>
  <c r="G1231" i="10"/>
  <c r="H1231" i="10"/>
  <c r="F1233" i="10"/>
  <c r="G1233" i="10"/>
  <c r="H1233" i="10"/>
  <c r="F1234" i="10"/>
  <c r="G1234" i="10"/>
  <c r="H1234" i="10"/>
  <c r="F1235" i="10"/>
  <c r="G1235" i="10"/>
  <c r="H1235" i="10"/>
  <c r="F1236" i="10"/>
  <c r="G1236" i="10"/>
  <c r="H1236" i="10"/>
  <c r="F1237" i="10"/>
  <c r="G1237" i="10"/>
  <c r="H1237" i="10"/>
  <c r="F1238" i="10"/>
  <c r="G1238" i="10"/>
  <c r="H1238" i="10"/>
  <c r="F1239" i="10"/>
  <c r="G1239" i="10"/>
  <c r="H1239" i="10"/>
  <c r="F1240" i="10"/>
  <c r="G1240" i="10"/>
  <c r="H1240" i="10"/>
  <c r="F1241" i="10"/>
  <c r="G1241" i="10"/>
  <c r="H1241" i="10"/>
  <c r="F1242" i="10"/>
  <c r="G1242" i="10"/>
  <c r="H1242" i="10"/>
  <c r="F1243" i="10"/>
  <c r="G1243" i="10"/>
  <c r="H1243" i="10"/>
  <c r="F1244" i="10"/>
  <c r="G1244" i="10"/>
  <c r="H1244" i="10"/>
  <c r="F1245" i="10"/>
  <c r="G1245" i="10"/>
  <c r="H1245" i="10"/>
  <c r="F1246" i="10"/>
  <c r="G1246" i="10"/>
  <c r="H1246" i="10"/>
  <c r="F1247" i="10"/>
  <c r="G1247" i="10"/>
  <c r="H1247" i="10"/>
  <c r="F1248" i="10"/>
  <c r="G1248" i="10"/>
  <c r="H1248" i="10"/>
  <c r="F1249" i="10"/>
  <c r="G1249" i="10"/>
  <c r="H1249" i="10"/>
  <c r="F1250" i="10"/>
  <c r="G1250" i="10"/>
  <c r="H1250" i="10"/>
  <c r="F1251" i="10"/>
  <c r="G1251" i="10"/>
  <c r="H1251" i="10"/>
  <c r="F1252" i="10"/>
  <c r="G1252" i="10"/>
  <c r="H1252" i="10"/>
  <c r="F1253" i="10"/>
  <c r="G1253" i="10"/>
  <c r="H1253" i="10"/>
  <c r="F1254" i="10"/>
  <c r="G1254" i="10"/>
  <c r="H1254" i="10"/>
  <c r="F1255" i="10"/>
  <c r="G1255" i="10"/>
  <c r="H1255" i="10"/>
  <c r="F1256" i="10"/>
  <c r="G1256" i="10"/>
  <c r="H1256" i="10"/>
  <c r="F1257" i="10"/>
  <c r="G1257" i="10"/>
  <c r="H1257" i="10"/>
  <c r="F1258" i="10"/>
  <c r="G1258" i="10"/>
  <c r="H1258" i="10"/>
  <c r="F1259" i="10"/>
  <c r="G1259" i="10"/>
  <c r="H1259" i="10"/>
  <c r="F1260" i="10"/>
  <c r="G1260" i="10"/>
  <c r="H1260" i="10"/>
  <c r="F1261" i="10"/>
  <c r="G1261" i="10"/>
  <c r="H1261" i="10"/>
  <c r="F1262" i="10"/>
  <c r="G1262" i="10"/>
  <c r="H1262" i="10"/>
  <c r="F1263" i="10"/>
  <c r="G1263" i="10"/>
  <c r="H1263" i="10"/>
  <c r="F1264" i="10"/>
  <c r="G1264" i="10"/>
  <c r="H1264" i="10"/>
  <c r="F1265" i="10"/>
  <c r="G1265" i="10"/>
  <c r="H1265" i="10"/>
  <c r="F1266" i="10"/>
  <c r="G1266" i="10"/>
  <c r="H1266" i="10"/>
  <c r="F1267" i="10"/>
  <c r="G1267" i="10"/>
  <c r="H1267" i="10"/>
  <c r="F1268" i="10"/>
  <c r="G1268" i="10"/>
  <c r="H1268" i="10"/>
  <c r="F1269" i="10"/>
  <c r="G1269" i="10"/>
  <c r="H1269" i="10"/>
  <c r="F1271" i="10"/>
  <c r="G1271" i="10"/>
  <c r="H1271" i="10"/>
  <c r="F1272" i="10"/>
  <c r="G1272" i="10"/>
  <c r="H1272" i="10"/>
  <c r="F1286" i="10"/>
  <c r="G1286" i="10"/>
  <c r="H1286" i="10"/>
  <c r="F1287" i="10"/>
  <c r="G1287" i="10"/>
  <c r="H1287" i="10"/>
  <c r="F1288" i="10"/>
  <c r="G1288" i="10"/>
  <c r="H1288" i="10"/>
  <c r="F1289" i="10"/>
  <c r="G1289" i="10"/>
  <c r="H1289" i="10"/>
  <c r="F1290" i="10"/>
  <c r="G1290" i="10"/>
  <c r="H1290" i="10"/>
  <c r="F1297" i="10"/>
  <c r="G1297" i="10"/>
  <c r="H1297" i="10"/>
  <c r="F1299" i="10"/>
  <c r="G1299" i="10"/>
  <c r="H1299" i="10"/>
  <c r="F1300" i="10"/>
  <c r="G1300" i="10"/>
  <c r="H1300" i="10"/>
  <c r="F1301" i="10"/>
  <c r="G1301" i="10"/>
  <c r="H1301" i="10"/>
  <c r="F1302" i="10"/>
  <c r="G1302" i="10"/>
  <c r="H1302" i="10"/>
  <c r="F1306" i="10"/>
  <c r="G1306" i="10"/>
  <c r="H1306" i="10"/>
  <c r="F1309" i="10"/>
  <c r="G1309" i="10"/>
  <c r="H1309" i="10"/>
  <c r="F1310" i="10"/>
  <c r="G1310" i="10"/>
  <c r="H1310" i="10"/>
  <c r="F1311" i="10"/>
  <c r="G1311" i="10"/>
  <c r="H1311" i="10"/>
  <c r="F1312" i="10"/>
  <c r="G1312" i="10"/>
  <c r="H1312" i="10"/>
  <c r="F1313" i="10"/>
  <c r="G1313" i="10"/>
  <c r="H1313" i="10"/>
  <c r="F1314" i="10"/>
  <c r="G1314" i="10"/>
  <c r="H1314" i="10"/>
  <c r="F1339" i="10"/>
  <c r="G1339" i="10"/>
  <c r="H1339" i="10"/>
  <c r="F1385" i="10"/>
  <c r="G1385" i="10"/>
  <c r="H1385" i="10"/>
  <c r="F1386" i="10"/>
  <c r="G1386" i="10"/>
  <c r="H1386" i="10"/>
  <c r="F1387" i="10"/>
  <c r="G1387" i="10"/>
  <c r="H1387" i="10"/>
  <c r="F1388" i="10"/>
  <c r="G1388" i="10"/>
  <c r="H1388" i="10"/>
  <c r="F1389" i="10"/>
  <c r="G1389" i="10"/>
  <c r="H1389" i="10"/>
  <c r="F1390" i="10"/>
  <c r="G1390" i="10"/>
  <c r="H1390" i="10"/>
  <c r="F1391" i="10"/>
  <c r="G1391" i="10"/>
  <c r="H1391" i="10"/>
  <c r="F1471" i="10"/>
  <c r="G1471" i="10"/>
  <c r="H1471" i="10"/>
  <c r="F1474" i="10"/>
  <c r="G1474" i="10"/>
  <c r="H1474" i="10"/>
  <c r="F1476" i="10"/>
  <c r="G1476" i="10"/>
  <c r="H1476" i="10"/>
  <c r="F1477" i="10"/>
  <c r="G1477" i="10"/>
  <c r="H1477" i="10"/>
  <c r="F1478" i="10"/>
  <c r="G1478" i="10"/>
  <c r="H1478" i="10"/>
  <c r="F1479" i="10"/>
  <c r="G1479" i="10"/>
  <c r="H1479" i="10"/>
  <c r="F1480" i="10"/>
  <c r="G1480" i="10"/>
  <c r="H1480" i="10"/>
  <c r="F1481" i="10"/>
  <c r="G1481" i="10"/>
  <c r="H1481" i="10"/>
  <c r="F1482" i="10"/>
  <c r="G1482" i="10"/>
  <c r="H1482" i="10"/>
  <c r="F1483" i="10"/>
  <c r="G1483" i="10"/>
  <c r="H1483" i="10"/>
  <c r="F1484" i="10"/>
  <c r="G1484" i="10"/>
  <c r="H1484" i="10"/>
  <c r="F1485" i="10"/>
  <c r="G1485" i="10"/>
  <c r="H1485" i="10"/>
  <c r="F1486" i="10"/>
  <c r="G1486" i="10"/>
  <c r="H1486" i="10"/>
  <c r="F1487" i="10"/>
  <c r="G1487" i="10"/>
  <c r="H1487" i="10"/>
  <c r="H536" i="10" l="1"/>
  <c r="F536" i="10"/>
  <c r="G536" i="10"/>
  <c r="H531" i="10"/>
  <c r="G531" i="10"/>
  <c r="F531" i="10"/>
  <c r="H570" i="10"/>
  <c r="F570" i="10"/>
  <c r="G570" i="10"/>
  <c r="H579" i="10"/>
  <c r="G579" i="10"/>
  <c r="F579" i="10"/>
  <c r="F558" i="10"/>
  <c r="G558" i="10"/>
  <c r="H558" i="10"/>
  <c r="F554" i="10"/>
  <c r="G554" i="10"/>
  <c r="H554" i="10"/>
  <c r="F550" i="10"/>
  <c r="G550" i="10"/>
  <c r="H550" i="10"/>
  <c r="F546" i="10"/>
  <c r="G546" i="10"/>
  <c r="H546" i="10"/>
  <c r="F542" i="10"/>
  <c r="G542" i="10"/>
  <c r="H542" i="10"/>
  <c r="F538" i="10"/>
  <c r="G538" i="10"/>
  <c r="H538" i="10"/>
  <c r="F534" i="10"/>
  <c r="G534" i="10"/>
  <c r="H534" i="10"/>
  <c r="F529" i="10"/>
  <c r="G529" i="10"/>
  <c r="H529" i="10"/>
  <c r="F572" i="10"/>
  <c r="G572" i="10"/>
  <c r="H572" i="10"/>
  <c r="F577" i="10"/>
  <c r="G577" i="10"/>
  <c r="H577" i="10"/>
  <c r="F561" i="10"/>
  <c r="H561" i="10"/>
  <c r="G561" i="10"/>
  <c r="F557" i="10"/>
  <c r="G557" i="10"/>
  <c r="H557" i="10"/>
  <c r="F553" i="10"/>
  <c r="H553" i="10"/>
  <c r="G553" i="10"/>
  <c r="F549" i="10"/>
  <c r="G549" i="10"/>
  <c r="H549" i="10"/>
  <c r="F545" i="10"/>
  <c r="H545" i="10"/>
  <c r="G545" i="10"/>
  <c r="F541" i="10"/>
  <c r="H541" i="10"/>
  <c r="G541" i="10"/>
  <c r="F537" i="10"/>
  <c r="H537" i="10"/>
  <c r="G537" i="10"/>
  <c r="F532" i="10"/>
  <c r="H532" i="10"/>
  <c r="G532" i="10"/>
  <c r="G569" i="10"/>
  <c r="H569" i="10"/>
  <c r="F569" i="10"/>
  <c r="G573" i="10"/>
  <c r="H573" i="10"/>
  <c r="F573" i="10"/>
  <c r="F528" i="10"/>
  <c r="H528" i="10"/>
  <c r="G528" i="10"/>
  <c r="F576" i="10"/>
  <c r="G576" i="10"/>
  <c r="H576" i="10"/>
  <c r="H560" i="10"/>
  <c r="F560" i="10"/>
  <c r="G560" i="10"/>
  <c r="H556" i="10"/>
  <c r="G556" i="10"/>
  <c r="F556" i="10"/>
  <c r="H552" i="10"/>
  <c r="G552" i="10"/>
  <c r="F552" i="10"/>
  <c r="H548" i="10"/>
  <c r="G548" i="10"/>
  <c r="F548" i="10"/>
  <c r="H544" i="10"/>
  <c r="F544" i="10"/>
  <c r="G544" i="10"/>
  <c r="H540" i="10"/>
  <c r="G540" i="10"/>
  <c r="F540" i="10"/>
  <c r="F580" i="10"/>
  <c r="G580" i="10"/>
  <c r="H580" i="10"/>
  <c r="F566" i="10"/>
  <c r="G566" i="10"/>
  <c r="H566" i="10"/>
  <c r="G559" i="10"/>
  <c r="H559" i="10"/>
  <c r="F559" i="10"/>
  <c r="G555" i="10"/>
  <c r="H555" i="10"/>
  <c r="F555" i="10"/>
  <c r="G551" i="10"/>
  <c r="H551" i="10"/>
  <c r="F551" i="10"/>
  <c r="G547" i="10"/>
  <c r="H547" i="10"/>
  <c r="F547" i="10"/>
  <c r="G543" i="10"/>
  <c r="H543" i="10"/>
  <c r="F543" i="10"/>
  <c r="G539" i="10"/>
  <c r="H539" i="10"/>
  <c r="F539" i="10"/>
  <c r="G535" i="10"/>
  <c r="H535" i="10"/>
  <c r="F535" i="10"/>
  <c r="G530" i="10"/>
  <c r="H530" i="10"/>
  <c r="F530" i="10"/>
  <c r="F571" i="10"/>
  <c r="H571" i="10"/>
  <c r="G571" i="10"/>
  <c r="F582" i="10"/>
  <c r="G582" i="10"/>
  <c r="H582" i="10"/>
  <c r="G772" i="10" l="1"/>
  <c r="F772" i="10"/>
  <c r="H772" i="10"/>
  <c r="G1106" i="10"/>
  <c r="F1106" i="10"/>
  <c r="H1106" i="10"/>
  <c r="G1440" i="10"/>
  <c r="H1187" i="10"/>
  <c r="F1187" i="10"/>
  <c r="G1187" i="10"/>
  <c r="G1446" i="10"/>
  <c r="F1197" i="10"/>
  <c r="H1197" i="10"/>
  <c r="G1197" i="10"/>
  <c r="G1293" i="10"/>
  <c r="H1293" i="10"/>
  <c r="F1293" i="10"/>
  <c r="G1407" i="10"/>
  <c r="G1330" i="10"/>
  <c r="H1330" i="10"/>
  <c r="F1330" i="10"/>
  <c r="F1463" i="10"/>
  <c r="G1463" i="10"/>
  <c r="H1463" i="10"/>
  <c r="H42" i="10"/>
  <c r="F42" i="10"/>
  <c r="G42" i="10"/>
  <c r="G775" i="10"/>
  <c r="H775" i="10"/>
  <c r="F775" i="10"/>
  <c r="G1443" i="10"/>
  <c r="G1110" i="10"/>
  <c r="F1110" i="10"/>
  <c r="H1110" i="10"/>
  <c r="F1436" i="10"/>
  <c r="H1104" i="10"/>
  <c r="F1104" i="10"/>
  <c r="G1104" i="10"/>
  <c r="F1273" i="10"/>
  <c r="G1178" i="10"/>
  <c r="F1178" i="10"/>
  <c r="H1178" i="10"/>
  <c r="F1442" i="10"/>
  <c r="F1189" i="10"/>
  <c r="H1189" i="10"/>
  <c r="G1189" i="10"/>
  <c r="G1449" i="10"/>
  <c r="H1200" i="10"/>
  <c r="G1200" i="10"/>
  <c r="F1200" i="10"/>
  <c r="G1208" i="10"/>
  <c r="F1208" i="10"/>
  <c r="H1208" i="10"/>
  <c r="H1296" i="10"/>
  <c r="G1296" i="10"/>
  <c r="F1296" i="10"/>
  <c r="H1292" i="10"/>
  <c r="F1292" i="10"/>
  <c r="G1292" i="10"/>
  <c r="F1320" i="10"/>
  <c r="G1320" i="10"/>
  <c r="H1320" i="10"/>
  <c r="G1427" i="10"/>
  <c r="G1349" i="10"/>
  <c r="F1349" i="10"/>
  <c r="H1349" i="10"/>
  <c r="G1450" i="10"/>
  <c r="G1372" i="10"/>
  <c r="F1372" i="10"/>
  <c r="H1372" i="10"/>
  <c r="G45" i="10"/>
  <c r="H45" i="10"/>
  <c r="F45" i="10"/>
  <c r="F1181" i="10"/>
  <c r="H1181" i="10"/>
  <c r="G1181" i="10"/>
  <c r="H1448" i="10"/>
  <c r="G1199" i="10"/>
  <c r="F1199" i="10"/>
  <c r="H1199" i="10"/>
  <c r="G1295" i="10"/>
  <c r="F1295" i="10"/>
  <c r="H1295" i="10"/>
  <c r="F1399" i="10"/>
  <c r="G1322" i="10"/>
  <c r="H1322" i="10"/>
  <c r="F1322" i="10"/>
  <c r="H1451" i="10"/>
  <c r="H1373" i="10"/>
  <c r="F1373" i="10"/>
  <c r="G1373" i="10"/>
  <c r="F44" i="10"/>
  <c r="G44" i="10"/>
  <c r="H44" i="10"/>
  <c r="G806" i="10"/>
  <c r="H806" i="10"/>
  <c r="F806" i="10"/>
  <c r="G1133" i="10"/>
  <c r="F1133" i="10"/>
  <c r="H1133" i="10"/>
  <c r="H1201" i="10"/>
  <c r="F1201" i="10"/>
  <c r="G1201" i="10"/>
  <c r="H1229" i="10"/>
  <c r="G1229" i="10"/>
  <c r="F1229" i="10"/>
  <c r="G1291" i="10"/>
  <c r="H1291" i="10"/>
  <c r="F1291" i="10"/>
  <c r="H1394" i="10"/>
  <c r="H1317" i="10"/>
  <c r="F1317" i="10"/>
  <c r="G1317" i="10"/>
  <c r="H1433" i="10"/>
  <c r="F1355" i="10"/>
  <c r="G1355" i="10"/>
  <c r="H1355" i="10"/>
  <c r="F1467" i="10"/>
  <c r="H1467" i="10"/>
  <c r="G1467" i="10"/>
  <c r="G1472" i="10"/>
  <c r="H1472" i="10"/>
  <c r="F1472" i="10"/>
  <c r="F1384" i="10"/>
  <c r="H1384" i="10"/>
  <c r="G1384" i="10"/>
  <c r="G1464" i="10"/>
  <c r="F1464" i="10"/>
  <c r="H1464" i="10"/>
  <c r="G1468" i="10"/>
  <c r="H1468" i="10"/>
  <c r="F1468" i="10"/>
  <c r="H1473" i="10"/>
  <c r="G1473" i="10"/>
  <c r="F1473" i="10"/>
  <c r="F780" i="10"/>
  <c r="G780" i="10"/>
  <c r="H780" i="10"/>
  <c r="F1109" i="10"/>
  <c r="H1109" i="10"/>
  <c r="G1109" i="10"/>
  <c r="H1435" i="10"/>
  <c r="H1103" i="10"/>
  <c r="F1103" i="10"/>
  <c r="G1103" i="10"/>
  <c r="H1188" i="10"/>
  <c r="G1188" i="10"/>
  <c r="F1188" i="10"/>
  <c r="H1210" i="10"/>
  <c r="F1210" i="10"/>
  <c r="G1210" i="10"/>
  <c r="F1303" i="10"/>
  <c r="H1303" i="10"/>
  <c r="G1303" i="10"/>
  <c r="H1430" i="10"/>
  <c r="H1352" i="10"/>
  <c r="G1352" i="10"/>
  <c r="F1352" i="10"/>
  <c r="H1465" i="10"/>
  <c r="F1465" i="10"/>
  <c r="G1465" i="10"/>
  <c r="H1469" i="10"/>
  <c r="F1469" i="10"/>
  <c r="G1469" i="10"/>
  <c r="G799" i="10"/>
  <c r="H799" i="10"/>
  <c r="F799" i="10"/>
  <c r="F1108" i="10"/>
  <c r="G1108" i="10"/>
  <c r="H1108" i="10"/>
  <c r="G1457" i="10"/>
  <c r="G1115" i="10"/>
  <c r="H1115" i="10"/>
  <c r="F1115" i="10"/>
  <c r="H1439" i="10"/>
  <c r="G1186" i="10"/>
  <c r="F1186" i="10"/>
  <c r="H1186" i="10"/>
  <c r="H1196" i="10"/>
  <c r="F1196" i="10"/>
  <c r="G1196" i="10"/>
  <c r="F1447" i="10"/>
  <c r="F1198" i="10"/>
  <c r="H1198" i="10"/>
  <c r="G1198" i="10"/>
  <c r="H1211" i="10"/>
  <c r="F1211" i="10"/>
  <c r="G1211" i="10"/>
  <c r="F1294" i="10"/>
  <c r="G1294" i="10"/>
  <c r="H1294" i="10"/>
  <c r="G1305" i="10"/>
  <c r="F1305" i="10"/>
  <c r="H1305" i="10"/>
  <c r="F1400" i="10"/>
  <c r="H1323" i="10"/>
  <c r="G1323" i="10"/>
  <c r="F1323" i="10"/>
  <c r="F1432" i="10"/>
  <c r="H1354" i="10"/>
  <c r="F1354" i="10"/>
  <c r="G1354" i="10"/>
  <c r="F1460" i="10"/>
  <c r="H1382" i="10"/>
  <c r="F1382" i="10"/>
  <c r="G1382" i="10"/>
  <c r="H1466" i="10"/>
  <c r="F1466" i="10"/>
  <c r="G1466" i="10"/>
  <c r="G1470" i="10"/>
  <c r="H1470" i="10"/>
  <c r="F1470" i="10"/>
  <c r="F43" i="10"/>
  <c r="G43" i="10"/>
  <c r="H43" i="10"/>
  <c r="G1414" i="10"/>
  <c r="F1414" i="10"/>
  <c r="H1414" i="10"/>
  <c r="F1401" i="10"/>
  <c r="H1401" i="10"/>
  <c r="G1401" i="10"/>
  <c r="H1415" i="10"/>
  <c r="F1415" i="10"/>
  <c r="G1415" i="10"/>
  <c r="G1402" i="10"/>
  <c r="F1402" i="10"/>
  <c r="H1402" i="10"/>
  <c r="G1412" i="10"/>
  <c r="H1412" i="10"/>
  <c r="F1412" i="10"/>
  <c r="F1416" i="10"/>
  <c r="G1416" i="10"/>
  <c r="H1416" i="10"/>
  <c r="G1410" i="10"/>
  <c r="H1410" i="10"/>
  <c r="F1410" i="10"/>
  <c r="G1454" i="10"/>
  <c r="H1454" i="10"/>
  <c r="F1454" i="10"/>
  <c r="H1411" i="10"/>
  <c r="F1411" i="10"/>
  <c r="G1411" i="10"/>
  <c r="H1455" i="10"/>
  <c r="F1455" i="10"/>
  <c r="G1455" i="10"/>
  <c r="H1408" i="10"/>
  <c r="F1408" i="10"/>
  <c r="G1408" i="10"/>
  <c r="F1413" i="10"/>
  <c r="H1413" i="10"/>
  <c r="G1413" i="10"/>
  <c r="F1437" i="10"/>
  <c r="G1437" i="10"/>
  <c r="H1437" i="10"/>
  <c r="F1450" i="10" l="1"/>
  <c r="G1397" i="10"/>
  <c r="H1427" i="10"/>
  <c r="H1397" i="10"/>
  <c r="F1427" i="10"/>
  <c r="F1430" i="10"/>
  <c r="F1397" i="10"/>
  <c r="H1450" i="10"/>
  <c r="G1447" i="10"/>
  <c r="H1447" i="10"/>
  <c r="G1430" i="10"/>
  <c r="F1407" i="10"/>
  <c r="F1459" i="10"/>
  <c r="G1448" i="10"/>
  <c r="F1448" i="10"/>
  <c r="H1459" i="10"/>
  <c r="G1459" i="10"/>
  <c r="H1407" i="10"/>
  <c r="G1433" i="10"/>
  <c r="F1435" i="10"/>
  <c r="H1446" i="10"/>
  <c r="F1457" i="10"/>
  <c r="H1440" i="10"/>
  <c r="H1443" i="10"/>
  <c r="F1433" i="10"/>
  <c r="G1394" i="10"/>
  <c r="F1440" i="10"/>
  <c r="F1439" i="10"/>
  <c r="H1442" i="10"/>
  <c r="G1432" i="10"/>
  <c r="F1451" i="10"/>
  <c r="H1399" i="10"/>
  <c r="F1283" i="10"/>
  <c r="F1449" i="10"/>
  <c r="F1446" i="10"/>
  <c r="F1185" i="10"/>
  <c r="G1185" i="10"/>
  <c r="H1185" i="10"/>
  <c r="G1190" i="10"/>
  <c r="H1190" i="10"/>
  <c r="F1190" i="10"/>
  <c r="G1451" i="10"/>
  <c r="G1435" i="10"/>
  <c r="G1442" i="10"/>
  <c r="H1432" i="10"/>
  <c r="H1273" i="10"/>
  <c r="G1436" i="10"/>
  <c r="H1460" i="10"/>
  <c r="H1400" i="10"/>
  <c r="G1439" i="10"/>
  <c r="G1182" i="10"/>
  <c r="H1182" i="10"/>
  <c r="F1182" i="10"/>
  <c r="H1274" i="10"/>
  <c r="H1179" i="10"/>
  <c r="G1179" i="10"/>
  <c r="F1179" i="10"/>
  <c r="H1275" i="10"/>
  <c r="F1180" i="10"/>
  <c r="G1180" i="10"/>
  <c r="H1180" i="10"/>
  <c r="G1399" i="10"/>
  <c r="G1283" i="10"/>
  <c r="F1443" i="10"/>
  <c r="H1457" i="10"/>
  <c r="H1449" i="10"/>
  <c r="G1273" i="10"/>
  <c r="H1436" i="10"/>
  <c r="F1394" i="10"/>
  <c r="G1460" i="10"/>
  <c r="G1400" i="10"/>
  <c r="H1283" i="10"/>
  <c r="H1184" i="10"/>
  <c r="G1184" i="10"/>
  <c r="F1184" i="10"/>
  <c r="G1280" i="10"/>
  <c r="G1438" i="10"/>
  <c r="H1438" i="10"/>
  <c r="F1438" i="10"/>
  <c r="H1284" i="10"/>
  <c r="F1284" i="10"/>
  <c r="G1284" i="10"/>
  <c r="H1276" i="10"/>
  <c r="F1276" i="10"/>
  <c r="G1276" i="10"/>
  <c r="F1281" i="10"/>
  <c r="G1281" i="10"/>
  <c r="H1281" i="10"/>
  <c r="F1441" i="10"/>
  <c r="G1441" i="10"/>
  <c r="H1441" i="10"/>
  <c r="F1282" i="10"/>
  <c r="G1282" i="10"/>
  <c r="H1282" i="10"/>
  <c r="F1274" i="10" l="1"/>
  <c r="G1275" i="10"/>
  <c r="H1280" i="10"/>
  <c r="H1285" i="10"/>
  <c r="F1285" i="10"/>
  <c r="F1280" i="10"/>
  <c r="G1285" i="10"/>
  <c r="G1274" i="10"/>
  <c r="F1275" i="10"/>
  <c r="G1204" i="10"/>
  <c r="H1204" i="10"/>
  <c r="F1204" i="10"/>
  <c r="G1277" i="10"/>
  <c r="H1277" i="10"/>
  <c r="F1277" i="10"/>
  <c r="G1137" i="10"/>
  <c r="F1137" i="10"/>
  <c r="H1137" i="10"/>
  <c r="H1425" i="10"/>
  <c r="G1168" i="10"/>
  <c r="H1168" i="10"/>
  <c r="F1168" i="10"/>
  <c r="G1093" i="10"/>
  <c r="H1093" i="10"/>
  <c r="F1093" i="10"/>
  <c r="H1308" i="10"/>
  <c r="F1308" i="10"/>
  <c r="G1308" i="10"/>
  <c r="H1279" i="10"/>
  <c r="F1279" i="10"/>
  <c r="G1279" i="10"/>
  <c r="G1381" i="10"/>
  <c r="H1381" i="10"/>
  <c r="F1381" i="10"/>
  <c r="F1371" i="10"/>
  <c r="G1371" i="10"/>
  <c r="H1371" i="10"/>
  <c r="F1361" i="10"/>
  <c r="G1361" i="10"/>
  <c r="H1361" i="10"/>
  <c r="F1379" i="10"/>
  <c r="H1379" i="10"/>
  <c r="G1379" i="10"/>
  <c r="F1364" i="10"/>
  <c r="H1364" i="10"/>
  <c r="G1364" i="10"/>
  <c r="F1333" i="10"/>
  <c r="G1333" i="10"/>
  <c r="H1333" i="10"/>
  <c r="G1377" i="10"/>
  <c r="F1377" i="10"/>
  <c r="H1377" i="10"/>
  <c r="F1369" i="10"/>
  <c r="G1369" i="10"/>
  <c r="H1369" i="10"/>
  <c r="H1363" i="10"/>
  <c r="F1363" i="10"/>
  <c r="G1363" i="10"/>
  <c r="H1359" i="10"/>
  <c r="G1359" i="10"/>
  <c r="F1359" i="10"/>
  <c r="H1331" i="10"/>
  <c r="F1331" i="10"/>
  <c r="G1331" i="10"/>
  <c r="F1365" i="10"/>
  <c r="G1365" i="10"/>
  <c r="H1365" i="10"/>
  <c r="F1357" i="10"/>
  <c r="G1357" i="10"/>
  <c r="H1357" i="10"/>
  <c r="F1324" i="10"/>
  <c r="G1324" i="10"/>
  <c r="H1324" i="10"/>
  <c r="G1370" i="10"/>
  <c r="H1370" i="10"/>
  <c r="F1370" i="10"/>
  <c r="F1360" i="10"/>
  <c r="G1360" i="10"/>
  <c r="H1360" i="10"/>
  <c r="F1376" i="10"/>
  <c r="H1376" i="10"/>
  <c r="G1376" i="10"/>
  <c r="F1368" i="10"/>
  <c r="G1368" i="10"/>
  <c r="H1368" i="10"/>
  <c r="G1362" i="10"/>
  <c r="H1362" i="10"/>
  <c r="F1362" i="10"/>
  <c r="G1358" i="10"/>
  <c r="H1358" i="10"/>
  <c r="F1358" i="10"/>
  <c r="F1325" i="10"/>
  <c r="G1325" i="10"/>
  <c r="H1325" i="10"/>
  <c r="G1425" i="10" l="1"/>
  <c r="F1425" i="10"/>
  <c r="F1453" i="10"/>
  <c r="G1453" i="10"/>
  <c r="H1453" i="10"/>
  <c r="H1347" i="10"/>
  <c r="G1347" i="10"/>
  <c r="F1347" i="10"/>
  <c r="H1165" i="10" l="1"/>
  <c r="F1165" i="10"/>
  <c r="G1165" i="10"/>
  <c r="F1213" i="10"/>
  <c r="G1213" i="10"/>
  <c r="H1213" i="10"/>
  <c r="H1174" i="10"/>
  <c r="G1174" i="10"/>
  <c r="F1174" i="10"/>
  <c r="F1194" i="10"/>
  <c r="G1194" i="10"/>
  <c r="H1194" i="10"/>
  <c r="H1191" i="10"/>
  <c r="G1191" i="10"/>
  <c r="F1191" i="10"/>
  <c r="F1434" i="10"/>
  <c r="F1177" i="10"/>
  <c r="H1177" i="10"/>
  <c r="G1177" i="10"/>
  <c r="F1167" i="10"/>
  <c r="G1167" i="10"/>
  <c r="H1167" i="10"/>
  <c r="G1176" i="10"/>
  <c r="H1176" i="10"/>
  <c r="F1176" i="10"/>
  <c r="H1166" i="10"/>
  <c r="F1166" i="10"/>
  <c r="G1166" i="10"/>
  <c r="G1192" i="10"/>
  <c r="F1192" i="10"/>
  <c r="H1192" i="10"/>
  <c r="F1445" i="10"/>
  <c r="G1195" i="10"/>
  <c r="F1195" i="10"/>
  <c r="H1195" i="10"/>
  <c r="G1424" i="10"/>
  <c r="H1424" i="10" l="1"/>
  <c r="G1445" i="10"/>
  <c r="H1434" i="10"/>
  <c r="F1424" i="10"/>
  <c r="G1434" i="10"/>
  <c r="H1445" i="10"/>
  <c r="G1423" i="10"/>
  <c r="F1078" i="10"/>
  <c r="H1078" i="10"/>
  <c r="G1078" i="10"/>
  <c r="G1083" i="10"/>
  <c r="F1083" i="10"/>
  <c r="H1083" i="10"/>
  <c r="H1423" i="10"/>
  <c r="G1076" i="10"/>
  <c r="H1076" i="10"/>
  <c r="F1076" i="10"/>
  <c r="H1084" i="10"/>
  <c r="G1084" i="10"/>
  <c r="F1084" i="10"/>
  <c r="H1080" i="10"/>
  <c r="G1080" i="10"/>
  <c r="F1080" i="10"/>
  <c r="G1118" i="10"/>
  <c r="H1118" i="10"/>
  <c r="F1118" i="10"/>
  <c r="G1120" i="10"/>
  <c r="F1120" i="10"/>
  <c r="H1120" i="10"/>
  <c r="F1130" i="10"/>
  <c r="G1130" i="10"/>
  <c r="H1130" i="10"/>
  <c r="F1123" i="10"/>
  <c r="G1123" i="10"/>
  <c r="H1123" i="10"/>
  <c r="F1119" i="10"/>
  <c r="G1119" i="10"/>
  <c r="H1119" i="10"/>
  <c r="F1131" i="10"/>
  <c r="G1131" i="10"/>
  <c r="H1131" i="10"/>
  <c r="F1423" i="10"/>
  <c r="F1082" i="10"/>
  <c r="H1082" i="10"/>
  <c r="G1082" i="10"/>
  <c r="F1095" i="10"/>
  <c r="G1095" i="10"/>
  <c r="H1095" i="10"/>
  <c r="G1122" i="10"/>
  <c r="F1122" i="10"/>
  <c r="H1122" i="10"/>
  <c r="H1117" i="10"/>
  <c r="F1117" i="10"/>
  <c r="G1117" i="10"/>
  <c r="H1112" i="10"/>
  <c r="G1112" i="10"/>
  <c r="F1112" i="10"/>
  <c r="G1079" i="10"/>
  <c r="F1079" i="10"/>
  <c r="H1079" i="10"/>
  <c r="F1081" i="10"/>
  <c r="G1081" i="10"/>
  <c r="H1081" i="10"/>
  <c r="F1101" i="10"/>
  <c r="H1101" i="10"/>
  <c r="G1101" i="10"/>
  <c r="H1121" i="10"/>
  <c r="F1121" i="10"/>
  <c r="G1121" i="10"/>
  <c r="H1127" i="10"/>
  <c r="G1127" i="10"/>
  <c r="F1127" i="10"/>
  <c r="H1367" i="10"/>
  <c r="F1367" i="10"/>
  <c r="G1367" i="10"/>
  <c r="H1132" i="10"/>
  <c r="F1132" i="10"/>
  <c r="G1132" i="10"/>
  <c r="F1348" i="10"/>
  <c r="G1348" i="10"/>
  <c r="H1348" i="10"/>
  <c r="F1356" i="10"/>
  <c r="H1356" i="10"/>
  <c r="G1356" i="10"/>
  <c r="G1426" i="10"/>
  <c r="H1426" i="10"/>
  <c r="F1426" i="10"/>
  <c r="F788" i="10" l="1"/>
  <c r="G788" i="10"/>
  <c r="H788" i="10"/>
  <c r="G777" i="10"/>
  <c r="F777" i="10"/>
  <c r="H777" i="10"/>
  <c r="F803" i="10"/>
  <c r="H803" i="10"/>
  <c r="G803" i="10"/>
  <c r="F760" i="10"/>
  <c r="G760" i="10"/>
  <c r="H760" i="10"/>
  <c r="G757" i="10"/>
  <c r="H757" i="10"/>
  <c r="F757" i="10"/>
  <c r="F776" i="10"/>
  <c r="G776" i="10"/>
  <c r="H776" i="10"/>
  <c r="F754" i="10"/>
  <c r="G754" i="10"/>
  <c r="H754" i="10"/>
  <c r="F802" i="10"/>
  <c r="G802" i="10"/>
  <c r="H802" i="10"/>
  <c r="G1087" i="10"/>
  <c r="H1087" i="10"/>
  <c r="F1087" i="10"/>
  <c r="G1096" i="10"/>
  <c r="F1096" i="10"/>
  <c r="H1096" i="10"/>
  <c r="F1092" i="10"/>
  <c r="G1092" i="10"/>
  <c r="H1092" i="10"/>
  <c r="F1099" i="10"/>
  <c r="H1099" i="10"/>
  <c r="G1099" i="10"/>
  <c r="H1088" i="10"/>
  <c r="F1088" i="10"/>
  <c r="G1088" i="10"/>
  <c r="H1097" i="10"/>
  <c r="F1097" i="10"/>
  <c r="G1097" i="10"/>
  <c r="F1098" i="10"/>
  <c r="G1098" i="10"/>
  <c r="H1098" i="10"/>
  <c r="H1135" i="10"/>
  <c r="G1135" i="10"/>
  <c r="F1135" i="10"/>
  <c r="G1139" i="10"/>
  <c r="H1139" i="10"/>
  <c r="F1139" i="10"/>
  <c r="H1319" i="10"/>
  <c r="F1319" i="10"/>
  <c r="G1319" i="10"/>
  <c r="F1456" i="10"/>
  <c r="G1456" i="10"/>
  <c r="H1456" i="10"/>
  <c r="G1395" i="10"/>
  <c r="F1395" i="10"/>
  <c r="H1395" i="10"/>
  <c r="F1444" i="10"/>
  <c r="H1444" i="10"/>
  <c r="G1444" i="10"/>
  <c r="H1378" i="10"/>
  <c r="G1378" i="10"/>
  <c r="F1378" i="10"/>
  <c r="F1318" i="10"/>
  <c r="G1318" i="10"/>
  <c r="H1318" i="10"/>
  <c r="F1138" i="10"/>
  <c r="G1138" i="10"/>
  <c r="H1138" i="10"/>
  <c r="F1193" i="10"/>
  <c r="G1193" i="10"/>
  <c r="H1193" i="10"/>
  <c r="G1366" i="10"/>
  <c r="H1366" i="10"/>
  <c r="F1366" i="10"/>
  <c r="H1396" i="10"/>
  <c r="F1396" i="10"/>
  <c r="G1396" i="10"/>
  <c r="H785" i="10" l="1"/>
  <c r="F785" i="10"/>
  <c r="G785" i="10"/>
  <c r="G782" i="10"/>
  <c r="F782" i="10"/>
  <c r="H782" i="10"/>
  <c r="F1141" i="10"/>
  <c r="G1141" i="10"/>
  <c r="H1141" i="10"/>
  <c r="H1128" i="10"/>
  <c r="F1128" i="10"/>
  <c r="G1128" i="10"/>
  <c r="G1143" i="10"/>
  <c r="H1143" i="10"/>
  <c r="F1143" i="10"/>
  <c r="H1140" i="10"/>
  <c r="F1140" i="10"/>
  <c r="G1140" i="10"/>
  <c r="F1142" i="10"/>
  <c r="G1142" i="10"/>
  <c r="H1142" i="10"/>
  <c r="F1129" i="10"/>
  <c r="G1129" i="10"/>
  <c r="H1129" i="10"/>
  <c r="H1335" i="10" l="1"/>
  <c r="F500" i="10"/>
  <c r="G500" i="10"/>
  <c r="H500" i="10"/>
  <c r="F492" i="10"/>
  <c r="G492" i="10"/>
  <c r="H492" i="10"/>
  <c r="H515" i="10"/>
  <c r="F515" i="10"/>
  <c r="G515" i="10"/>
  <c r="F507" i="10"/>
  <c r="G507" i="10"/>
  <c r="H507" i="10"/>
  <c r="F503" i="10"/>
  <c r="G503" i="10"/>
  <c r="H503" i="10"/>
  <c r="H495" i="10"/>
  <c r="F495" i="10"/>
  <c r="G495" i="10"/>
  <c r="H489" i="10"/>
  <c r="G489" i="10"/>
  <c r="F489" i="10"/>
  <c r="H510" i="10"/>
  <c r="F510" i="10"/>
  <c r="G510" i="10"/>
  <c r="H506" i="10"/>
  <c r="G506" i="10"/>
  <c r="F506" i="10"/>
  <c r="H502" i="10"/>
  <c r="F502" i="10"/>
  <c r="G502" i="10"/>
  <c r="H498" i="10"/>
  <c r="F498" i="10"/>
  <c r="G498" i="10"/>
  <c r="H494" i="10"/>
  <c r="F494" i="10"/>
  <c r="G494" i="10"/>
  <c r="G488" i="10"/>
  <c r="F488" i="10"/>
  <c r="H488" i="10"/>
  <c r="F516" i="10"/>
  <c r="G516" i="10"/>
  <c r="H516" i="10"/>
  <c r="F508" i="10"/>
  <c r="G508" i="10"/>
  <c r="H508" i="10"/>
  <c r="F504" i="10"/>
  <c r="H504" i="10"/>
  <c r="G504" i="10"/>
  <c r="F496" i="10"/>
  <c r="G496" i="10"/>
  <c r="H496" i="10"/>
  <c r="F486" i="10"/>
  <c r="G486" i="10"/>
  <c r="H486" i="10"/>
  <c r="G499" i="10"/>
  <c r="H499" i="10"/>
  <c r="F499" i="10"/>
  <c r="G517" i="10"/>
  <c r="H517" i="10"/>
  <c r="F517" i="10"/>
  <c r="G509" i="10"/>
  <c r="F509" i="10"/>
  <c r="H509" i="10"/>
  <c r="G505" i="10"/>
  <c r="F505" i="10"/>
  <c r="H505" i="10"/>
  <c r="G501" i="10"/>
  <c r="F501" i="10"/>
  <c r="H501" i="10"/>
  <c r="H1350" i="10"/>
  <c r="G497" i="10"/>
  <c r="H497" i="10"/>
  <c r="F497" i="10"/>
  <c r="G493" i="10"/>
  <c r="F493" i="10"/>
  <c r="H493" i="10"/>
  <c r="F487" i="10"/>
  <c r="H487" i="10"/>
  <c r="G487" i="10"/>
  <c r="F1375" i="10"/>
  <c r="G1375" i="10"/>
  <c r="H1375" i="10"/>
  <c r="G1338" i="10"/>
  <c r="H1338" i="10"/>
  <c r="F1338" i="10"/>
  <c r="F1334" i="10" l="1"/>
  <c r="G1337" i="10"/>
  <c r="H1336" i="10"/>
  <c r="F1337" i="10"/>
  <c r="G1334" i="10"/>
  <c r="H1334" i="10"/>
  <c r="F1346" i="10"/>
  <c r="G1336" i="10"/>
  <c r="H1337" i="10"/>
  <c r="G1346" i="10"/>
  <c r="H1428" i="10"/>
  <c r="F1336" i="10"/>
  <c r="H1346" i="10"/>
  <c r="F1350" i="10"/>
  <c r="G1350" i="10"/>
  <c r="G1335" i="10"/>
  <c r="F1335" i="10"/>
  <c r="F1146" i="10"/>
  <c r="G1146" i="10"/>
  <c r="H1146" i="10"/>
  <c r="G1163" i="10"/>
  <c r="H1163" i="10"/>
  <c r="F1163" i="10"/>
  <c r="F1328" i="10"/>
  <c r="G1328" i="10"/>
  <c r="H1328" i="10"/>
  <c r="H1148" i="10"/>
  <c r="F1148" i="10"/>
  <c r="G1148" i="10"/>
  <c r="F1158" i="10"/>
  <c r="G1158" i="10"/>
  <c r="H1158" i="10"/>
  <c r="F1329" i="10"/>
  <c r="G1329" i="10"/>
  <c r="H1329" i="10"/>
  <c r="G1326" i="10"/>
  <c r="H1326" i="10"/>
  <c r="F1326" i="10"/>
  <c r="F1162" i="10"/>
  <c r="G1162" i="10"/>
  <c r="H1162" i="10"/>
  <c r="G1147" i="10"/>
  <c r="H1147" i="10"/>
  <c r="F1147" i="10"/>
  <c r="H1160" i="10"/>
  <c r="F1160" i="10"/>
  <c r="G1160" i="10"/>
  <c r="F1340" i="10"/>
  <c r="G1340" i="10"/>
  <c r="H1340" i="10"/>
  <c r="F1341" i="10"/>
  <c r="G1341" i="10"/>
  <c r="H1341" i="10"/>
  <c r="F1332" i="10"/>
  <c r="G1332" i="10"/>
  <c r="H1332" i="10"/>
  <c r="G1151" i="10"/>
  <c r="H1151" i="10"/>
  <c r="F1151" i="10"/>
  <c r="G1155" i="10"/>
  <c r="H1155" i="10"/>
  <c r="F1155" i="10"/>
  <c r="G1342" i="10"/>
  <c r="H1342" i="10"/>
  <c r="F1342" i="10"/>
  <c r="F1153" i="10"/>
  <c r="H1153" i="10"/>
  <c r="G1153" i="10"/>
  <c r="F1149" i="10"/>
  <c r="G1149" i="10"/>
  <c r="H1149" i="10"/>
  <c r="H1327" i="10"/>
  <c r="F1327" i="10"/>
  <c r="G1327" i="10"/>
  <c r="F1150" i="10"/>
  <c r="G1150" i="10"/>
  <c r="H1150" i="10"/>
  <c r="G1159" i="10"/>
  <c r="H1159" i="10"/>
  <c r="F1159" i="10"/>
  <c r="H1164" i="10"/>
  <c r="G1164" i="10"/>
  <c r="F1164" i="10"/>
  <c r="F1161" i="10"/>
  <c r="H1161" i="10"/>
  <c r="G1161" i="10"/>
  <c r="F1344" i="10"/>
  <c r="H1344" i="10"/>
  <c r="G1344" i="10"/>
  <c r="F1345" i="10"/>
  <c r="G1345" i="10"/>
  <c r="H1345" i="10"/>
  <c r="H1343" i="10"/>
  <c r="F1343" i="10"/>
  <c r="G1343" i="10"/>
  <c r="G1428" i="10" l="1"/>
  <c r="F1428" i="10"/>
  <c r="G1406" i="10"/>
  <c r="F1406" i="10"/>
  <c r="H1406" i="10"/>
  <c r="G1422" i="10"/>
  <c r="H1422" i="10"/>
  <c r="F1422" i="10"/>
  <c r="F1420" i="10"/>
  <c r="H1420" i="10"/>
  <c r="G1420" i="10"/>
  <c r="F1421" i="10"/>
  <c r="G1421" i="10"/>
  <c r="H1421" i="10"/>
  <c r="F1417" i="10"/>
  <c r="H1417" i="10"/>
  <c r="G1417" i="10"/>
  <c r="F1404" i="10"/>
  <c r="G1404" i="10"/>
  <c r="H1404" i="10"/>
  <c r="F1409" i="10"/>
  <c r="G1409" i="10"/>
  <c r="H1409" i="10"/>
  <c r="H1403" i="10"/>
  <c r="G1403" i="10"/>
  <c r="F1403" i="10"/>
  <c r="G1418" i="10"/>
  <c r="F1418" i="10"/>
  <c r="H1418" i="10"/>
  <c r="F1405" i="10"/>
  <c r="G1405" i="10"/>
  <c r="H1405" i="10"/>
  <c r="H1419" i="10"/>
  <c r="G1419" i="10"/>
  <c r="F1419" i="10"/>
  <c r="H585" i="10" l="1"/>
  <c r="G585" i="10"/>
  <c r="F585" i="10"/>
  <c r="G8" i="10" l="1"/>
  <c r="F8" i="10"/>
  <c r="H8" i="10"/>
  <c r="H14" i="10"/>
  <c r="F14" i="10"/>
  <c r="G14" i="10"/>
  <c r="F19" i="10"/>
  <c r="G19" i="10"/>
  <c r="H19" i="10"/>
  <c r="F24" i="10"/>
  <c r="H24" i="10"/>
  <c r="G24" i="10"/>
  <c r="G80" i="10"/>
  <c r="H80" i="10"/>
  <c r="F80" i="10"/>
  <c r="G89" i="10"/>
  <c r="H89" i="10"/>
  <c r="F89" i="10"/>
  <c r="F11" i="10"/>
  <c r="G11" i="10"/>
  <c r="H11" i="10"/>
  <c r="F16" i="10"/>
  <c r="G16" i="10"/>
  <c r="H16" i="10"/>
  <c r="F21" i="10"/>
  <c r="G21" i="10"/>
  <c r="H21" i="10"/>
  <c r="F25" i="10"/>
  <c r="G25" i="10"/>
  <c r="H25" i="10"/>
  <c r="H82" i="10"/>
  <c r="G82" i="10"/>
  <c r="F82" i="10"/>
  <c r="H86" i="10"/>
  <c r="F86" i="10"/>
  <c r="G86" i="10"/>
  <c r="H90" i="10"/>
  <c r="G90" i="10"/>
  <c r="F90" i="10"/>
  <c r="G12" i="10"/>
  <c r="F12" i="10"/>
  <c r="H12" i="10"/>
  <c r="G17" i="10"/>
  <c r="H17" i="10"/>
  <c r="F17" i="10"/>
  <c r="G22" i="10"/>
  <c r="H22" i="10"/>
  <c r="F22" i="10"/>
  <c r="G26" i="10"/>
  <c r="H26" i="10"/>
  <c r="F26" i="10"/>
  <c r="F83" i="10"/>
  <c r="G83" i="10"/>
  <c r="H83" i="10"/>
  <c r="F87" i="10"/>
  <c r="G87" i="10"/>
  <c r="H87" i="10"/>
  <c r="F91" i="10"/>
  <c r="G91" i="10"/>
  <c r="H91" i="10"/>
  <c r="H13" i="10"/>
  <c r="F13" i="10"/>
  <c r="G13" i="10"/>
  <c r="H18" i="10"/>
  <c r="G18" i="10"/>
  <c r="F18" i="10"/>
  <c r="H23" i="10"/>
  <c r="F23" i="10"/>
  <c r="G23" i="10"/>
  <c r="H27" i="10"/>
  <c r="G27" i="10"/>
  <c r="F27" i="10"/>
  <c r="F84" i="10"/>
  <c r="G84" i="10"/>
  <c r="H84" i="10"/>
  <c r="F88" i="10"/>
  <c r="G88" i="10"/>
  <c r="H88" i="10"/>
  <c r="F92" i="10"/>
  <c r="G92" i="10"/>
  <c r="H92" i="10"/>
  <c r="G85" i="10"/>
  <c r="H85" i="10"/>
  <c r="F85" i="10"/>
  <c r="F99" i="10" l="1"/>
  <c r="G99" i="10"/>
  <c r="H99" i="10"/>
  <c r="F202" i="10"/>
  <c r="H202" i="10"/>
  <c r="G202" i="10"/>
  <c r="G1068" i="10"/>
  <c r="H1068" i="10"/>
  <c r="F1068" i="10"/>
  <c r="H1063" i="10"/>
  <c r="F1063" i="10"/>
  <c r="G1063" i="10"/>
  <c r="F1059" i="10"/>
  <c r="G1059" i="10"/>
  <c r="H1059" i="10"/>
  <c r="H1049" i="10"/>
  <c r="F1049" i="10"/>
  <c r="G1049" i="10"/>
  <c r="H1044" i="10"/>
  <c r="G1044" i="10"/>
  <c r="F1044" i="10"/>
  <c r="H1040" i="10"/>
  <c r="F1040" i="10"/>
  <c r="G1040" i="10"/>
  <c r="H1031" i="10"/>
  <c r="F1031" i="10"/>
  <c r="G1031" i="10"/>
  <c r="H1022" i="10"/>
  <c r="F1022" i="10"/>
  <c r="G1022" i="10"/>
  <c r="H1018" i="10"/>
  <c r="F1018" i="10"/>
  <c r="G1018" i="10"/>
  <c r="H1002" i="10"/>
  <c r="F1002" i="10"/>
  <c r="G1002" i="10"/>
  <c r="H987" i="10"/>
  <c r="F987" i="10"/>
  <c r="G987" i="10"/>
  <c r="H978" i="10"/>
  <c r="F978" i="10"/>
  <c r="G978" i="10"/>
  <c r="H969" i="10"/>
  <c r="F969" i="10"/>
  <c r="G969" i="10"/>
  <c r="H956" i="10"/>
  <c r="F956" i="10"/>
  <c r="G956" i="10"/>
  <c r="F936" i="10"/>
  <c r="G936" i="10"/>
  <c r="H936" i="10"/>
  <c r="H844" i="10"/>
  <c r="F844" i="10"/>
  <c r="G844" i="10"/>
  <c r="F835" i="10"/>
  <c r="G835" i="10"/>
  <c r="H835" i="10"/>
  <c r="G830" i="10"/>
  <c r="H830" i="10"/>
  <c r="F830" i="10"/>
  <c r="H826" i="10"/>
  <c r="F826" i="10"/>
  <c r="G826" i="10"/>
  <c r="F816" i="10"/>
  <c r="G816" i="10"/>
  <c r="H816" i="10"/>
  <c r="G693" i="10"/>
  <c r="H693" i="10"/>
  <c r="F693" i="10"/>
  <c r="F676" i="10"/>
  <c r="G676" i="10"/>
  <c r="H676" i="10"/>
  <c r="F672" i="10"/>
  <c r="H672" i="10"/>
  <c r="G672" i="10"/>
  <c r="F668" i="10"/>
  <c r="G668" i="10"/>
  <c r="H668" i="10"/>
  <c r="F664" i="10"/>
  <c r="G664" i="10"/>
  <c r="H664" i="10"/>
  <c r="F656" i="10"/>
  <c r="H656" i="10"/>
  <c r="G656" i="10"/>
  <c r="F630" i="10"/>
  <c r="H630" i="10"/>
  <c r="G630" i="10"/>
  <c r="F626" i="10"/>
  <c r="G626" i="10"/>
  <c r="H626" i="10"/>
  <c r="F621" i="10"/>
  <c r="G621" i="10"/>
  <c r="H621" i="10"/>
  <c r="H611" i="10"/>
  <c r="F611" i="10"/>
  <c r="G611" i="10"/>
  <c r="H601" i="10"/>
  <c r="F601" i="10"/>
  <c r="G601" i="10"/>
  <c r="H469" i="10"/>
  <c r="F469" i="10"/>
  <c r="G469" i="10"/>
  <c r="H465" i="10"/>
  <c r="F465" i="10"/>
  <c r="G465" i="10"/>
  <c r="H461" i="10"/>
  <c r="G461" i="10"/>
  <c r="F461" i="10"/>
  <c r="H452" i="10"/>
  <c r="F452" i="10"/>
  <c r="G452" i="10"/>
  <c r="H448" i="10"/>
  <c r="F448" i="10"/>
  <c r="G448" i="10"/>
  <c r="H436" i="10"/>
  <c r="F436" i="10"/>
  <c r="G436" i="10"/>
  <c r="F416" i="10"/>
  <c r="G416" i="10"/>
  <c r="H416" i="10"/>
  <c r="G408" i="10"/>
  <c r="F408" i="10"/>
  <c r="H408" i="10"/>
  <c r="G399" i="10"/>
  <c r="H399" i="10"/>
  <c r="F399" i="10"/>
  <c r="G383" i="10"/>
  <c r="F383" i="10"/>
  <c r="H383" i="10"/>
  <c r="G374" i="10"/>
  <c r="H374" i="10"/>
  <c r="F374" i="10"/>
  <c r="H354" i="10"/>
  <c r="G354" i="10"/>
  <c r="F354" i="10"/>
  <c r="H350" i="10"/>
  <c r="G350" i="10"/>
  <c r="F350" i="10"/>
  <c r="H341" i="10"/>
  <c r="G341" i="10"/>
  <c r="F341" i="10"/>
  <c r="H330" i="10"/>
  <c r="F330" i="10"/>
  <c r="G330" i="10"/>
  <c r="H322" i="10"/>
  <c r="G322" i="10"/>
  <c r="F322" i="10"/>
  <c r="H317" i="10"/>
  <c r="F317" i="10"/>
  <c r="G317" i="10"/>
  <c r="H293" i="10"/>
  <c r="F293" i="10"/>
  <c r="G293" i="10"/>
  <c r="H285" i="10"/>
  <c r="F285" i="10"/>
  <c r="G285" i="10"/>
  <c r="H280" i="10"/>
  <c r="G280" i="10"/>
  <c r="F280" i="10"/>
  <c r="H275" i="10"/>
  <c r="F275" i="10"/>
  <c r="G275" i="10"/>
  <c r="H266" i="10"/>
  <c r="F266" i="10"/>
  <c r="G266" i="10"/>
  <c r="H191" i="10"/>
  <c r="F191" i="10"/>
  <c r="G191" i="10"/>
  <c r="H1053" i="10"/>
  <c r="F1053" i="10"/>
  <c r="G1053" i="10"/>
  <c r="H1036" i="10"/>
  <c r="F1036" i="10"/>
  <c r="G1036" i="10"/>
  <c r="H1026" i="10"/>
  <c r="G1026" i="10"/>
  <c r="F1026" i="10"/>
  <c r="G1006" i="10"/>
  <c r="H1006" i="10"/>
  <c r="F1006" i="10"/>
  <c r="F997" i="10"/>
  <c r="G997" i="10"/>
  <c r="H997" i="10"/>
  <c r="F993" i="10"/>
  <c r="G993" i="10"/>
  <c r="H993" i="10"/>
  <c r="H983" i="10"/>
  <c r="F983" i="10"/>
  <c r="G983" i="10"/>
  <c r="H974" i="10"/>
  <c r="F974" i="10"/>
  <c r="G974" i="10"/>
  <c r="H965" i="10"/>
  <c r="F965" i="10"/>
  <c r="G965" i="10"/>
  <c r="H960" i="10"/>
  <c r="F960" i="10"/>
  <c r="G960" i="10"/>
  <c r="H951" i="10"/>
  <c r="F951" i="10"/>
  <c r="G951" i="10"/>
  <c r="F940" i="10"/>
  <c r="G940" i="10"/>
  <c r="H940" i="10"/>
  <c r="F932" i="10"/>
  <c r="G932" i="10"/>
  <c r="H932" i="10"/>
  <c r="F928" i="10"/>
  <c r="G928" i="10"/>
  <c r="H928" i="10"/>
  <c r="H922" i="10"/>
  <c r="F922" i="10"/>
  <c r="G922" i="10"/>
  <c r="H918" i="10"/>
  <c r="F918" i="10"/>
  <c r="G918" i="10"/>
  <c r="H913" i="10"/>
  <c r="F913" i="10"/>
  <c r="G913" i="10"/>
  <c r="H909" i="10"/>
  <c r="F909" i="10"/>
  <c r="G909" i="10"/>
  <c r="H905" i="10"/>
  <c r="F905" i="10"/>
  <c r="G905" i="10"/>
  <c r="H900" i="10"/>
  <c r="F900" i="10"/>
  <c r="G900" i="10"/>
  <c r="H895" i="10"/>
  <c r="F895" i="10"/>
  <c r="G895" i="10"/>
  <c r="G891" i="10"/>
  <c r="F891" i="10"/>
  <c r="H891" i="10"/>
  <c r="G887" i="10"/>
  <c r="H887" i="10"/>
  <c r="F887" i="10"/>
  <c r="G882" i="10"/>
  <c r="F882" i="10"/>
  <c r="H882" i="10"/>
  <c r="G871" i="10"/>
  <c r="F871" i="10"/>
  <c r="H871" i="10"/>
  <c r="F866" i="10"/>
  <c r="G866" i="10"/>
  <c r="H866" i="10"/>
  <c r="F862" i="10"/>
  <c r="G862" i="10"/>
  <c r="H862" i="10"/>
  <c r="F858" i="10"/>
  <c r="G858" i="10"/>
  <c r="H858" i="10"/>
  <c r="F854" i="10"/>
  <c r="H854" i="10"/>
  <c r="G854" i="10"/>
  <c r="G848" i="10"/>
  <c r="H848" i="10"/>
  <c r="F848" i="10"/>
  <c r="F839" i="10"/>
  <c r="G839" i="10"/>
  <c r="H839" i="10"/>
  <c r="F821" i="10"/>
  <c r="G821" i="10"/>
  <c r="H821" i="10"/>
  <c r="H811" i="10"/>
  <c r="F811" i="10"/>
  <c r="G811" i="10"/>
  <c r="G689" i="10"/>
  <c r="H689" i="10"/>
  <c r="F689" i="10"/>
  <c r="G685" i="10"/>
  <c r="F685" i="10"/>
  <c r="H685" i="10"/>
  <c r="G681" i="10"/>
  <c r="F681" i="10"/>
  <c r="H681" i="10"/>
  <c r="F660" i="10"/>
  <c r="G660" i="10"/>
  <c r="H660" i="10"/>
  <c r="F652" i="10"/>
  <c r="H652" i="10"/>
  <c r="G652" i="10"/>
  <c r="F648" i="10"/>
  <c r="G648" i="10"/>
  <c r="H648" i="10"/>
  <c r="G635" i="10"/>
  <c r="H635" i="10"/>
  <c r="F635" i="10"/>
  <c r="H615" i="10"/>
  <c r="F615" i="10"/>
  <c r="G615" i="10"/>
  <c r="H606" i="10"/>
  <c r="G606" i="10"/>
  <c r="F606" i="10"/>
  <c r="H597" i="10"/>
  <c r="F597" i="10"/>
  <c r="G597" i="10"/>
  <c r="G590" i="10"/>
  <c r="F590" i="10"/>
  <c r="H590" i="10"/>
  <c r="F474" i="10"/>
  <c r="G474" i="10"/>
  <c r="H474" i="10"/>
  <c r="H456" i="10"/>
  <c r="F456" i="10"/>
  <c r="G456" i="10"/>
  <c r="H440" i="10"/>
  <c r="G440" i="10"/>
  <c r="F440" i="10"/>
  <c r="H432" i="10"/>
  <c r="F432" i="10"/>
  <c r="G432" i="10"/>
  <c r="F421" i="10"/>
  <c r="G421" i="10"/>
  <c r="H421" i="10"/>
  <c r="G412" i="10"/>
  <c r="F412" i="10"/>
  <c r="H412" i="10"/>
  <c r="G403" i="10"/>
  <c r="F403" i="10"/>
  <c r="H403" i="10"/>
  <c r="G395" i="10"/>
  <c r="F395" i="10"/>
  <c r="H395" i="10"/>
  <c r="G388" i="10"/>
  <c r="H388" i="10"/>
  <c r="F388" i="10"/>
  <c r="G379" i="10"/>
  <c r="H379" i="10"/>
  <c r="F379" i="10"/>
  <c r="H363" i="10"/>
  <c r="F363" i="10"/>
  <c r="G363" i="10"/>
  <c r="H358" i="10"/>
  <c r="G358" i="10"/>
  <c r="F358" i="10"/>
  <c r="H345" i="10"/>
  <c r="F345" i="10"/>
  <c r="G345" i="10"/>
  <c r="H336" i="10"/>
  <c r="G336" i="10"/>
  <c r="F336" i="10"/>
  <c r="H326" i="10"/>
  <c r="F326" i="10"/>
  <c r="G326" i="10"/>
  <c r="G312" i="10"/>
  <c r="H312" i="10"/>
  <c r="F312" i="10"/>
  <c r="G302" i="10"/>
  <c r="F302" i="10"/>
  <c r="H302" i="10"/>
  <c r="H297" i="10"/>
  <c r="G297" i="10"/>
  <c r="F297" i="10"/>
  <c r="H289" i="10"/>
  <c r="F289" i="10"/>
  <c r="G289" i="10"/>
  <c r="H270" i="10"/>
  <c r="G270" i="10"/>
  <c r="F270" i="10"/>
  <c r="G260" i="10"/>
  <c r="F260" i="10"/>
  <c r="H260" i="10"/>
  <c r="H248" i="10"/>
  <c r="F248" i="10"/>
  <c r="G248" i="10"/>
  <c r="H243" i="10"/>
  <c r="G243" i="10"/>
  <c r="F243" i="10"/>
  <c r="H239" i="10"/>
  <c r="F239" i="10"/>
  <c r="G239" i="10"/>
  <c r="H235" i="10"/>
  <c r="F235" i="10"/>
  <c r="G235" i="10"/>
  <c r="G231" i="10"/>
  <c r="F231" i="10"/>
  <c r="H231" i="10"/>
  <c r="G226" i="10"/>
  <c r="H226" i="10"/>
  <c r="F226" i="10"/>
  <c r="G221" i="10"/>
  <c r="H221" i="10"/>
  <c r="F221" i="10"/>
  <c r="G217" i="10"/>
  <c r="F217" i="10"/>
  <c r="H217" i="10"/>
  <c r="F206" i="10"/>
  <c r="G206" i="10"/>
  <c r="H206" i="10"/>
  <c r="G212" i="10"/>
  <c r="F212" i="10"/>
  <c r="H212" i="10"/>
  <c r="G186" i="10"/>
  <c r="F186" i="10"/>
  <c r="H186" i="10"/>
  <c r="G178" i="10"/>
  <c r="F178" i="10"/>
  <c r="H178" i="10"/>
  <c r="G159" i="10"/>
  <c r="H159" i="10"/>
  <c r="F159" i="10"/>
  <c r="G155" i="10"/>
  <c r="F155" i="10"/>
  <c r="H155" i="10"/>
  <c r="G136" i="10"/>
  <c r="H136" i="10"/>
  <c r="F136" i="10"/>
  <c r="G128" i="10"/>
  <c r="F128" i="10"/>
  <c r="H128" i="10"/>
  <c r="G112" i="10"/>
  <c r="F112" i="10"/>
  <c r="H112" i="10"/>
  <c r="H1067" i="10"/>
  <c r="F1067" i="10"/>
  <c r="G1067" i="10"/>
  <c r="G1052" i="10"/>
  <c r="H1052" i="10"/>
  <c r="F1052" i="10"/>
  <c r="G1043" i="10"/>
  <c r="F1043" i="10"/>
  <c r="H1043" i="10"/>
  <c r="G1030" i="10"/>
  <c r="F1030" i="10"/>
  <c r="H1030" i="10"/>
  <c r="G1021" i="10"/>
  <c r="F1021" i="10"/>
  <c r="H1021" i="10"/>
  <c r="H1005" i="10"/>
  <c r="F1005" i="10"/>
  <c r="G1005" i="10"/>
  <c r="H1000" i="10"/>
  <c r="F1000" i="10"/>
  <c r="G1000" i="10"/>
  <c r="G990" i="10"/>
  <c r="H990" i="10"/>
  <c r="F990" i="10"/>
  <c r="G982" i="10"/>
  <c r="H982" i="10"/>
  <c r="F982" i="10"/>
  <c r="G973" i="10"/>
  <c r="H973" i="10"/>
  <c r="F973" i="10"/>
  <c r="G963" i="10"/>
  <c r="H963" i="10"/>
  <c r="F963" i="10"/>
  <c r="G959" i="10"/>
  <c r="H959" i="10"/>
  <c r="F959" i="10"/>
  <c r="F944" i="10"/>
  <c r="G944" i="10"/>
  <c r="H944" i="10"/>
  <c r="H939" i="10"/>
  <c r="F939" i="10"/>
  <c r="G939" i="10"/>
  <c r="H935" i="10"/>
  <c r="F935" i="10"/>
  <c r="G935" i="10"/>
  <c r="G921" i="10"/>
  <c r="H921" i="10"/>
  <c r="F921" i="10"/>
  <c r="G912" i="10"/>
  <c r="H912" i="10"/>
  <c r="F912" i="10"/>
  <c r="G908" i="10"/>
  <c r="H908" i="10"/>
  <c r="F908" i="10"/>
  <c r="G899" i="10"/>
  <c r="H899" i="10"/>
  <c r="F899" i="10"/>
  <c r="F886" i="10"/>
  <c r="G886" i="10"/>
  <c r="H886" i="10"/>
  <c r="G865" i="10"/>
  <c r="H865" i="10"/>
  <c r="F865" i="10"/>
  <c r="H861" i="10"/>
  <c r="F861" i="10"/>
  <c r="G861" i="10"/>
  <c r="F857" i="10"/>
  <c r="G857" i="10"/>
  <c r="H857" i="10"/>
  <c r="H847" i="10"/>
  <c r="F847" i="10"/>
  <c r="G847" i="10"/>
  <c r="H838" i="10"/>
  <c r="G838" i="10"/>
  <c r="F838" i="10"/>
  <c r="H834" i="10"/>
  <c r="F834" i="10"/>
  <c r="G834" i="10"/>
  <c r="H824" i="10"/>
  <c r="F824" i="10"/>
  <c r="G824" i="10"/>
  <c r="F684" i="10"/>
  <c r="H684" i="10"/>
  <c r="G684" i="10"/>
  <c r="F680" i="10"/>
  <c r="G680" i="10"/>
  <c r="H680" i="10"/>
  <c r="F671" i="10"/>
  <c r="G671" i="10"/>
  <c r="H671" i="10"/>
  <c r="F659" i="10"/>
  <c r="H659" i="10"/>
  <c r="G659" i="10"/>
  <c r="G651" i="10"/>
  <c r="H651" i="10"/>
  <c r="F651" i="10"/>
  <c r="F633" i="10"/>
  <c r="G633" i="10"/>
  <c r="H633" i="10"/>
  <c r="G618" i="10"/>
  <c r="F618" i="10"/>
  <c r="H618" i="10"/>
  <c r="G610" i="10"/>
  <c r="F610" i="10"/>
  <c r="H610" i="10"/>
  <c r="G600" i="10"/>
  <c r="F600" i="10"/>
  <c r="H600" i="10"/>
  <c r="G472" i="10"/>
  <c r="F472" i="10"/>
  <c r="H472" i="10"/>
  <c r="G455" i="10"/>
  <c r="F455" i="10"/>
  <c r="H455" i="10"/>
  <c r="G451" i="10"/>
  <c r="H451" i="10"/>
  <c r="F451" i="10"/>
  <c r="G435" i="10"/>
  <c r="F435" i="10"/>
  <c r="H435" i="10"/>
  <c r="H415" i="10"/>
  <c r="G415" i="10"/>
  <c r="F415" i="10"/>
  <c r="F411" i="10"/>
  <c r="G411" i="10"/>
  <c r="H411" i="10"/>
  <c r="F407" i="10"/>
  <c r="H407" i="10"/>
  <c r="G407" i="10"/>
  <c r="F398" i="10"/>
  <c r="H398" i="10"/>
  <c r="G398" i="10"/>
  <c r="F394" i="10"/>
  <c r="G394" i="10"/>
  <c r="H394" i="10"/>
  <c r="F382" i="10"/>
  <c r="H382" i="10"/>
  <c r="G382" i="10"/>
  <c r="H367" i="10"/>
  <c r="G367" i="10"/>
  <c r="F367" i="10"/>
  <c r="G348" i="10"/>
  <c r="H348" i="10"/>
  <c r="F348" i="10"/>
  <c r="G340" i="10"/>
  <c r="F340" i="10"/>
  <c r="H340" i="10"/>
  <c r="G335" i="10"/>
  <c r="F335" i="10"/>
  <c r="H335" i="10"/>
  <c r="G321" i="10"/>
  <c r="F321" i="10"/>
  <c r="H321" i="10"/>
  <c r="H305" i="10"/>
  <c r="G305" i="10"/>
  <c r="F305" i="10"/>
  <c r="G296" i="10"/>
  <c r="F296" i="10"/>
  <c r="H296" i="10"/>
  <c r="G288" i="10"/>
  <c r="H288" i="10"/>
  <c r="F288" i="10"/>
  <c r="G269" i="10"/>
  <c r="H269" i="10"/>
  <c r="F269" i="10"/>
  <c r="G265" i="10"/>
  <c r="H265" i="10"/>
  <c r="F265" i="10"/>
  <c r="H247" i="10"/>
  <c r="F247" i="10"/>
  <c r="G247" i="10"/>
  <c r="G242" i="10"/>
  <c r="F242" i="10"/>
  <c r="H242" i="10"/>
  <c r="G234" i="10"/>
  <c r="F234" i="10"/>
  <c r="H234" i="10"/>
  <c r="F215" i="10"/>
  <c r="H215" i="10"/>
  <c r="G215" i="10"/>
  <c r="F205" i="10"/>
  <c r="G205" i="10"/>
  <c r="H205" i="10"/>
  <c r="F189" i="10"/>
  <c r="H189" i="10"/>
  <c r="G189" i="10"/>
  <c r="F181" i="10"/>
  <c r="H181" i="10"/>
  <c r="G181" i="10"/>
  <c r="F173" i="10"/>
  <c r="H173" i="10"/>
  <c r="G173" i="10"/>
  <c r="F158" i="10"/>
  <c r="G158" i="10"/>
  <c r="H158" i="10"/>
  <c r="F154" i="10"/>
  <c r="H154" i="10"/>
  <c r="G154" i="10"/>
  <c r="G145" i="10"/>
  <c r="F145" i="10"/>
  <c r="H145" i="10"/>
  <c r="F131" i="10"/>
  <c r="H131" i="10"/>
  <c r="G131" i="10"/>
  <c r="F115" i="10"/>
  <c r="H115" i="10"/>
  <c r="G115" i="10"/>
  <c r="F111" i="10"/>
  <c r="G111" i="10"/>
  <c r="H111" i="10"/>
  <c r="H106" i="10"/>
  <c r="F106" i="10"/>
  <c r="G106" i="10"/>
  <c r="G1070" i="10"/>
  <c r="F1070" i="10"/>
  <c r="H1070" i="10"/>
  <c r="G1066" i="10"/>
  <c r="H1066" i="10"/>
  <c r="F1066" i="10"/>
  <c r="G1061" i="10"/>
  <c r="F1061" i="10"/>
  <c r="H1061" i="10"/>
  <c r="G1057" i="10"/>
  <c r="F1057" i="10"/>
  <c r="H1057" i="10"/>
  <c r="F1051" i="10"/>
  <c r="G1051" i="10"/>
  <c r="H1051" i="10"/>
  <c r="F1047" i="10"/>
  <c r="G1047" i="10"/>
  <c r="H1047" i="10"/>
  <c r="F1042" i="10"/>
  <c r="H1042" i="10"/>
  <c r="G1042" i="10"/>
  <c r="F1038" i="10"/>
  <c r="G1038" i="10"/>
  <c r="H1038" i="10"/>
  <c r="F1033" i="10"/>
  <c r="G1033" i="10"/>
  <c r="H1033" i="10"/>
  <c r="F1029" i="10"/>
  <c r="G1029" i="10"/>
  <c r="H1029" i="10"/>
  <c r="F1024" i="10"/>
  <c r="H1024" i="10"/>
  <c r="G1024" i="10"/>
  <c r="F1020" i="10"/>
  <c r="G1020" i="10"/>
  <c r="H1020" i="10"/>
  <c r="F1015" i="10"/>
  <c r="G1015" i="10"/>
  <c r="H1015" i="10"/>
  <c r="G1004" i="10"/>
  <c r="H1004" i="10"/>
  <c r="F1004" i="10"/>
  <c r="G999" i="10"/>
  <c r="F999" i="10"/>
  <c r="H999" i="10"/>
  <c r="G995" i="10"/>
  <c r="F995" i="10"/>
  <c r="H995" i="10"/>
  <c r="F989" i="10"/>
  <c r="G989" i="10"/>
  <c r="H989" i="10"/>
  <c r="F985" i="10"/>
  <c r="G985" i="10"/>
  <c r="H985" i="10"/>
  <c r="F980" i="10"/>
  <c r="G980" i="10"/>
  <c r="H980" i="10"/>
  <c r="F976" i="10"/>
  <c r="G976" i="10"/>
  <c r="H976" i="10"/>
  <c r="F972" i="10"/>
  <c r="G972" i="10"/>
  <c r="H972" i="10"/>
  <c r="F967" i="10"/>
  <c r="G967" i="10"/>
  <c r="H967" i="10"/>
  <c r="F962" i="10"/>
  <c r="G962" i="10"/>
  <c r="H962" i="10"/>
  <c r="F958" i="10"/>
  <c r="G958" i="10"/>
  <c r="H958" i="10"/>
  <c r="F954" i="10"/>
  <c r="G954" i="10"/>
  <c r="H954" i="10"/>
  <c r="H943" i="10"/>
  <c r="F943" i="10"/>
  <c r="G943" i="10"/>
  <c r="G938" i="10"/>
  <c r="H938" i="10"/>
  <c r="F938" i="10"/>
  <c r="G934" i="10"/>
  <c r="H934" i="10"/>
  <c r="F934" i="10"/>
  <c r="G930" i="10"/>
  <c r="H930" i="10"/>
  <c r="F930" i="10"/>
  <c r="F924" i="10"/>
  <c r="G924" i="10"/>
  <c r="H924" i="10"/>
  <c r="F920" i="10"/>
  <c r="G920" i="10"/>
  <c r="H920" i="10"/>
  <c r="F916" i="10"/>
  <c r="G916" i="10"/>
  <c r="H916" i="10"/>
  <c r="F911" i="10"/>
  <c r="G911" i="10"/>
  <c r="H911" i="10"/>
  <c r="F907" i="10"/>
  <c r="G907" i="10"/>
  <c r="H907" i="10"/>
  <c r="F902" i="10"/>
  <c r="G902" i="10"/>
  <c r="H902" i="10"/>
  <c r="F897" i="10"/>
  <c r="G897" i="10"/>
  <c r="H897" i="10"/>
  <c r="F893" i="10"/>
  <c r="G893" i="10"/>
  <c r="H893" i="10"/>
  <c r="G889" i="10"/>
  <c r="H889" i="10"/>
  <c r="F889" i="10"/>
  <c r="H885" i="10"/>
  <c r="F885" i="10"/>
  <c r="G885" i="10"/>
  <c r="H879" i="10"/>
  <c r="F879" i="10"/>
  <c r="G879" i="10"/>
  <c r="H868" i="10"/>
  <c r="F868" i="10"/>
  <c r="G868" i="10"/>
  <c r="H864" i="10"/>
  <c r="F864" i="10"/>
  <c r="G864" i="10"/>
  <c r="H860" i="10"/>
  <c r="F860" i="10"/>
  <c r="G860" i="10"/>
  <c r="H856" i="10"/>
  <c r="G856" i="10"/>
  <c r="F856" i="10"/>
  <c r="G850" i="10"/>
  <c r="F850" i="10"/>
  <c r="H850" i="10"/>
  <c r="G846" i="10"/>
  <c r="H846" i="10"/>
  <c r="F846" i="10"/>
  <c r="G841" i="10"/>
  <c r="F841" i="10"/>
  <c r="H841" i="10"/>
  <c r="G837" i="10"/>
  <c r="F837" i="10"/>
  <c r="H837" i="10"/>
  <c r="G833" i="10"/>
  <c r="F833" i="10"/>
  <c r="H833" i="10"/>
  <c r="G828" i="10"/>
  <c r="H828" i="10"/>
  <c r="F828" i="10"/>
  <c r="G823" i="10"/>
  <c r="F823" i="10"/>
  <c r="H823" i="10"/>
  <c r="G819" i="10"/>
  <c r="F819" i="10"/>
  <c r="H819" i="10"/>
  <c r="F813" i="10"/>
  <c r="G813" i="10"/>
  <c r="H813" i="10"/>
  <c r="H691" i="10"/>
  <c r="F691" i="10"/>
  <c r="G691" i="10"/>
  <c r="F687" i="10"/>
  <c r="G687" i="10"/>
  <c r="H687" i="10"/>
  <c r="F683" i="10"/>
  <c r="G683" i="10"/>
  <c r="H683" i="10"/>
  <c r="G679" i="10"/>
  <c r="H679" i="10"/>
  <c r="F679" i="10"/>
  <c r="H674" i="10"/>
  <c r="G674" i="10"/>
  <c r="F674" i="10"/>
  <c r="H670" i="10"/>
  <c r="G670" i="10"/>
  <c r="F670" i="10"/>
  <c r="H666" i="10"/>
  <c r="F666" i="10"/>
  <c r="G666" i="10"/>
  <c r="H662" i="10"/>
  <c r="F662" i="10"/>
  <c r="G662" i="10"/>
  <c r="H658" i="10"/>
  <c r="G658" i="10"/>
  <c r="F658" i="10"/>
  <c r="H654" i="10"/>
  <c r="F654" i="10"/>
  <c r="G654" i="10"/>
  <c r="H650" i="10"/>
  <c r="F650" i="10"/>
  <c r="G650" i="10"/>
  <c r="G645" i="10"/>
  <c r="F645" i="10"/>
  <c r="H645" i="10"/>
  <c r="G643" i="10"/>
  <c r="F643" i="10"/>
  <c r="H643" i="10"/>
  <c r="H632" i="10"/>
  <c r="G632" i="10"/>
  <c r="F632" i="10"/>
  <c r="H628" i="10"/>
  <c r="G628" i="10"/>
  <c r="F628" i="10"/>
  <c r="H624" i="10"/>
  <c r="F624" i="10"/>
  <c r="G624" i="10"/>
  <c r="F617" i="10"/>
  <c r="G617" i="10"/>
  <c r="H617" i="10"/>
  <c r="F613" i="10"/>
  <c r="G613" i="10"/>
  <c r="H613" i="10"/>
  <c r="F608" i="10"/>
  <c r="G608" i="10"/>
  <c r="H608" i="10"/>
  <c r="F604" i="10"/>
  <c r="H604" i="10"/>
  <c r="G604" i="10"/>
  <c r="F599" i="10"/>
  <c r="G599" i="10"/>
  <c r="H599" i="10"/>
  <c r="F593" i="10"/>
  <c r="H593" i="10"/>
  <c r="G593" i="10"/>
  <c r="F589" i="10"/>
  <c r="G589" i="10"/>
  <c r="H589" i="10"/>
  <c r="F471" i="10"/>
  <c r="G471" i="10"/>
  <c r="H471" i="10"/>
  <c r="F467" i="10"/>
  <c r="G467" i="10"/>
  <c r="H467" i="10"/>
  <c r="F463" i="10"/>
  <c r="G463" i="10"/>
  <c r="H463" i="10"/>
  <c r="F459" i="10"/>
  <c r="H459" i="10"/>
  <c r="G459" i="10"/>
  <c r="F454" i="10"/>
  <c r="G454" i="10"/>
  <c r="H454" i="10"/>
  <c r="F450" i="10"/>
  <c r="G450" i="10"/>
  <c r="H450" i="10"/>
  <c r="F443" i="10"/>
  <c r="G443" i="10"/>
  <c r="H443" i="10"/>
  <c r="F438" i="10"/>
  <c r="H438" i="10"/>
  <c r="G438" i="10"/>
  <c r="F434" i="10"/>
  <c r="G434" i="10"/>
  <c r="H434" i="10"/>
  <c r="F429" i="10"/>
  <c r="G429" i="10"/>
  <c r="H429" i="10"/>
  <c r="G418" i="10"/>
  <c r="F418" i="10"/>
  <c r="H418" i="10"/>
  <c r="G414" i="10"/>
  <c r="F414" i="10"/>
  <c r="H414" i="10"/>
  <c r="F410" i="10"/>
  <c r="G410" i="10"/>
  <c r="H410" i="10"/>
  <c r="F406" i="10"/>
  <c r="H406" i="10"/>
  <c r="G406" i="10"/>
  <c r="G401" i="10"/>
  <c r="F401" i="10"/>
  <c r="H401" i="10"/>
  <c r="H397" i="10"/>
  <c r="F397" i="10"/>
  <c r="G397" i="10"/>
  <c r="H390" i="10"/>
  <c r="F390" i="10"/>
  <c r="G390" i="10"/>
  <c r="F385" i="10"/>
  <c r="G385" i="10"/>
  <c r="H385" i="10"/>
  <c r="G381" i="10"/>
  <c r="F381" i="10"/>
  <c r="H381" i="10"/>
  <c r="H377" i="10"/>
  <c r="F377" i="10"/>
  <c r="G377" i="10"/>
  <c r="G366" i="10"/>
  <c r="F366" i="10"/>
  <c r="H366" i="10"/>
  <c r="F361" i="10"/>
  <c r="G361" i="10"/>
  <c r="H361" i="10"/>
  <c r="F356" i="10"/>
  <c r="H356" i="10"/>
  <c r="G356" i="10"/>
  <c r="F352" i="10"/>
  <c r="H352" i="10"/>
  <c r="G352" i="10"/>
  <c r="F347" i="10"/>
  <c r="G347" i="10"/>
  <c r="H347" i="10"/>
  <c r="F343" i="10"/>
  <c r="G343" i="10"/>
  <c r="H343" i="10"/>
  <c r="F339" i="10"/>
  <c r="H339" i="10"/>
  <c r="G339" i="10"/>
  <c r="F334" i="10"/>
  <c r="G334" i="10"/>
  <c r="H334" i="10"/>
  <c r="F328" i="10"/>
  <c r="G328" i="10"/>
  <c r="H328" i="10"/>
  <c r="F324" i="10"/>
  <c r="G324" i="10"/>
  <c r="H324" i="10"/>
  <c r="F320" i="10"/>
  <c r="H320" i="10"/>
  <c r="G320" i="10"/>
  <c r="H314" i="10"/>
  <c r="G314" i="10"/>
  <c r="F314" i="10"/>
  <c r="G304" i="10"/>
  <c r="F304" i="10"/>
  <c r="H304" i="10"/>
  <c r="F299" i="10"/>
  <c r="G299" i="10"/>
  <c r="H299" i="10"/>
  <c r="F295" i="10"/>
  <c r="H295" i="10"/>
  <c r="G295" i="10"/>
  <c r="F291" i="10"/>
  <c r="G291" i="10"/>
  <c r="H291" i="10"/>
  <c r="F287" i="10"/>
  <c r="H287" i="10"/>
  <c r="G287" i="10"/>
  <c r="F283" i="10"/>
  <c r="G283" i="10"/>
  <c r="H283" i="10"/>
  <c r="F278" i="10"/>
  <c r="H278" i="10"/>
  <c r="G278" i="10"/>
  <c r="F273" i="10"/>
  <c r="H273" i="10"/>
  <c r="G273" i="10"/>
  <c r="F268" i="10"/>
  <c r="G268" i="10"/>
  <c r="H268" i="10"/>
  <c r="F264" i="10"/>
  <c r="G264" i="10"/>
  <c r="H264" i="10"/>
  <c r="G250" i="10"/>
  <c r="H250" i="10"/>
  <c r="F250" i="10"/>
  <c r="F245" i="10"/>
  <c r="H245" i="10"/>
  <c r="G245" i="10"/>
  <c r="F241" i="10"/>
  <c r="G241" i="10"/>
  <c r="H241" i="10"/>
  <c r="F237" i="10"/>
  <c r="G237" i="10"/>
  <c r="H237" i="10"/>
  <c r="F233" i="10"/>
  <c r="G233" i="10"/>
  <c r="H233" i="10"/>
  <c r="G229" i="10"/>
  <c r="F229" i="10"/>
  <c r="H229" i="10"/>
  <c r="H224" i="10"/>
  <c r="F224" i="10"/>
  <c r="G224" i="10"/>
  <c r="G219" i="10"/>
  <c r="H219" i="10"/>
  <c r="F219" i="10"/>
  <c r="F214" i="10"/>
  <c r="G214" i="10"/>
  <c r="H214" i="10"/>
  <c r="G210" i="10"/>
  <c r="F210" i="10"/>
  <c r="H210" i="10"/>
  <c r="H201" i="10"/>
  <c r="G201" i="10"/>
  <c r="F201" i="10"/>
  <c r="F193" i="10"/>
  <c r="G193" i="10"/>
  <c r="H193" i="10"/>
  <c r="F188" i="10"/>
  <c r="H188" i="10"/>
  <c r="G188" i="10"/>
  <c r="G184" i="10"/>
  <c r="F184" i="10"/>
  <c r="H184" i="10"/>
  <c r="H180" i="10"/>
  <c r="G180" i="10"/>
  <c r="F180" i="10"/>
  <c r="H176" i="10"/>
  <c r="F176" i="10"/>
  <c r="G176" i="10"/>
  <c r="F172" i="10"/>
  <c r="G172" i="10"/>
  <c r="H172" i="10"/>
  <c r="G167" i="10"/>
  <c r="F167" i="10"/>
  <c r="H167" i="10"/>
  <c r="H162" i="10"/>
  <c r="G162" i="10"/>
  <c r="F162" i="10"/>
  <c r="G157" i="10"/>
  <c r="F157" i="10"/>
  <c r="H157" i="10"/>
  <c r="H151" i="10"/>
  <c r="F151" i="10"/>
  <c r="G151" i="10"/>
  <c r="H147" i="10"/>
  <c r="G147" i="10"/>
  <c r="F147" i="10"/>
  <c r="H138" i="10"/>
  <c r="G138" i="10"/>
  <c r="F138" i="10"/>
  <c r="G134" i="10"/>
  <c r="F134" i="10"/>
  <c r="H134" i="10"/>
  <c r="F130" i="10"/>
  <c r="G130" i="10"/>
  <c r="H130" i="10"/>
  <c r="G126" i="10"/>
  <c r="H126" i="10"/>
  <c r="F126" i="10"/>
  <c r="H122" i="10"/>
  <c r="G122" i="10"/>
  <c r="F122" i="10"/>
  <c r="F118" i="10"/>
  <c r="G118" i="10"/>
  <c r="H118" i="10"/>
  <c r="F114" i="10"/>
  <c r="G114" i="10"/>
  <c r="H114" i="10"/>
  <c r="G110" i="10"/>
  <c r="H110" i="10"/>
  <c r="F110" i="10"/>
  <c r="H105" i="10"/>
  <c r="G105" i="10"/>
  <c r="F105" i="10"/>
  <c r="H103" i="10"/>
  <c r="F103" i="10"/>
  <c r="G103" i="10"/>
  <c r="G182" i="10"/>
  <c r="H182" i="10"/>
  <c r="F182" i="10"/>
  <c r="G174" i="10"/>
  <c r="H174" i="10"/>
  <c r="F174" i="10"/>
  <c r="G169" i="10"/>
  <c r="F169" i="10"/>
  <c r="H169" i="10"/>
  <c r="G164" i="10"/>
  <c r="H164" i="10"/>
  <c r="F164" i="10"/>
  <c r="F149" i="10"/>
  <c r="H149" i="10"/>
  <c r="G149" i="10"/>
  <c r="G132" i="10"/>
  <c r="F132" i="10"/>
  <c r="H132" i="10"/>
  <c r="G124" i="10"/>
  <c r="H124" i="10"/>
  <c r="F124" i="10"/>
  <c r="G120" i="10"/>
  <c r="F120" i="10"/>
  <c r="H120" i="10"/>
  <c r="G116" i="10"/>
  <c r="F116" i="10"/>
  <c r="H116" i="10"/>
  <c r="G108" i="10"/>
  <c r="H108" i="10"/>
  <c r="F108" i="10"/>
  <c r="F102" i="10"/>
  <c r="H102" i="10"/>
  <c r="G102" i="10"/>
  <c r="F1072" i="10"/>
  <c r="G1072" i="10"/>
  <c r="H1072" i="10"/>
  <c r="H1062" i="10"/>
  <c r="F1062" i="10"/>
  <c r="G1062" i="10"/>
  <c r="H1058" i="10"/>
  <c r="G1058" i="10"/>
  <c r="F1058" i="10"/>
  <c r="G1048" i="10"/>
  <c r="F1048" i="10"/>
  <c r="H1048" i="10"/>
  <c r="G1039" i="10"/>
  <c r="F1039" i="10"/>
  <c r="H1039" i="10"/>
  <c r="G1035" i="10"/>
  <c r="H1035" i="10"/>
  <c r="F1035" i="10"/>
  <c r="G1025" i="10"/>
  <c r="F1025" i="10"/>
  <c r="H1025" i="10"/>
  <c r="G1016" i="10"/>
  <c r="H1016" i="10"/>
  <c r="F1016" i="10"/>
  <c r="H996" i="10"/>
  <c r="G996" i="10"/>
  <c r="F996" i="10"/>
  <c r="G986" i="10"/>
  <c r="H986" i="10"/>
  <c r="F986" i="10"/>
  <c r="G977" i="10"/>
  <c r="H977" i="10"/>
  <c r="F977" i="10"/>
  <c r="G968" i="10"/>
  <c r="H968" i="10"/>
  <c r="F968" i="10"/>
  <c r="G955" i="10"/>
  <c r="H955" i="10"/>
  <c r="F955" i="10"/>
  <c r="H931" i="10"/>
  <c r="F931" i="10"/>
  <c r="G931" i="10"/>
  <c r="H927" i="10"/>
  <c r="F927" i="10"/>
  <c r="G927" i="10"/>
  <c r="G917" i="10"/>
  <c r="H917" i="10"/>
  <c r="F917" i="10"/>
  <c r="G903" i="10"/>
  <c r="H903" i="10"/>
  <c r="F903" i="10"/>
  <c r="G894" i="10"/>
  <c r="H894" i="10"/>
  <c r="F894" i="10"/>
  <c r="F890" i="10"/>
  <c r="G890" i="10"/>
  <c r="H890" i="10"/>
  <c r="F880" i="10"/>
  <c r="G880" i="10"/>
  <c r="H880" i="10"/>
  <c r="F870" i="10"/>
  <c r="H870" i="10"/>
  <c r="G870" i="10"/>
  <c r="H851" i="10"/>
  <c r="F851" i="10"/>
  <c r="G851" i="10"/>
  <c r="H843" i="10"/>
  <c r="F843" i="10"/>
  <c r="G843" i="10"/>
  <c r="H829" i="10"/>
  <c r="F829" i="10"/>
  <c r="G829" i="10"/>
  <c r="H820" i="10"/>
  <c r="G820" i="10"/>
  <c r="F820" i="10"/>
  <c r="H815" i="10"/>
  <c r="F815" i="10"/>
  <c r="G815" i="10"/>
  <c r="F692" i="10"/>
  <c r="G692" i="10"/>
  <c r="H692" i="10"/>
  <c r="F688" i="10"/>
  <c r="G688" i="10"/>
  <c r="H688" i="10"/>
  <c r="F675" i="10"/>
  <c r="G675" i="10"/>
  <c r="H675" i="10"/>
  <c r="G667" i="10"/>
  <c r="H667" i="10"/>
  <c r="F667" i="10"/>
  <c r="H663" i="10"/>
  <c r="G663" i="10"/>
  <c r="F663" i="10"/>
  <c r="F655" i="10"/>
  <c r="G655" i="10"/>
  <c r="H655" i="10"/>
  <c r="H646" i="10"/>
  <c r="F646" i="10"/>
  <c r="G646" i="10"/>
  <c r="H642" i="10"/>
  <c r="G642" i="10"/>
  <c r="F642" i="10"/>
  <c r="F629" i="10"/>
  <c r="G629" i="10"/>
  <c r="H629" i="10"/>
  <c r="G625" i="10"/>
  <c r="H625" i="10"/>
  <c r="F625" i="10"/>
  <c r="G614" i="10"/>
  <c r="H614" i="10"/>
  <c r="F614" i="10"/>
  <c r="G605" i="10"/>
  <c r="F605" i="10"/>
  <c r="H605" i="10"/>
  <c r="F594" i="10"/>
  <c r="G594" i="10"/>
  <c r="H594" i="10"/>
  <c r="F588" i="10"/>
  <c r="H588" i="10"/>
  <c r="G588" i="10"/>
  <c r="G468" i="10"/>
  <c r="H468" i="10"/>
  <c r="F468" i="10"/>
  <c r="G464" i="10"/>
  <c r="F464" i="10"/>
  <c r="H464" i="10"/>
  <c r="G460" i="10"/>
  <c r="F460" i="10"/>
  <c r="H460" i="10"/>
  <c r="G444" i="10"/>
  <c r="F444" i="10"/>
  <c r="H444" i="10"/>
  <c r="G439" i="10"/>
  <c r="F439" i="10"/>
  <c r="H439" i="10"/>
  <c r="G431" i="10"/>
  <c r="H431" i="10"/>
  <c r="F431" i="10"/>
  <c r="G420" i="10"/>
  <c r="H420" i="10"/>
  <c r="F420" i="10"/>
  <c r="F402" i="10"/>
  <c r="G402" i="10"/>
  <c r="H402" i="10"/>
  <c r="F386" i="10"/>
  <c r="H386" i="10"/>
  <c r="G386" i="10"/>
  <c r="F378" i="10"/>
  <c r="G378" i="10"/>
  <c r="H378" i="10"/>
  <c r="G362" i="10"/>
  <c r="F362" i="10"/>
  <c r="H362" i="10"/>
  <c r="G357" i="10"/>
  <c r="H357" i="10"/>
  <c r="F357" i="10"/>
  <c r="G353" i="10"/>
  <c r="F353" i="10"/>
  <c r="H353" i="10"/>
  <c r="G344" i="10"/>
  <c r="H344" i="10"/>
  <c r="F344" i="10"/>
  <c r="G329" i="10"/>
  <c r="H329" i="10"/>
  <c r="F329" i="10"/>
  <c r="G325" i="10"/>
  <c r="F325" i="10"/>
  <c r="H325" i="10"/>
  <c r="G316" i="10"/>
  <c r="F316" i="10"/>
  <c r="H316" i="10"/>
  <c r="G300" i="10"/>
  <c r="F300" i="10"/>
  <c r="H300" i="10"/>
  <c r="G292" i="10"/>
  <c r="F292" i="10"/>
  <c r="H292" i="10"/>
  <c r="G284" i="10"/>
  <c r="F284" i="10"/>
  <c r="H284" i="10"/>
  <c r="G279" i="10"/>
  <c r="H279" i="10"/>
  <c r="F279" i="10"/>
  <c r="G274" i="10"/>
  <c r="F274" i="10"/>
  <c r="H274" i="10"/>
  <c r="F259" i="10"/>
  <c r="H259" i="10"/>
  <c r="G259" i="10"/>
  <c r="G238" i="10"/>
  <c r="H238" i="10"/>
  <c r="F238" i="10"/>
  <c r="F230" i="10"/>
  <c r="H230" i="10"/>
  <c r="G230" i="10"/>
  <c r="F225" i="10"/>
  <c r="G225" i="10"/>
  <c r="H225" i="10"/>
  <c r="F220" i="10"/>
  <c r="G220" i="10"/>
  <c r="H220" i="10"/>
  <c r="F211" i="10"/>
  <c r="G211" i="10"/>
  <c r="H211" i="10"/>
  <c r="G194" i="10"/>
  <c r="H194" i="10"/>
  <c r="F194" i="10"/>
  <c r="F185" i="10"/>
  <c r="G185" i="10"/>
  <c r="H185" i="10"/>
  <c r="F177" i="10"/>
  <c r="G177" i="10"/>
  <c r="H177" i="10"/>
  <c r="F168" i="10"/>
  <c r="H168" i="10"/>
  <c r="G168" i="10"/>
  <c r="F163" i="10"/>
  <c r="G163" i="10"/>
  <c r="H163" i="10"/>
  <c r="F135" i="10"/>
  <c r="G135" i="10"/>
  <c r="H135" i="10"/>
  <c r="F127" i="10"/>
  <c r="G127" i="10"/>
  <c r="H127" i="10"/>
  <c r="F123" i="10"/>
  <c r="H123" i="10"/>
  <c r="G123" i="10"/>
  <c r="F119" i="10"/>
  <c r="G119" i="10"/>
  <c r="H119" i="10"/>
  <c r="F1069" i="10"/>
  <c r="G1069" i="10"/>
  <c r="H1069" i="10"/>
  <c r="F1064" i="10"/>
  <c r="G1064" i="10"/>
  <c r="H1064" i="10"/>
  <c r="F1060" i="10"/>
  <c r="G1060" i="10"/>
  <c r="H1060" i="10"/>
  <c r="G1054" i="10"/>
  <c r="H1054" i="10"/>
  <c r="F1054" i="10"/>
  <c r="H1050" i="10"/>
  <c r="F1050" i="10"/>
  <c r="G1050" i="10"/>
  <c r="F1046" i="10"/>
  <c r="G1046" i="10"/>
  <c r="H1046" i="10"/>
  <c r="F1041" i="10"/>
  <c r="G1041" i="10"/>
  <c r="H1041" i="10"/>
  <c r="G1037" i="10"/>
  <c r="H1037" i="10"/>
  <c r="F1037" i="10"/>
  <c r="H1032" i="10"/>
  <c r="F1032" i="10"/>
  <c r="G1032" i="10"/>
  <c r="F1027" i="10"/>
  <c r="G1027" i="10"/>
  <c r="H1027" i="10"/>
  <c r="F1023" i="10"/>
  <c r="G1023" i="10"/>
  <c r="H1023" i="10"/>
  <c r="G1019" i="10"/>
  <c r="H1019" i="10"/>
  <c r="F1019" i="10"/>
  <c r="G1008" i="10"/>
  <c r="F1008" i="10"/>
  <c r="H1008" i="10"/>
  <c r="F1003" i="10"/>
  <c r="G1003" i="10"/>
  <c r="H1003" i="10"/>
  <c r="F998" i="10"/>
  <c r="G998" i="10"/>
  <c r="H998" i="10"/>
  <c r="F994" i="10"/>
  <c r="H994" i="10"/>
  <c r="G994" i="10"/>
  <c r="F988" i="10"/>
  <c r="G988" i="10"/>
  <c r="H988" i="10"/>
  <c r="F984" i="10"/>
  <c r="G984" i="10"/>
  <c r="H984" i="10"/>
  <c r="F979" i="10"/>
  <c r="G979" i="10"/>
  <c r="H979" i="10"/>
  <c r="F975" i="10"/>
  <c r="G975" i="10"/>
  <c r="H975" i="10"/>
  <c r="F971" i="10"/>
  <c r="G971" i="10"/>
  <c r="H971" i="10"/>
  <c r="F966" i="10"/>
  <c r="G966" i="10"/>
  <c r="H966" i="10"/>
  <c r="F961" i="10"/>
  <c r="G961" i="10"/>
  <c r="H961" i="10"/>
  <c r="F957" i="10"/>
  <c r="G957" i="10"/>
  <c r="H957" i="10"/>
  <c r="F952" i="10"/>
  <c r="G952" i="10"/>
  <c r="H952" i="10"/>
  <c r="F941" i="10"/>
  <c r="G941" i="10"/>
  <c r="H941" i="10"/>
  <c r="F937" i="10"/>
  <c r="G937" i="10"/>
  <c r="H937" i="10"/>
  <c r="F933" i="10"/>
  <c r="G933" i="10"/>
  <c r="H933" i="10"/>
  <c r="F929" i="10"/>
  <c r="G929" i="10"/>
  <c r="H929" i="10"/>
  <c r="F923" i="10"/>
  <c r="G923" i="10"/>
  <c r="H923" i="10"/>
  <c r="F919" i="10"/>
  <c r="G919" i="10"/>
  <c r="H919" i="10"/>
  <c r="F914" i="10"/>
  <c r="G914" i="10"/>
  <c r="H914" i="10"/>
  <c r="F910" i="10"/>
  <c r="G910" i="10"/>
  <c r="H910" i="10"/>
  <c r="F906" i="10"/>
  <c r="G906" i="10"/>
  <c r="H906" i="10"/>
  <c r="F901" i="10"/>
  <c r="G901" i="10"/>
  <c r="H901" i="10"/>
  <c r="F896" i="10"/>
  <c r="G896" i="10"/>
  <c r="H896" i="10"/>
  <c r="H892" i="10"/>
  <c r="F892" i="10"/>
  <c r="G892" i="10"/>
  <c r="H888" i="10"/>
  <c r="F888" i="10"/>
  <c r="G888" i="10"/>
  <c r="H883" i="10"/>
  <c r="F883" i="10"/>
  <c r="G883" i="10"/>
  <c r="G878" i="10"/>
  <c r="F878" i="10"/>
  <c r="H878" i="10"/>
  <c r="G867" i="10"/>
  <c r="F867" i="10"/>
  <c r="H867" i="10"/>
  <c r="G863" i="10"/>
  <c r="H863" i="10"/>
  <c r="F863" i="10"/>
  <c r="G859" i="10"/>
  <c r="F859" i="10"/>
  <c r="H859" i="10"/>
  <c r="G855" i="10"/>
  <c r="F855" i="10"/>
  <c r="H855" i="10"/>
  <c r="F849" i="10"/>
  <c r="G849" i="10"/>
  <c r="H849" i="10"/>
  <c r="F845" i="10"/>
  <c r="G845" i="10"/>
  <c r="H845" i="10"/>
  <c r="F840" i="10"/>
  <c r="G840" i="10"/>
  <c r="H840" i="10"/>
  <c r="F836" i="10"/>
  <c r="H836" i="10"/>
  <c r="G836" i="10"/>
  <c r="F832" i="10"/>
  <c r="G832" i="10"/>
  <c r="H832" i="10"/>
  <c r="F827" i="10"/>
  <c r="G827" i="10"/>
  <c r="H827" i="10"/>
  <c r="F822" i="10"/>
  <c r="G822" i="10"/>
  <c r="H822" i="10"/>
  <c r="F818" i="10"/>
  <c r="H818" i="10"/>
  <c r="G818" i="10"/>
  <c r="H812" i="10"/>
  <c r="F812" i="10"/>
  <c r="G812" i="10"/>
  <c r="H690" i="10"/>
  <c r="F690" i="10"/>
  <c r="G690" i="10"/>
  <c r="H686" i="10"/>
  <c r="G686" i="10"/>
  <c r="F686" i="10"/>
  <c r="H682" i="10"/>
  <c r="G682" i="10"/>
  <c r="F682" i="10"/>
  <c r="G677" i="10"/>
  <c r="H677" i="10"/>
  <c r="F677" i="10"/>
  <c r="G673" i="10"/>
  <c r="F673" i="10"/>
  <c r="H673" i="10"/>
  <c r="G669" i="10"/>
  <c r="F669" i="10"/>
  <c r="H669" i="10"/>
  <c r="G665" i="10"/>
  <c r="H665" i="10"/>
  <c r="F665" i="10"/>
  <c r="G661" i="10"/>
  <c r="F661" i="10"/>
  <c r="H661" i="10"/>
  <c r="G657" i="10"/>
  <c r="F657" i="10"/>
  <c r="H657" i="10"/>
  <c r="G653" i="10"/>
  <c r="F653" i="10"/>
  <c r="H653" i="10"/>
  <c r="G649" i="10"/>
  <c r="H649" i="10"/>
  <c r="F649" i="10"/>
  <c r="F644" i="10"/>
  <c r="G644" i="10"/>
  <c r="H644" i="10"/>
  <c r="H636" i="10"/>
  <c r="F636" i="10"/>
  <c r="G636" i="10"/>
  <c r="G631" i="10"/>
  <c r="F631" i="10"/>
  <c r="H631" i="10"/>
  <c r="G627" i="10"/>
  <c r="F627" i="10"/>
  <c r="H627" i="10"/>
  <c r="G623" i="10"/>
  <c r="H623" i="10"/>
  <c r="F623" i="10"/>
  <c r="G616" i="10"/>
  <c r="H616" i="10"/>
  <c r="F616" i="10"/>
  <c r="H612" i="10"/>
  <c r="F612" i="10"/>
  <c r="G612" i="10"/>
  <c r="F607" i="10"/>
  <c r="G607" i="10"/>
  <c r="H607" i="10"/>
  <c r="F602" i="10"/>
  <c r="G602" i="10"/>
  <c r="H602" i="10"/>
  <c r="G598" i="10"/>
  <c r="H598" i="10"/>
  <c r="F598" i="10"/>
  <c r="H592" i="10"/>
  <c r="G592" i="10"/>
  <c r="F592" i="10"/>
  <c r="F475" i="10"/>
  <c r="G475" i="10"/>
  <c r="H475" i="10"/>
  <c r="G470" i="10"/>
  <c r="H470" i="10"/>
  <c r="F470" i="10"/>
  <c r="H466" i="10"/>
  <c r="F466" i="10"/>
  <c r="G466" i="10"/>
  <c r="F462" i="10"/>
  <c r="G462" i="10"/>
  <c r="H462" i="10"/>
  <c r="F457" i="10"/>
  <c r="G457" i="10"/>
  <c r="H457" i="10"/>
  <c r="G453" i="10"/>
  <c r="H453" i="10"/>
  <c r="F453" i="10"/>
  <c r="H449" i="10"/>
  <c r="F449" i="10"/>
  <c r="G449" i="10"/>
  <c r="F442" i="10"/>
  <c r="G442" i="10"/>
  <c r="H442" i="10"/>
  <c r="F437" i="10"/>
  <c r="G437" i="10"/>
  <c r="H437" i="10"/>
  <c r="G433" i="10"/>
  <c r="H433" i="10"/>
  <c r="F433" i="10"/>
  <c r="H428" i="10"/>
  <c r="F428" i="10"/>
  <c r="G428" i="10"/>
  <c r="F417" i="10"/>
  <c r="G417" i="10"/>
  <c r="H417" i="10"/>
  <c r="F413" i="10"/>
  <c r="H413" i="10"/>
  <c r="G413" i="10"/>
  <c r="H409" i="10"/>
  <c r="G409" i="10"/>
  <c r="F409" i="10"/>
  <c r="H405" i="10"/>
  <c r="F405" i="10"/>
  <c r="G405" i="10"/>
  <c r="H400" i="10"/>
  <c r="F400" i="10"/>
  <c r="G400" i="10"/>
  <c r="H396" i="10"/>
  <c r="F396" i="10"/>
  <c r="G396" i="10"/>
  <c r="H389" i="10"/>
  <c r="G389" i="10"/>
  <c r="F389" i="10"/>
  <c r="H384" i="10"/>
  <c r="F384" i="10"/>
  <c r="G384" i="10"/>
  <c r="H380" i="10"/>
  <c r="G380" i="10"/>
  <c r="F380" i="10"/>
  <c r="H375" i="10"/>
  <c r="F375" i="10"/>
  <c r="G375" i="10"/>
  <c r="H364" i="10"/>
  <c r="F364" i="10"/>
  <c r="G364" i="10"/>
  <c r="H360" i="10"/>
  <c r="G360" i="10"/>
  <c r="F360" i="10"/>
  <c r="F355" i="10"/>
  <c r="G355" i="10"/>
  <c r="H355" i="10"/>
  <c r="G351" i="10"/>
  <c r="F351" i="10"/>
  <c r="H351" i="10"/>
  <c r="H346" i="10"/>
  <c r="F346" i="10"/>
  <c r="G346" i="10"/>
  <c r="G342" i="10"/>
  <c r="H342" i="10"/>
  <c r="F342" i="10"/>
  <c r="F337" i="10"/>
  <c r="G337" i="10"/>
  <c r="H337" i="10"/>
  <c r="G333" i="10"/>
  <c r="H333" i="10"/>
  <c r="F333" i="10"/>
  <c r="H327" i="10"/>
  <c r="G327" i="10"/>
  <c r="F327" i="10"/>
  <c r="F323" i="10"/>
  <c r="G323" i="10"/>
  <c r="H323" i="10"/>
  <c r="F319" i="10"/>
  <c r="G319" i="10"/>
  <c r="H319" i="10"/>
  <c r="H313" i="10"/>
  <c r="F313" i="10"/>
  <c r="G313" i="10"/>
  <c r="F303" i="10"/>
  <c r="G303" i="10"/>
  <c r="H303" i="10"/>
  <c r="F298" i="10"/>
  <c r="G298" i="10"/>
  <c r="H298" i="10"/>
  <c r="F294" i="10"/>
  <c r="H294" i="10"/>
  <c r="G294" i="10"/>
  <c r="G290" i="10"/>
  <c r="F290" i="10"/>
  <c r="H290" i="10"/>
  <c r="H286" i="10"/>
  <c r="F286" i="10"/>
  <c r="G286" i="10"/>
  <c r="H281" i="10"/>
  <c r="F281" i="10"/>
  <c r="G281" i="10"/>
  <c r="F276" i="10"/>
  <c r="G276" i="10"/>
  <c r="H276" i="10"/>
  <c r="G272" i="10"/>
  <c r="F272" i="10"/>
  <c r="H272" i="10"/>
  <c r="H267" i="10"/>
  <c r="F267" i="10"/>
  <c r="G267" i="10"/>
  <c r="H261" i="10"/>
  <c r="G261" i="10"/>
  <c r="F261" i="10"/>
  <c r="F249" i="10"/>
  <c r="H249" i="10"/>
  <c r="G249" i="10"/>
  <c r="F244" i="10"/>
  <c r="G244" i="10"/>
  <c r="H244" i="10"/>
  <c r="G240" i="10"/>
  <c r="F240" i="10"/>
  <c r="H240" i="10"/>
  <c r="H236" i="10"/>
  <c r="G236" i="10"/>
  <c r="F236" i="10"/>
  <c r="H232" i="10"/>
  <c r="F232" i="10"/>
  <c r="G232" i="10"/>
  <c r="H228" i="10"/>
  <c r="G228" i="10"/>
  <c r="F228" i="10"/>
  <c r="H223" i="10"/>
  <c r="F223" i="10"/>
  <c r="G223" i="10"/>
  <c r="H218" i="10"/>
  <c r="G218" i="10"/>
  <c r="F218" i="10"/>
  <c r="H213" i="10"/>
  <c r="G213" i="10"/>
  <c r="F213" i="10"/>
  <c r="G207" i="10"/>
  <c r="F207" i="10"/>
  <c r="H207" i="10"/>
  <c r="G203" i="10"/>
  <c r="H203" i="10"/>
  <c r="F203" i="10"/>
  <c r="H192" i="10"/>
  <c r="F192" i="10"/>
  <c r="G192" i="10"/>
  <c r="H187" i="10"/>
  <c r="F187" i="10"/>
  <c r="G187" i="10"/>
  <c r="H183" i="10"/>
  <c r="G183" i="10"/>
  <c r="F183" i="10"/>
  <c r="H179" i="10"/>
  <c r="F179" i="10"/>
  <c r="G179" i="10"/>
  <c r="H175" i="10"/>
  <c r="G175" i="10"/>
  <c r="F175" i="10"/>
  <c r="H170" i="10"/>
  <c r="F170" i="10"/>
  <c r="G170" i="10"/>
  <c r="H165" i="10"/>
  <c r="G165" i="10"/>
  <c r="F165" i="10"/>
  <c r="H161" i="10"/>
  <c r="F161" i="10"/>
  <c r="G161" i="10"/>
  <c r="H156" i="10"/>
  <c r="G156" i="10"/>
  <c r="F156" i="10"/>
  <c r="G150" i="10"/>
  <c r="F150" i="10"/>
  <c r="H150" i="10"/>
  <c r="G146" i="10"/>
  <c r="H146" i="10"/>
  <c r="F146" i="10"/>
  <c r="H137" i="10"/>
  <c r="F137" i="10"/>
  <c r="G137" i="10"/>
  <c r="H133" i="10"/>
  <c r="G133" i="10"/>
  <c r="F133" i="10"/>
  <c r="H129" i="10"/>
  <c r="G129" i="10"/>
  <c r="F129" i="10"/>
  <c r="H125" i="10"/>
  <c r="F125" i="10"/>
  <c r="G125" i="10"/>
  <c r="H121" i="10"/>
  <c r="F121" i="10"/>
  <c r="G121" i="10"/>
  <c r="H117" i="10"/>
  <c r="G117" i="10"/>
  <c r="F117" i="10"/>
  <c r="H113" i="10"/>
  <c r="F113" i="10"/>
  <c r="G113" i="10"/>
  <c r="H109" i="10"/>
  <c r="F109" i="10"/>
  <c r="G109" i="10"/>
  <c r="G104" i="10"/>
  <c r="H104" i="10"/>
  <c r="F104" i="10"/>
  <c r="G1278" i="10" l="1"/>
  <c r="H1183" i="10"/>
  <c r="G1183" i="10"/>
  <c r="F1183" i="10"/>
  <c r="H1107" i="10"/>
  <c r="G1107" i="10"/>
  <c r="F1107" i="10"/>
  <c r="F1278" i="10" l="1"/>
  <c r="H1278" i="10"/>
</calcChain>
</file>

<file path=xl/sharedStrings.xml><?xml version="1.0" encoding="utf-8"?>
<sst xmlns="http://schemas.openxmlformats.org/spreadsheetml/2006/main" count="11794" uniqueCount="6428">
  <si>
    <t>All approved pricing is subject to final credit approval</t>
  </si>
  <si>
    <t>This aggregate service pricing is only for the model types, quantities listed and volume provided as shown on this price schedule.   Any variations regarding model type, quantities or volume from this price schedule may impact pricing and therefore require further price review before providing to customer. Any additional quantities or models needed by this customer beyond this initial agreed to quantity would need to be reviewed financially before adding at the same rate.</t>
  </si>
  <si>
    <t>Cancellation for non-appropriation of funding is allowed</t>
  </si>
  <si>
    <t>Cancellation for non-performance is allowed</t>
  </si>
  <si>
    <t>The customer will be allowed to cancel up to 10% of the aggregate lease amount, over term of this agreement for upgrade / downgrade or office closure.</t>
  </si>
  <si>
    <t>This is non-coterminous pricing.  All machines must remain in place for a full term regardless of date of installation.</t>
  </si>
  <si>
    <t>This CPC with minimum is based on the customer making the designated number of copies per month. Billing will be for the copies made with the designated minimum copies per month</t>
  </si>
  <si>
    <t>This is coterminous pricing. All units will be removed on the same date regardless of date of installation. Add-on equipment will be priced based on the remaining term at the time of installation</t>
  </si>
  <si>
    <t>No cancellation privileges apply</t>
  </si>
  <si>
    <t>Termination for convenience shall pertain only to ongoing contract placements only.  Any machine installed prior to the date of termination shall remain in place for the balance of their respective contract terms. The customer shall continue to be contractually and financially responsible for such current leases, rentals and maintenance agreements.</t>
  </si>
  <si>
    <t>This contract is non-cancelable</t>
  </si>
  <si>
    <t>This pricing will be honored by Konica Minolta has a result of the customer signing an agreement acknowledging Konica Minolta as their sole contract provider</t>
  </si>
  <si>
    <t xml:space="preserve">A certificate of insurance will be provided upon award of a contract. </t>
  </si>
  <si>
    <t>Lease pricing is based on Fair Market Value rates</t>
  </si>
  <si>
    <t>Lease pricing is based on $1 out rates</t>
  </si>
  <si>
    <t>The attached service pricing for all production print models is provided predicated on 11x17 as a single click.</t>
  </si>
  <si>
    <t xml:space="preserve">Orders that do not match the pricing and terms of this opportunity profile will not be accepted. </t>
  </si>
  <si>
    <t xml:space="preserve">This is a one time exception , valid for this deal with these machine only. </t>
  </si>
  <si>
    <t>Price Exceptions are valid to make offers for 90 days.  Beyond 90 days, a master agreement must be signed by the customer in accordance with the specific terms and conditions of the approved price exception.  If master agreement already exists, then a signed schedule B must be provided to Contract Group within 90 days of price exception issuance.</t>
  </si>
  <si>
    <t xml:space="preserve">Any model not included on the attached approved price exception or any changes to approved prices provided will require a new price exception.  </t>
  </si>
  <si>
    <t>Effective April 1, 2011, in order to qualify for KMPF rebate or special financing promotions, pricing for the entire transaction must be at Field Level Pricing. Approved Bid Desk Level Pricing will not qualify for rebates or special financing promotions unless otherwise stated. Please see actual promotion Terms and Conditions for additional qualifiers.</t>
  </si>
  <si>
    <t xml:space="preserve">Delivery &amp; Basic Network Services are not included in any prices provided.  They must be billed separately.  </t>
  </si>
  <si>
    <t xml:space="preserve">Delivery &amp; Basic Network Services for existing Key Acccount is to be handled in accordance with the terms of the master agreement. </t>
  </si>
  <si>
    <t xml:space="preserve">Delivery &amp; Basic Network Services are included in the prices provided.  They do not need to billed separately.  </t>
  </si>
  <si>
    <t>The attached pricing has been specifically approved for the stated entity only.  This pricing shall not be offered or extended to any subsidiary, member, affiliate or any other entity, except for the specific entity stated herein, without the prior written consent of Konica Minolta Business Solutions U.S.A., Inc.  This is true regardless and irrespective of any and all terms and conditions contained in any past, current or future agreements, which may conflict with this statement.</t>
  </si>
  <si>
    <t>Professional services with a price of $1 - require a quote- purchase price is not $1.</t>
  </si>
  <si>
    <t>Item Number</t>
  </si>
  <si>
    <t>Item Description</t>
  </si>
  <si>
    <t>DD1361</t>
  </si>
  <si>
    <t/>
  </si>
  <si>
    <t>PAPER SUPPLY OPTION:</t>
  </si>
  <si>
    <t>DD1667</t>
  </si>
  <si>
    <t>PF-508 Paper Cassette (500-sheet)</t>
  </si>
  <si>
    <t>DD1668</t>
  </si>
  <si>
    <t>JS-604 External Job Separator</t>
  </si>
  <si>
    <t>56540</t>
  </si>
  <si>
    <t>SCD- 26L Paper Storage Cabinet - Large</t>
  </si>
  <si>
    <t>56530</t>
  </si>
  <si>
    <t>SCD-26S Paper Storage Cabinet - Small</t>
  </si>
  <si>
    <t>DD1631</t>
  </si>
  <si>
    <t>PS-505 Postscript 3 Enabler</t>
  </si>
  <si>
    <t>DD1632</t>
  </si>
  <si>
    <t>BC-904 Barcode Printing/OCR Enabler</t>
  </si>
  <si>
    <t>DD1633</t>
  </si>
  <si>
    <t>PS-506 Postscript 3/Barcode Printing/OCR Enabler</t>
  </si>
  <si>
    <t>DD1634</t>
  </si>
  <si>
    <t>EM-905 Postscript Memory Upgrade (1GB)</t>
  </si>
  <si>
    <t>MISC. OPTIONS:</t>
  </si>
  <si>
    <t>SX4600WAN</t>
  </si>
  <si>
    <t>SX-4600WAN Wireless LAN Adaptor</t>
  </si>
  <si>
    <t>DD1630</t>
  </si>
  <si>
    <t>SP-504 Fax Stamp Kit</t>
  </si>
  <si>
    <t>7640014749</t>
  </si>
  <si>
    <t>ESP Power Filter Next Gen PCS 120V/15A</t>
  </si>
  <si>
    <t>7640013463</t>
  </si>
  <si>
    <t>CS-1 Convenience Stapler</t>
  </si>
  <si>
    <t>7640015039</t>
  </si>
  <si>
    <t>Mechanical Page Counter</t>
  </si>
  <si>
    <t>DD25EF</t>
  </si>
  <si>
    <t>bizhub 25e French Overlay Kit</t>
  </si>
  <si>
    <t>DD25ES</t>
  </si>
  <si>
    <t>bizhub 25e Spanish Overlay Kit</t>
  </si>
  <si>
    <t>7640018460</t>
  </si>
  <si>
    <t>Networking Fee</t>
  </si>
  <si>
    <t>7640015255</t>
  </si>
  <si>
    <t>Professional Services Project Fee</t>
  </si>
  <si>
    <t>OUTPUT OPTIONS:</t>
  </si>
  <si>
    <t>AU-201H HID Proximity Card Authentication Unit</t>
  </si>
  <si>
    <t>AU-202H iClass Card Reader</t>
  </si>
  <si>
    <t>FAX OPTIONS:</t>
  </si>
  <si>
    <t>A3PE011</t>
  </si>
  <si>
    <t>A3JHWY1</t>
  </si>
  <si>
    <t>DF-625 ADFR</t>
  </si>
  <si>
    <t>A4M4WY1</t>
  </si>
  <si>
    <t>OC-512 Original Cover</t>
  </si>
  <si>
    <t>PAPER SUPPLY OPTIONS:</t>
  </si>
  <si>
    <t>A3PFWY1</t>
  </si>
  <si>
    <t>PF-507 Paper Cassette (250-Sheet)</t>
  </si>
  <si>
    <t>A3PHWY1</t>
  </si>
  <si>
    <t>MB-505 Bypass Tray (100-Sheet)</t>
  </si>
  <si>
    <t>A3PGWY1</t>
  </si>
  <si>
    <t>AD-509 Automatic Duplex Unit</t>
  </si>
  <si>
    <t>7640017023</t>
  </si>
  <si>
    <t>DK-707 Copy Desk</t>
  </si>
  <si>
    <t>7640017520</t>
  </si>
  <si>
    <t>DK-708 Small Copy Desk</t>
  </si>
  <si>
    <t>A4M1WY1</t>
  </si>
  <si>
    <t>IC-209 Image Controller PCL/NIC</t>
  </si>
  <si>
    <t>A4M3WY1</t>
  </si>
  <si>
    <t>NC-504 Network Card - NIC</t>
  </si>
  <si>
    <t>A4M2011</t>
  </si>
  <si>
    <t>FK-510 Fax Kit</t>
  </si>
  <si>
    <t>A4M6WY1</t>
  </si>
  <si>
    <t>MK-733 Panel Extension</t>
  </si>
  <si>
    <t>A3PMWY1</t>
  </si>
  <si>
    <t>OC- 511 Original Cover</t>
  </si>
  <si>
    <t>A3CFWY1</t>
  </si>
  <si>
    <t>DF-624 Reverse Automatic Document Feeder</t>
  </si>
  <si>
    <t>A3CEWY1</t>
  </si>
  <si>
    <t>DF-701 Single Pass Dual Scan Document Feeder</t>
  </si>
  <si>
    <t>A2XM013</t>
  </si>
  <si>
    <t>PC-410 Large Capacity Cassette</t>
  </si>
  <si>
    <t>A2XMWY2</t>
  </si>
  <si>
    <t>PC-210 2-way Paper Feed Cabinet</t>
  </si>
  <si>
    <t>A2XMWY1</t>
  </si>
  <si>
    <t>PC-110 Paper Feed Cabinet</t>
  </si>
  <si>
    <t>DK-510 Copy Desk</t>
  </si>
  <si>
    <t>A2YVWY1</t>
  </si>
  <si>
    <t>JS-506 Job Separator Tray</t>
  </si>
  <si>
    <t>A2YUWY1</t>
  </si>
  <si>
    <t>FS-533 Inner Finisher</t>
  </si>
  <si>
    <t>A3EUW11</t>
  </si>
  <si>
    <t>PK-519 2/3 Hole Punch Unit (FS-533)</t>
  </si>
  <si>
    <t>A3ETW11</t>
  </si>
  <si>
    <t>PK-520 2/3 Hole Punch Unit (FS-534)</t>
  </si>
  <si>
    <t>A4MF012</t>
  </si>
  <si>
    <t>FK-511 Fax Kit</t>
  </si>
  <si>
    <t>SP-501 Fax Stamp Unit</t>
  </si>
  <si>
    <t>Spare TX Marker Stamp 2</t>
  </si>
  <si>
    <t>A4NPWY1</t>
  </si>
  <si>
    <t>MK-728 Mount Kit (3rd&amp;4th Fax Line Mount Kit)</t>
  </si>
  <si>
    <t>A22M011</t>
  </si>
  <si>
    <t>FK-508 Fax Board</t>
  </si>
  <si>
    <t>i-OPTION ACCESSORIES:</t>
  </si>
  <si>
    <t>A0PD01H</t>
  </si>
  <si>
    <t>LK-101 v3 i-Option License Kit (Web Browser)</t>
  </si>
  <si>
    <t>A0PD016</t>
  </si>
  <si>
    <t>LK-102 v3 i-Option License Kit (Encrypted PDF, PDF/A, Linearized PDF)</t>
  </si>
  <si>
    <t>A0PD017</t>
  </si>
  <si>
    <t>LK-104 v3 i-Option License Kiit (Voice Guidance)</t>
  </si>
  <si>
    <t>A0PD018</t>
  </si>
  <si>
    <t>LK-105 v3 (Searchable PDF)</t>
  </si>
  <si>
    <t>A0PD019</t>
  </si>
  <si>
    <t>LK-106 i-Option License Kit (Bar Code Font)</t>
  </si>
  <si>
    <t>A0PD01F</t>
  </si>
  <si>
    <t>LK-107 i-Option License Kit (Unicode Font)</t>
  </si>
  <si>
    <t>A0PD01G</t>
  </si>
  <si>
    <t>LK-108 i-Option License Kit (OCR Font)</t>
  </si>
  <si>
    <t>A0PD01J</t>
  </si>
  <si>
    <t>LK-110 i-Option License kit (OOXML File Conversion,Enhanced Image Data)</t>
  </si>
  <si>
    <t>A0PD01K</t>
  </si>
  <si>
    <t>LK-111 i-Option License Kit (ThinPrint Client Support)</t>
  </si>
  <si>
    <t>A4MHWY1</t>
  </si>
  <si>
    <t>UK-204 i-Option Memory Upgrade Kit</t>
  </si>
  <si>
    <t>A0X9WY1</t>
  </si>
  <si>
    <t xml:space="preserve">AU-102 Biometric Authentication Unit </t>
  </si>
  <si>
    <t>AU-204H Mag Stripe Card Reader</t>
  </si>
  <si>
    <t>A4MEWY1</t>
  </si>
  <si>
    <t>MK-730 Banner Paper Guide</t>
  </si>
  <si>
    <t>A4NMWY1</t>
  </si>
  <si>
    <t>MK-735 Mount Kit  (IC Card Internal Mount Kit)</t>
  </si>
  <si>
    <t>A4MJWY2</t>
  </si>
  <si>
    <t>EK-606 Local USB Interface Kit</t>
  </si>
  <si>
    <t>A4MKWY2</t>
  </si>
  <si>
    <t>EK-607 Local USB Interface Kit</t>
  </si>
  <si>
    <t>External Keyboard</t>
  </si>
  <si>
    <t>A64TWY1</t>
  </si>
  <si>
    <t>KP-101 10-Key Pad</t>
  </si>
  <si>
    <t>A4NRWY1</t>
  </si>
  <si>
    <t>KH-102 Keyboard Holder</t>
  </si>
  <si>
    <t>A0W4WY2</t>
  </si>
  <si>
    <t>WT-506 Working Table</t>
  </si>
  <si>
    <t>Key Counter Mount Kit 1 for Hecon Conventional Counter</t>
  </si>
  <si>
    <t>HID Proximity Cards - 10 pack</t>
  </si>
  <si>
    <t>A4MMWY1</t>
  </si>
  <si>
    <t>SC-508 Security Kit (Copy Guard/Password Protect)</t>
  </si>
  <si>
    <t>A161192000</t>
  </si>
  <si>
    <t>Stylus Pen for INFO-Palette Series</t>
  </si>
  <si>
    <t>7640015657</t>
  </si>
  <si>
    <t>bizhub SECURE</t>
  </si>
  <si>
    <t>A61G011</t>
  </si>
  <si>
    <t>PROFESSIONAL SERVICES:</t>
  </si>
  <si>
    <t>A61F011</t>
  </si>
  <si>
    <t>A61E011</t>
  </si>
  <si>
    <t>A0TJWY4</t>
  </si>
  <si>
    <t>LU-204 Large Capacity Unit</t>
  </si>
  <si>
    <t>A03NWY2</t>
  </si>
  <si>
    <t>LU-301 Large Capacity Unit</t>
  </si>
  <si>
    <t>A10CWY1</t>
  </si>
  <si>
    <t>JS-602  Job Separator Tray (3rd Output Tray)</t>
  </si>
  <si>
    <t>A4MDWY1</t>
  </si>
  <si>
    <t>OT-506 Output Tray</t>
  </si>
  <si>
    <t>A2Y2WY1</t>
  </si>
  <si>
    <t>SD-512 Saddle Stitcher (FS-535)</t>
  </si>
  <si>
    <t>A61D011</t>
  </si>
  <si>
    <t>A10AWY1</t>
  </si>
  <si>
    <t>PI-505 Post Inserter for FS-526</t>
  </si>
  <si>
    <t>A2Y1WY1</t>
  </si>
  <si>
    <t>FS-535 100-Sheet Stapling Finisher</t>
  </si>
  <si>
    <t>A2YRW11</t>
  </si>
  <si>
    <t>PK-521 2/3 Hole Punch Unit (FS-535)</t>
  </si>
  <si>
    <t>A109W12</t>
  </si>
  <si>
    <t>ZU-606 Z-Folding Unit (FS-535)</t>
  </si>
  <si>
    <t>A5YN017</t>
  </si>
  <si>
    <t>A092WW1</t>
  </si>
  <si>
    <t>OT-503 Output Tray</t>
  </si>
  <si>
    <t>FAX / SCAN OPTIONS:</t>
  </si>
  <si>
    <t>A0YCWY3</t>
  </si>
  <si>
    <t>EK-605 USB Host Board (Local Interface Kit) with Bluetooth Printing Support</t>
  </si>
  <si>
    <t>A0YCWY4</t>
  </si>
  <si>
    <t>EK-604 USB Host Board (Local Interface Kit)</t>
  </si>
  <si>
    <t>A55V017</t>
  </si>
  <si>
    <t>A4EW011</t>
  </si>
  <si>
    <t>7640014688</t>
  </si>
  <si>
    <t>Basic Professional Services - Level 1</t>
  </si>
  <si>
    <t>A4EYWY1</t>
  </si>
  <si>
    <t>PF-706 Large capacity paper feed unit</t>
  </si>
  <si>
    <t>A4F0WY1</t>
  </si>
  <si>
    <t>LU-409 Large capacity paper feed unit (letter size)</t>
  </si>
  <si>
    <t>A4F1WY1</t>
  </si>
  <si>
    <t>LU-410 Large capacity paper feed unit (12x18)</t>
  </si>
  <si>
    <t>A08RWY1</t>
  </si>
  <si>
    <t>PP-701 Pre-Printed Paper Feed Enhance Kit (For PF-701 and PF-702)</t>
  </si>
  <si>
    <t>FS-532 100 sheet staple finisher</t>
  </si>
  <si>
    <t>A4F4WY1</t>
  </si>
  <si>
    <t>SD-510 Saddle Stitch Kit</t>
  </si>
  <si>
    <t>A4FAW11</t>
  </si>
  <si>
    <t>PK-522 punch kit</t>
  </si>
  <si>
    <t>A4F8WY2</t>
  </si>
  <si>
    <t>ZU-608 Z-folding unit</t>
  </si>
  <si>
    <t>A4F5WY1</t>
  </si>
  <si>
    <t>MK-732 (mount kit for PI-502)</t>
  </si>
  <si>
    <t>A5A8WY1</t>
  </si>
  <si>
    <t>UK-205 (upgrade kit for eCopy)</t>
  </si>
  <si>
    <t>A04HWY2</t>
  </si>
  <si>
    <t>PI-502 Multi-Post Inserter</t>
  </si>
  <si>
    <t>A4F6W11</t>
  </si>
  <si>
    <t>GP-502 Ring Binder</t>
  </si>
  <si>
    <t>A4F7WY1</t>
  </si>
  <si>
    <t>RB-101 Binding Element for GP-502 - BLACK (1,000 pcs)</t>
  </si>
  <si>
    <t>A4F7WY2</t>
  </si>
  <si>
    <t>RB-101 Binding Element for GP-502 - CLEAR (1,000 pcs)</t>
  </si>
  <si>
    <t>A4F7WY3</t>
  </si>
  <si>
    <t>RB-101 Binding Element for GP-502 - WHITE (1,000 pcs)</t>
  </si>
  <si>
    <t>A4F7WY4</t>
  </si>
  <si>
    <t>RB-101 Binding Element for GP-502 - NAVY (1,000 pcs)</t>
  </si>
  <si>
    <t>A0N9W11</t>
  </si>
  <si>
    <t>GP-501 GBC Punch Unit (punch dies sold separately)</t>
  </si>
  <si>
    <t>A0NAW11</t>
  </si>
  <si>
    <t>DS-501 3 Hole Punch Die</t>
  </si>
  <si>
    <t>A0NCW11</t>
  </si>
  <si>
    <t>DS-502 19 Hole Cerlox Punch Die</t>
  </si>
  <si>
    <t>A0NDW11</t>
  </si>
  <si>
    <t>DS-503 32 Hole Wirebind Punch Die</t>
  </si>
  <si>
    <t>A0NEW11</t>
  </si>
  <si>
    <t>DS-504 21 Hole Wirebind Punch Die</t>
  </si>
  <si>
    <t>A0NFW11</t>
  </si>
  <si>
    <t>DS-505 44 Hole Color Coil Punch Die</t>
  </si>
  <si>
    <t>A0NGW11</t>
  </si>
  <si>
    <t>DS-506 11 Hole Velobind Punch Die</t>
  </si>
  <si>
    <t>A0NHW11</t>
  </si>
  <si>
    <t>DS-507 32 Hole Proclick Punch Die</t>
  </si>
  <si>
    <t>A0W5WY1</t>
  </si>
  <si>
    <t>HD-511 Removable HDD Inner Case Kit for 1200/1051</t>
  </si>
  <si>
    <t>A0W6WY2</t>
  </si>
  <si>
    <t>RH-101 Removable HDD Kit</t>
  </si>
  <si>
    <t>A4EV011</t>
  </si>
  <si>
    <t>7640012599</t>
  </si>
  <si>
    <t>Basic Professional Services - Level 3</t>
  </si>
  <si>
    <t>A0GDWY1</t>
  </si>
  <si>
    <t>PF-703 Vacuum Paper Feed Unit / PI-PFU (5,000 sheets)</t>
  </si>
  <si>
    <t>A0GFWY1</t>
  </si>
  <si>
    <t>FA-501 PI-PFU Connection Kit</t>
  </si>
  <si>
    <t>A15AWY1</t>
  </si>
  <si>
    <t>HT-505 Dehumidifier/Heater for PFU</t>
  </si>
  <si>
    <t>A0H0W11</t>
  </si>
  <si>
    <t>FD-503 Multi Folding Unit</t>
  </si>
  <si>
    <t>A0H1W12</t>
  </si>
  <si>
    <t>LS-505 Large Capacity Stacker (includes one LC-501)</t>
  </si>
  <si>
    <t>A0H2WY2</t>
  </si>
  <si>
    <t>SD-506 Saddle Stitch Unit</t>
  </si>
  <si>
    <t>A15XW12</t>
  </si>
  <si>
    <t>PB-503 Perfect Binder</t>
  </si>
  <si>
    <t>A1AHWY1</t>
  </si>
  <si>
    <t>LC-501 Additional Cart for LS-505</t>
  </si>
  <si>
    <t>A2A2W12</t>
  </si>
  <si>
    <t>RU-509 Relay/Buffer Pass Unit</t>
  </si>
  <si>
    <t>A2A3WY2</t>
  </si>
  <si>
    <t>HM-102 Humidifier Kit</t>
  </si>
  <si>
    <t>A4F2WY1</t>
  </si>
  <si>
    <t>EF-102 Envelope Fusing Unit</t>
  </si>
  <si>
    <t>A4FCWY1</t>
  </si>
  <si>
    <t>RU-510 Relay Unit</t>
  </si>
  <si>
    <t>HDD OPTIONS:</t>
  </si>
  <si>
    <t>A5C4011</t>
  </si>
  <si>
    <t>PRINT CONTROLLER OPTIONS:</t>
  </si>
  <si>
    <t>A4FRWY2</t>
  </si>
  <si>
    <t xml:space="preserve">IC-414 Fiery Image Controller </t>
  </si>
  <si>
    <t>A4MGWY1</t>
  </si>
  <si>
    <t>VI-506 Video Interface Card</t>
  </si>
  <si>
    <t>EFI Hot Folders</t>
  </si>
  <si>
    <t>EFI AutoTrap</t>
  </si>
  <si>
    <t>ES-2000 Spectrophotometer</t>
  </si>
  <si>
    <t>EFI Fiery SeeQuence Impose</t>
  </si>
  <si>
    <t>EFI Fiery SeeQuence Compose</t>
  </si>
  <si>
    <t>EFI Fiery SeeQuence Impose+Compose Suite</t>
  </si>
  <si>
    <t>Fiery Color Profiler Suite V 4.0 with ES-2000 Spectrophotometer</t>
  </si>
  <si>
    <t>EFI IC-414 Productivity Package</t>
  </si>
  <si>
    <t>A5C0011</t>
  </si>
  <si>
    <t>A5AY011</t>
  </si>
  <si>
    <t>A2X1017</t>
  </si>
  <si>
    <t>PRINT CONTROLLER OPTIONS :</t>
  </si>
  <si>
    <t>A2X0017</t>
  </si>
  <si>
    <t>7640012635</t>
  </si>
  <si>
    <t>Basic Professional Services- EFI/Creo Training</t>
  </si>
  <si>
    <t>7640015254</t>
  </si>
  <si>
    <t>Professional Services- EFI Graphics Arts Training</t>
  </si>
  <si>
    <t>7640015253</t>
  </si>
  <si>
    <t>Professional Services- Advanced Production Training</t>
  </si>
  <si>
    <t>A1TVWY1</t>
  </si>
  <si>
    <t>FS-612 Booklet Finisher</t>
  </si>
  <si>
    <t>A15XW11</t>
  </si>
  <si>
    <t>A04HWY1</t>
  </si>
  <si>
    <t>PI-502 Cover Inserter (or FS-612, FS-531)</t>
  </si>
  <si>
    <t>A04F0Y1</t>
  </si>
  <si>
    <t>PK-512 2/3 Hole Punch (for FS-612, FS-531)</t>
  </si>
  <si>
    <t xml:space="preserve">PRINT CONTROLLER OPTIONS: </t>
  </si>
  <si>
    <t>IC-307 Universal Stand</t>
  </si>
  <si>
    <t>Color Care 2 Suite  Bundle with bizhub Press</t>
  </si>
  <si>
    <t>KMCURVECORE</t>
  </si>
  <si>
    <t>Color Care Curve Core Optional Tool</t>
  </si>
  <si>
    <t>760000002917</t>
  </si>
  <si>
    <t>FD-5,HARDWARE ONLY</t>
  </si>
  <si>
    <t>XRITE I1 ISIS XL SPECTRO SCANNER</t>
  </si>
  <si>
    <t>EO2AST</t>
  </si>
  <si>
    <t>i1iO AUTOMATED SCANNING TABLE 2ND GEN</t>
  </si>
  <si>
    <t>EO2BAS</t>
  </si>
  <si>
    <t xml:space="preserve">i1Pro 2 SPECTROPHOTOMETER </t>
  </si>
  <si>
    <t>GTI PDV3EKM Lightbox</t>
  </si>
  <si>
    <t>GTI L217 Relamp Kit for PDV Lightboxes</t>
  </si>
  <si>
    <t>EFI Color Profiler Suite V4.x Software Only</t>
  </si>
  <si>
    <t>SB Kit Fiery CPS Upgrade V3.X To V4.0</t>
  </si>
  <si>
    <t>7640015694</t>
  </si>
  <si>
    <t>7640015693</t>
  </si>
  <si>
    <t>7640015695</t>
  </si>
  <si>
    <t>7640015983</t>
  </si>
  <si>
    <t>Color Care Professional Service 1 day</t>
  </si>
  <si>
    <t>7640012601</t>
  </si>
  <si>
    <t>Basic Professional Services - Level 5</t>
  </si>
  <si>
    <t>A1RKWY1</t>
  </si>
  <si>
    <t>HT-506 Heater Dehumidifier for PF-704/PF-705</t>
  </si>
  <si>
    <t>A1TUWY1</t>
  </si>
  <si>
    <r>
      <t>PROFESSIONAL SERVICES:</t>
    </r>
    <r>
      <rPr>
        <i/>
        <sz val="11"/>
        <rFont val="Calibri"/>
        <family val="2"/>
        <scheme val="minor"/>
      </rPr>
      <t xml:space="preserve"> </t>
    </r>
  </si>
  <si>
    <t xml:space="preserve">Document Handling Options: </t>
  </si>
  <si>
    <t>OC-511 Original Cover</t>
  </si>
  <si>
    <t xml:space="preserve">Paper Supply Options: </t>
  </si>
  <si>
    <t xml:space="preserve">Output Options: </t>
  </si>
  <si>
    <t>PK-520 Punch Kit (2/3 Holes) for FS-534</t>
  </si>
  <si>
    <t xml:space="preserve">Fax / Scan Options: </t>
  </si>
  <si>
    <t>Spare Tx Marker Stamp 2</t>
  </si>
  <si>
    <t>Fax Kit (Fax Line 3, Fax Line 4)</t>
  </si>
  <si>
    <t>Fax Mount Kit (for FK-508)</t>
  </si>
  <si>
    <t xml:space="preserve">Security Options: </t>
  </si>
  <si>
    <t>HID Proximity Card 10 Pack</t>
  </si>
  <si>
    <t>AU-202H HID iClass Card Authentication Unit</t>
  </si>
  <si>
    <t xml:space="preserve">Misc. Options: </t>
  </si>
  <si>
    <t>LK-102 V3 - i-Option License Kit (Enhanced PDF Encryption, PDF/A, Linearized PDF)</t>
  </si>
  <si>
    <t>LK-104 v3 - i-Option License Kit (Voice Guidance)</t>
  </si>
  <si>
    <t>LK-105 v3 - i-Option License Kit (Searchable PDF)</t>
  </si>
  <si>
    <t>LK-106 - i-Option License Kit (Bar Code Font)</t>
  </si>
  <si>
    <t>LK-107 - i-Option License Kit (Unicode)</t>
  </si>
  <si>
    <t>LK-108 - i-Option License Kit (OCR Font)</t>
  </si>
  <si>
    <t>LK-101 v3 - i-Option License Kit (Web Browser)</t>
  </si>
  <si>
    <t>LK-110 - i-Option License kit (OOXML File Conversion, Enhanced Image Data)</t>
  </si>
  <si>
    <t>LK-111 - i-Option License Kit (ThinPrint Client Support)</t>
  </si>
  <si>
    <t>WT-506 - Working Table</t>
  </si>
  <si>
    <t>AU-102 - Biometric Authentication Unit</t>
  </si>
  <si>
    <t>INFO-Palette Stylus PenStylus Pen for INFO-Palette Series</t>
  </si>
  <si>
    <t>UK-204 - 2 GB Memory Upgrade Kit (for i-Option)</t>
  </si>
  <si>
    <t>EK-606 - USB Host Board (Local Interface Kit)</t>
  </si>
  <si>
    <t>EK-607 - USB Host Board (Local Interface Kit) with Bluetooth Printing Support</t>
  </si>
  <si>
    <t>SC-508 - Copy Guard Kit</t>
  </si>
  <si>
    <t>MK-735 - Mount Kit (Internally mounts AU-201H or AU-202H Card Authentication Unit)</t>
  </si>
  <si>
    <t>KH-102 - Keyboard Holder (for External Keyboard)</t>
  </si>
  <si>
    <r>
      <t>PAPER SUPPLY OPTIONS:</t>
    </r>
    <r>
      <rPr>
        <b/>
        <i/>
        <sz val="11"/>
        <color indexed="30"/>
        <rFont val="Calibri"/>
        <family val="2"/>
        <scheme val="minor"/>
      </rPr>
      <t xml:space="preserve"> Select one</t>
    </r>
  </si>
  <si>
    <t>MK-730 Banner paper Guide</t>
  </si>
  <si>
    <t>i-Option ACCESSORIES:</t>
  </si>
  <si>
    <r>
      <t>PROFESSIONAL SERVICES:</t>
    </r>
    <r>
      <rPr>
        <i/>
        <sz val="9"/>
        <rFont val="Arial"/>
        <family val="2"/>
      </rPr>
      <t/>
    </r>
  </si>
  <si>
    <r>
      <t xml:space="preserve">DOCUMENT HANDLING OPTIONS: </t>
    </r>
    <r>
      <rPr>
        <b/>
        <sz val="11"/>
        <color indexed="30"/>
        <rFont val="Calibri"/>
        <family val="2"/>
        <scheme val="minor"/>
      </rPr>
      <t>Select one</t>
    </r>
  </si>
  <si>
    <r>
      <t xml:space="preserve">PAPER SUPPLY OPTIONS: </t>
    </r>
    <r>
      <rPr>
        <b/>
        <sz val="11"/>
        <color indexed="30"/>
        <rFont val="Calibri"/>
        <family val="2"/>
        <scheme val="minor"/>
      </rPr>
      <t>Select one</t>
    </r>
  </si>
  <si>
    <r>
      <t>PROFESSIONAL SERVICES:</t>
    </r>
    <r>
      <rPr>
        <sz val="11"/>
        <rFont val="Calibri"/>
        <family val="2"/>
        <scheme val="minor"/>
      </rPr>
      <t xml:space="preserve"> </t>
    </r>
  </si>
  <si>
    <r>
      <t>PAPER SUPPLY OPTIONS:</t>
    </r>
    <r>
      <rPr>
        <b/>
        <sz val="11"/>
        <color indexed="30"/>
        <rFont val="Calibri"/>
        <family val="2"/>
        <scheme val="minor"/>
      </rPr>
      <t xml:space="preserve"> Select one</t>
    </r>
  </si>
  <si>
    <t>7640018680</t>
  </si>
  <si>
    <t>DK-510 Enhanced Copy Desk</t>
  </si>
  <si>
    <t>Optional Accessories</t>
  </si>
  <si>
    <t>XGPCS15DKM</t>
  </si>
  <si>
    <t>ESP Diagnostic Power Filter 120V/15A</t>
  </si>
  <si>
    <t>XGPCS20DKM</t>
  </si>
  <si>
    <t>ESP Diagnostic Power Filter 120V/20A</t>
  </si>
  <si>
    <t>STATE OF MISSISSIPPI</t>
  </si>
  <si>
    <t>COST-PER-COPY MAINTENANCE (SIN 51-57) - Includes all Supplies - 2 Click Charge for 11" x 17"</t>
  </si>
  <si>
    <t>Mo. Copy 
Volume</t>
  </si>
  <si>
    <t>N/A</t>
  </si>
  <si>
    <t>Mo. Color 
Volume</t>
  </si>
  <si>
    <t>MS Base 
Mo. Cost</t>
  </si>
  <si>
    <t>MS 
Overage</t>
  </si>
  <si>
    <t>MS Color
Overage</t>
  </si>
  <si>
    <t>MS All 
B/W Copies</t>
  </si>
  <si>
    <r>
      <t>COST-PER-COPY MAINTENANCE (SIN 51-57)</t>
    </r>
    <r>
      <rPr>
        <b/>
        <sz val="10"/>
        <color indexed="9"/>
        <rFont val="Calibri"/>
        <family val="2"/>
      </rPr>
      <t xml:space="preserve"> </t>
    </r>
    <r>
      <rPr>
        <b/>
        <sz val="14"/>
        <color indexed="9"/>
        <rFont val="Calibri"/>
        <family val="2"/>
      </rPr>
      <t xml:space="preserve">
</t>
    </r>
    <r>
      <rPr>
        <b/>
        <sz val="10"/>
        <color indexed="9"/>
        <rFont val="Calibri"/>
        <family val="2"/>
      </rPr>
      <t xml:space="preserve">Color Based - Includes all Supplies </t>
    </r>
  </si>
  <si>
    <r>
      <t xml:space="preserve">COST-PER-COPY MAINTENANCE (SIN 51-57) </t>
    </r>
    <r>
      <rPr>
        <b/>
        <sz val="14"/>
        <color indexed="9"/>
        <rFont val="Calibri"/>
        <family val="2"/>
      </rPr>
      <t xml:space="preserve">
</t>
    </r>
    <r>
      <rPr>
        <b/>
        <sz val="10"/>
        <color indexed="9"/>
        <rFont val="Calibri"/>
        <family val="2"/>
      </rPr>
      <t xml:space="preserve">B/W Based - Includes all Supplies </t>
    </r>
  </si>
  <si>
    <t>Mo. B/W
Volume</t>
  </si>
  <si>
    <t>All 11" x 17" prints/copies will be charged for 2 clicks</t>
  </si>
  <si>
    <r>
      <t xml:space="preserve">COST-PER-COPY MAINTENANCE </t>
    </r>
    <r>
      <rPr>
        <b/>
        <sz val="14"/>
        <color indexed="9"/>
        <rFont val="Calibri"/>
        <family val="2"/>
      </rPr>
      <t xml:space="preserve">
</t>
    </r>
    <r>
      <rPr>
        <b/>
        <sz val="10"/>
        <color indexed="9"/>
        <rFont val="Calibri"/>
        <family val="2"/>
      </rPr>
      <t xml:space="preserve">Color Based - Includes all Supplies </t>
    </r>
  </si>
  <si>
    <r>
      <t xml:space="preserve">COST-PER-COPY MAINTENANCE </t>
    </r>
    <r>
      <rPr>
        <b/>
        <sz val="14"/>
        <color indexed="9"/>
        <rFont val="Calibri"/>
        <family val="2"/>
      </rPr>
      <t xml:space="preserve">
</t>
    </r>
    <r>
      <rPr>
        <b/>
        <sz val="10"/>
        <color indexed="9"/>
        <rFont val="Calibri"/>
        <family val="2"/>
      </rPr>
      <t xml:space="preserve">B/W Based - Includes all Supplies </t>
    </r>
  </si>
  <si>
    <t>C454e Maintenance</t>
  </si>
  <si>
    <t>C554e Maintenance</t>
  </si>
  <si>
    <t>C654e Maintenance</t>
  </si>
  <si>
    <t>C754e Maintenance</t>
  </si>
  <si>
    <r>
      <t>COST-PER-COPY MAINTENANCE</t>
    </r>
    <r>
      <rPr>
        <b/>
        <sz val="14"/>
        <color indexed="9"/>
        <rFont val="Calibri"/>
        <family val="2"/>
      </rPr>
      <t xml:space="preserve">
</t>
    </r>
    <r>
      <rPr>
        <b/>
        <sz val="10"/>
        <color indexed="9"/>
        <rFont val="Calibri"/>
        <family val="2"/>
      </rPr>
      <t xml:space="preserve">B/W Based - Includes all Supplies </t>
    </r>
  </si>
  <si>
    <t>Description</t>
  </si>
  <si>
    <t>Mo. Maint</t>
  </si>
  <si>
    <t>Booklet Finisher (SD)</t>
  </si>
  <si>
    <t>Folding OR Stacker (FD or LS)</t>
  </si>
  <si>
    <t>Perfect Binder (PB)</t>
  </si>
  <si>
    <t>MicroPress</t>
  </si>
  <si>
    <t>C224e Maintenance</t>
  </si>
  <si>
    <t>C3350 Maintenance</t>
  </si>
  <si>
    <t>C3850 Maintenance</t>
  </si>
  <si>
    <t>C1060/C1060L Maintenance</t>
  </si>
  <si>
    <t>C1070 Maintenance</t>
  </si>
  <si>
    <t>A3GN011</t>
  </si>
  <si>
    <t>A4Y6WY1</t>
  </si>
  <si>
    <t>PF-P13 Paper Feed Unit</t>
  </si>
  <si>
    <t>9967002766</t>
  </si>
  <si>
    <t>DK-P03 Copy Desk</t>
  </si>
  <si>
    <t>A6VDWY1</t>
  </si>
  <si>
    <t>FS-P03 Finisher</t>
  </si>
  <si>
    <t>A6VCWY1</t>
  </si>
  <si>
    <t>WT-P02 Working Table</t>
  </si>
  <si>
    <t>A4Y4011</t>
  </si>
  <si>
    <t>7640012602</t>
  </si>
  <si>
    <t>Basic Professional Services - Level 4</t>
  </si>
  <si>
    <t>A03WWW0</t>
  </si>
  <si>
    <t>LU-202 Large Capacity Tray (2.5K)</t>
  </si>
  <si>
    <t>A0410Y0</t>
  </si>
  <si>
    <t>HT-503 Heater for LU-202</t>
  </si>
  <si>
    <t>A0430Y0</t>
  </si>
  <si>
    <t>OT-502 Exit Tray</t>
  </si>
  <si>
    <t>A2A4WY1</t>
  </si>
  <si>
    <t>FS-531 50 Sheet Stapling Finisher</t>
  </si>
  <si>
    <t>LES402A</t>
  </si>
  <si>
    <t>Patlite Status Light for bizhub PRESS Models</t>
  </si>
  <si>
    <t>XGPCSL630KM</t>
  </si>
  <si>
    <t>ESP Diagnostic Power Filter 240V/30A</t>
  </si>
  <si>
    <t>A5VM011X001</t>
  </si>
  <si>
    <t>A5VM011X002</t>
  </si>
  <si>
    <t>A57WWY1</t>
  </si>
  <si>
    <t>MB-506 Multi-Bypass Tray</t>
  </si>
  <si>
    <t>A0HUWY2</t>
  </si>
  <si>
    <t>DF-626 Automatic Document Feeder</t>
  </si>
  <si>
    <t>A128WY2</t>
  </si>
  <si>
    <t>OC-509 Original Cover</t>
  </si>
  <si>
    <t>A57UWY1</t>
  </si>
  <si>
    <t>WT-511 Working Table</t>
  </si>
  <si>
    <t>A5VKWY1</t>
  </si>
  <si>
    <t>HT-511 Dehumidifier Heater</t>
  </si>
  <si>
    <t>A5AAWY1</t>
  </si>
  <si>
    <t>UK-206 Upgrade Kit (eCopy enabled)</t>
  </si>
  <si>
    <t>SMT1500</t>
  </si>
  <si>
    <t>APC Smart UPS 1500VA - Tower</t>
  </si>
  <si>
    <t>A50V011</t>
  </si>
  <si>
    <t>A0U4WY2</t>
  </si>
  <si>
    <t>PF-602 Paper Feed Unit</t>
  </si>
  <si>
    <t>A0410Y1</t>
  </si>
  <si>
    <t>HT-504 Heater for PF-602</t>
  </si>
  <si>
    <t>A55CWY1</t>
  </si>
  <si>
    <t>PF-707 Paper Feeder</t>
  </si>
  <si>
    <t>A0430Y2</t>
  </si>
  <si>
    <t>A4F3WY2</t>
  </si>
  <si>
    <t>FS-532 100 Sheet Staple Finisher</t>
  </si>
  <si>
    <t>A4FAW12</t>
  </si>
  <si>
    <t>PK-522 Punch Kit</t>
  </si>
  <si>
    <t>A4F6W12</t>
  </si>
  <si>
    <t>7714357</t>
  </si>
  <si>
    <t>GBC 3-Hole DuraGlide HD Die Set</t>
  </si>
  <si>
    <t>7714355</t>
  </si>
  <si>
    <t>GBC 19-Hole DuraGlide HD Die Set</t>
  </si>
  <si>
    <t>GBC 44-Hole Oval DuraGlide HD Die Set</t>
  </si>
  <si>
    <t>A5XJWY1</t>
  </si>
  <si>
    <t>UK-104 Upgrade Kit (Additional 500GB memory)</t>
  </si>
  <si>
    <t>A5URWY1</t>
  </si>
  <si>
    <t>IC-415 EFI Embedded Image Controller</t>
  </si>
  <si>
    <t>A5UTWY1</t>
  </si>
  <si>
    <t>IC-308 EFI Server Type Image Controller</t>
  </si>
  <si>
    <t>A5A90Y1</t>
  </si>
  <si>
    <t>IC-602A Image Controller (C1070, C1060, C1060L)</t>
  </si>
  <si>
    <t>IC-602B Image Controller (C1070P only)</t>
  </si>
  <si>
    <t>A5XHWY1</t>
  </si>
  <si>
    <t>UK-207 Upgrade Kit (APPE enabled)</t>
  </si>
  <si>
    <t>A5A7WY1</t>
  </si>
  <si>
    <t>VI-507 Video Interface Kit</t>
  </si>
  <si>
    <t>A50U011</t>
  </si>
  <si>
    <t>XGPCS20820DKM</t>
  </si>
  <si>
    <t>ESP Diagnostic Power Filter 208V/20A</t>
  </si>
  <si>
    <t>7640013468</t>
  </si>
  <si>
    <t>CARD READERS</t>
  </si>
  <si>
    <t>7640008394</t>
  </si>
  <si>
    <t>7640005064</t>
  </si>
  <si>
    <t>7640005261</t>
  </si>
  <si>
    <t>A732WY1</t>
  </si>
  <si>
    <t>MK-P02 Mount Kit for AU Unit</t>
  </si>
  <si>
    <t>A6EDW11</t>
  </si>
  <si>
    <t>FK-512 Fax Kit</t>
  </si>
  <si>
    <t>A6XXWY1</t>
  </si>
  <si>
    <t>MK-738 Mount Kit For Fax Unit</t>
  </si>
  <si>
    <t>MN803CC</t>
  </si>
  <si>
    <t>1G Memory Expansion</t>
  </si>
  <si>
    <t>A2A2W13</t>
  </si>
  <si>
    <t>7640017527</t>
  </si>
  <si>
    <t>A5XG0Y1</t>
  </si>
  <si>
    <t>A57VW11</t>
  </si>
  <si>
    <t>EF-103 Envelope Fusing</t>
  </si>
  <si>
    <t>45111156</t>
  </si>
  <si>
    <t xml:space="preserve">EFI Productivity Package S/W License </t>
  </si>
  <si>
    <t>45111134</t>
  </si>
  <si>
    <t>Fiery Impose</t>
  </si>
  <si>
    <t>45111136</t>
  </si>
  <si>
    <t xml:space="preserve">EFI Fiery Compose S/W License </t>
  </si>
  <si>
    <t>45111138</t>
  </si>
  <si>
    <t xml:space="preserve">EFI Fiery Impose-Compose S/W License </t>
  </si>
  <si>
    <t>45112179</t>
  </si>
  <si>
    <t>Fiery JobMaster</t>
  </si>
  <si>
    <t>45111153</t>
  </si>
  <si>
    <t xml:space="preserve">EFI Spot-On S/W License </t>
  </si>
  <si>
    <t>45111142</t>
  </si>
  <si>
    <t xml:space="preserve">EFI Hot Folders &amp; Virtual S/W License </t>
  </si>
  <si>
    <t>45111094</t>
  </si>
  <si>
    <t xml:space="preserve">EFI Auto Trap S/W License </t>
  </si>
  <si>
    <t>45111100</t>
  </si>
  <si>
    <t>EFI Fiery Gappe(GA2)</t>
  </si>
  <si>
    <t>45052707</t>
  </si>
  <si>
    <t>EFI HDD Security For PRO80</t>
  </si>
  <si>
    <t>45087436</t>
  </si>
  <si>
    <t>Furniture For Fiery Server Includes Stand, Keyboard, Monitor, And Mouse</t>
  </si>
  <si>
    <t>45125832</t>
  </si>
  <si>
    <t>EFI Option Bundle - 19inch FACI+CPS+Impose+Compose+Gappe</t>
  </si>
  <si>
    <t>100000006366</t>
  </si>
  <si>
    <t>Fiery JobMaster Annual Support &amp; Maintenance</t>
  </si>
  <si>
    <t>IC309</t>
  </si>
  <si>
    <t>Creo IC-309 Controller for C1070 Series</t>
  </si>
  <si>
    <t>63800214A</t>
  </si>
  <si>
    <t>Action Pack Option for Creo IC-309 and IC-309m</t>
  </si>
  <si>
    <t>63800212A</t>
  </si>
  <si>
    <t>Fast Pack Option for Creo IC-309 and IC-309m</t>
  </si>
  <si>
    <t>63800196A</t>
  </si>
  <si>
    <t>Match Pack Option for Creo IC-309</t>
  </si>
  <si>
    <t>63800862A</t>
  </si>
  <si>
    <t>Preps Pack Option for Creo IC-309 and IC-309m</t>
  </si>
  <si>
    <t>63800216A</t>
  </si>
  <si>
    <t>Trans Pack Option for Creo IC-309 and IC-309m</t>
  </si>
  <si>
    <t>7640013552</t>
  </si>
  <si>
    <t>7640019042</t>
  </si>
  <si>
    <t>bizhub PRESS Starter Kit</t>
  </si>
  <si>
    <t>ORU:</t>
  </si>
  <si>
    <t>7640019021</t>
  </si>
  <si>
    <t>ORU Replacement Starter Kit (C1070/C1060)</t>
  </si>
  <si>
    <t>7640018666</t>
  </si>
  <si>
    <t>ORU Operator Training (1 Day)</t>
  </si>
  <si>
    <t>CARD READERS:</t>
  </si>
  <si>
    <t>A5AX011</t>
  </si>
  <si>
    <t>7640018098</t>
  </si>
  <si>
    <t>Basic Network Service - BNS08</t>
  </si>
  <si>
    <t>A55DWY1</t>
  </si>
  <si>
    <t>HT-506 Heater Dehumidifier for PF-704/705/707/708</t>
  </si>
  <si>
    <t>A69EWY1</t>
  </si>
  <si>
    <t>FA-502 PI-PFU Connection Kit</t>
  </si>
  <si>
    <t>HM-101 Humidification Unit for RU-508/509/511</t>
  </si>
  <si>
    <t>A65YW11</t>
  </si>
  <si>
    <t>RU-511 Decurling Relay Unit</t>
  </si>
  <si>
    <t>A660WY1</t>
  </si>
  <si>
    <t>LS-506 Large Stacker Unit</t>
  </si>
  <si>
    <t>A1AHWY2</t>
  </si>
  <si>
    <t>GBC 44 Oval Hole Die for GP-501</t>
  </si>
  <si>
    <t>A6E0WY1</t>
  </si>
  <si>
    <t>WT-512 Working Table</t>
  </si>
  <si>
    <t>A6DXWY1</t>
  </si>
  <si>
    <t>UK-105 Upgrade Kit (Reqd whenever PF-708 is configured)</t>
  </si>
  <si>
    <t>A6CCWY1</t>
  </si>
  <si>
    <t>IC-310 Fiery Image Controller</t>
  </si>
  <si>
    <t>A6DU0Y1</t>
  </si>
  <si>
    <t>IC-602C KM Image Controller</t>
  </si>
  <si>
    <t>63900267A</t>
  </si>
  <si>
    <t>Trans Pack Option for Creo IC-312 and IC-312m</t>
  </si>
  <si>
    <t>IC312</t>
  </si>
  <si>
    <t>Creo IC-312 Controller for C1100 Series</t>
  </si>
  <si>
    <t>PATLITE STATUS LIGHT KIT FOR BIZHUB PRESS MODELS</t>
  </si>
  <si>
    <t>A6J6WY1</t>
  </si>
  <si>
    <t>OR-102 ORU Enablement Accesory Board</t>
  </si>
  <si>
    <t>A5AW011</t>
  </si>
  <si>
    <t>COLOR MANAGEMENT TOOLS:</t>
  </si>
  <si>
    <t>9967001680</t>
  </si>
  <si>
    <t>7640015017</t>
  </si>
  <si>
    <t>7640015919</t>
  </si>
  <si>
    <t>7640015921</t>
  </si>
  <si>
    <t>3000005452</t>
  </si>
  <si>
    <t>3000005453</t>
  </si>
  <si>
    <t>3000005455</t>
  </si>
  <si>
    <t>45109642</t>
  </si>
  <si>
    <t>G7 Advanced Color Integration (Digital or Offset)</t>
  </si>
  <si>
    <t>G7 Advanced Color Integration (Offset or Digital)</t>
  </si>
  <si>
    <t xml:space="preserve">G7 Advanced Color Integration (Digtal Only) - G7                     Master Re-Qualification ((Digital or Offset)   </t>
  </si>
  <si>
    <t>7640019184</t>
  </si>
  <si>
    <t>CMP FUNDAMENTALS</t>
  </si>
  <si>
    <t>7640019185</t>
  </si>
  <si>
    <t>CMP CREATIVE</t>
  </si>
  <si>
    <t>7640019186</t>
  </si>
  <si>
    <t>CMP SALES</t>
  </si>
  <si>
    <t>7640019187</t>
  </si>
  <si>
    <t>G7 NEW QUALIFICATION APPLICATION FEE</t>
  </si>
  <si>
    <t>7640019188</t>
  </si>
  <si>
    <t>G7 NETWORK MEMBERSHIP FEE (YEARLY DUES)</t>
  </si>
  <si>
    <t>7640019189</t>
  </si>
  <si>
    <t>G7 RENEWAL FEE</t>
  </si>
  <si>
    <t>7640019190</t>
  </si>
  <si>
    <t>G7 ADDITIONAL QUALIFICATIONS (EACH)</t>
  </si>
  <si>
    <t>BDSIMG</t>
  </si>
  <si>
    <t>BDS Consultancy Services per day</t>
  </si>
  <si>
    <t>C1085 Maintenance</t>
  </si>
  <si>
    <t>A6VF011</t>
  </si>
  <si>
    <t>A63Y0Y1</t>
  </si>
  <si>
    <t>PF-P11 Cassette 250P</t>
  </si>
  <si>
    <t>A6440Y1</t>
  </si>
  <si>
    <t>PF-P12 Cassette 550P</t>
  </si>
  <si>
    <t>9967002761</t>
  </si>
  <si>
    <t>DK-P02 Copy Desk</t>
  </si>
  <si>
    <t>A6VHWY1</t>
  </si>
  <si>
    <t>Finisher FS-P02</t>
  </si>
  <si>
    <t>A6VGWY1</t>
  </si>
  <si>
    <t>Mount Kit MK-P03</t>
  </si>
  <si>
    <t>A6XYWY1</t>
  </si>
  <si>
    <t>Keypad KP-P01</t>
  </si>
  <si>
    <t>7640018745</t>
  </si>
  <si>
    <t>bizhub SECURE Small MFP</t>
  </si>
  <si>
    <t>A6F7011</t>
  </si>
  <si>
    <t>HD-511 Removable HDD Inner Case Kit for 12XX/105X</t>
  </si>
  <si>
    <t>A0W6WY1</t>
  </si>
  <si>
    <t>RH-101 Removable HDD Kit for 12XX/105X</t>
  </si>
  <si>
    <t>IC309M</t>
  </si>
  <si>
    <t>Creo IC-309M Controller for 1250 Series</t>
  </si>
  <si>
    <t>7640018667</t>
  </si>
  <si>
    <t>ORU Replacement Starter Kit (1052/1250/1250P/2250P)</t>
  </si>
  <si>
    <t>C1100 Maintenance</t>
  </si>
  <si>
    <t>Contract # 5-600-13963</t>
  </si>
  <si>
    <t>Effective 5/1/15 - 4/30/16</t>
  </si>
  <si>
    <t>MS Purchase</t>
  </si>
  <si>
    <t>36-Months</t>
  </si>
  <si>
    <t>48-Months</t>
  </si>
  <si>
    <t>60-Months</t>
  </si>
  <si>
    <t>bizhub 215 - 21 ppm - Includes 250-sheet Paper Capacity, Mechanical Counter, 128 MB Standar Memory, USB 2.0 Interface (Scan-to-USB), Developer and Drum.</t>
  </si>
  <si>
    <t>bizhub 284e - 28 ppm - Includes PS, PCL &amp; XPS Controller, 2 GB Standard Memory, Duplex Unit, 250 GB HDD, USB Interfaces for Scan-to-USB Thumb Drive/Print-from-USB Thumb Drive, USB Local Printing, Optional Authentication Device Connection, Service USB Firmware Updates, Developer Unit, and Drum Unit.</t>
  </si>
  <si>
    <t>bizhub 364e - 36 ppm - Includes PS, PCL &amp; XPS Controller, 2 GB Standard Memory, Duplex Unit, 250 GB HDD, USB Interfaces for Scan-to-USB Thumb Drive/Print-from-USB Thumb Drive, USB Local Printing, Optional Authentication Device Connection, Service USB Firmware Updates, Developer Unit, and Drum Unit.</t>
  </si>
  <si>
    <t>bizhub PRO C1060L IC-602 PACKAGE - 60 ppm B&amp;W and Color - Includes C1060L engine and IC-602, VI-507 not required, (UK-104 and UK-207 are not available for this package)</t>
  </si>
  <si>
    <t>bizhub PRO C1060L IC-415 PACKAGE - 60 ppm B&amp;W and Color - Includes C1060L engine, Fiery IC-415 and VI-507</t>
  </si>
  <si>
    <t>bizhub PRESS C1060 - 60 ppm B&amp;W and Color</t>
  </si>
  <si>
    <t>bizhub PRESS C1070 - 70 ppm B&amp;W and Color</t>
  </si>
  <si>
    <t>bizhub PRESS C1085 - 85 ppm B&amp;W and Color</t>
  </si>
  <si>
    <t>bizhub PRESS C1100 - 100 ppm B&amp;W and Color</t>
  </si>
  <si>
    <t>State of Mississippi -  Maintenance</t>
  </si>
  <si>
    <t>25e maintenance</t>
  </si>
  <si>
    <t>215 maintenance</t>
  </si>
  <si>
    <t>4050 maintenance</t>
  </si>
  <si>
    <t>4750 maintenance</t>
  </si>
  <si>
    <t>284e maintenance</t>
  </si>
  <si>
    <t>364e maintenance</t>
  </si>
  <si>
    <t>454e maintenance</t>
  </si>
  <si>
    <t>554e maintenance</t>
  </si>
  <si>
    <t>654e maintenance</t>
  </si>
  <si>
    <t>754e maintenance</t>
  </si>
  <si>
    <t>951  maintenance</t>
  </si>
  <si>
    <t>1052 maintenance</t>
  </si>
  <si>
    <t>MS Base Mo. 
Charge</t>
  </si>
  <si>
    <t>MS B/W
Overage</t>
  </si>
  <si>
    <t>MS All 
Color Copies</t>
  </si>
  <si>
    <t>MANDATORY MAINTENANCE OF ACCESSORIES</t>
  </si>
  <si>
    <t>List Price</t>
  </si>
  <si>
    <t>Discount from List</t>
  </si>
  <si>
    <r>
      <t xml:space="preserve">bizhub 25e - 25 ppm - Includes GDI, PCL 5e/XL, 5.8" Touch Screen Panel, Automatic Duplex Printing, Color Scanning, 512 MB System Memory, 80-sheet Duplexing </t>
    </r>
    <r>
      <rPr>
        <b/>
        <sz val="11"/>
        <color rgb="FF0000FF"/>
        <rFont val="Calibri"/>
        <family val="2"/>
        <scheme val="minor"/>
      </rPr>
      <t>Automatic Document Feeder</t>
    </r>
    <r>
      <rPr>
        <b/>
        <sz val="11"/>
        <rFont val="Calibri"/>
        <family val="2"/>
        <scheme val="minor"/>
      </rPr>
      <t>, Fast Ethernet, Hi-Speed USB 2.0 (supports local printing), 100-sheet Bypass Tray, 500-sheet Paper Tray, 42K Drum Unit (includes toner for approx. 2K prints).</t>
    </r>
  </si>
  <si>
    <r>
      <t xml:space="preserve">bizhub 4050 - 42 ppm - Includes PS, PCL &amp; XPS Controller, 2 GB Standard Memory, </t>
    </r>
    <r>
      <rPr>
        <b/>
        <sz val="11"/>
        <color rgb="FF0000FF"/>
        <rFont val="Calibri"/>
        <family val="2"/>
      </rPr>
      <t>Reversing Automatic Document Feeder</t>
    </r>
    <r>
      <rPr>
        <b/>
        <sz val="11"/>
        <rFont val="Calibri"/>
        <family val="2"/>
      </rPr>
      <t>, Duplex Unit, 320 GB HDD, USB Interfaces for Scan-to-USB Thumb Drive/Print-from-USB Thumb Drive, USB Local Printing, Optional Authentication Device Connection, 60K Imaging Unit, and 7.5 K Starter Toner Cartridge.</t>
    </r>
  </si>
  <si>
    <r>
      <t xml:space="preserve">bizhub 4750 - 50 ppm - Includes PS, PCL &amp; XPS Controller, 2 GB Standard Memory, </t>
    </r>
    <r>
      <rPr>
        <b/>
        <sz val="11"/>
        <color rgb="FF0000FF"/>
        <rFont val="Calibri"/>
        <family val="2"/>
      </rPr>
      <t>Reversing Automatic Document Feeder</t>
    </r>
    <r>
      <rPr>
        <b/>
        <sz val="11"/>
        <rFont val="Calibri"/>
        <family val="2"/>
      </rPr>
      <t>, Duplex Unit, 320 GB HDD, USB Interfaces for Scan-to-USB Thumb Drive/Print-from-USB Thumb Drive, USB Local Printing, Optional Authentication Device Connection, 60K Imaging Unit, and 7.5 K Starter Toner Cartridge.</t>
    </r>
  </si>
  <si>
    <r>
      <t>bizhub 454e - 45 ppm - Includes PS, PCL &amp; XPS Controller, 2 GB Standard Memory,</t>
    </r>
    <r>
      <rPr>
        <b/>
        <sz val="11"/>
        <color rgb="FF0000FF"/>
        <rFont val="Calibri"/>
        <family val="2"/>
        <scheme val="minor"/>
      </rPr>
      <t xml:space="preserve"> Dual Scan Document Feeder</t>
    </r>
    <r>
      <rPr>
        <b/>
        <sz val="11"/>
        <rFont val="Calibri"/>
        <family val="2"/>
        <scheme val="minor"/>
      </rPr>
      <t>, Duplex Unit, 250 GB HDD, USB Interfaces for Scan-to-USB Thumb Drive/Print-from-USB Thumb Drive, USB Local Printing, Optional Authentication Device Connection, Service USB Firmware Updates, Developer Unit, and Drum Unit.</t>
    </r>
  </si>
  <si>
    <r>
      <t xml:space="preserve">bizhub 554e - 55 ppm - Includes PS, PCL &amp; XPS Controller, 2 GB Standard Memory, </t>
    </r>
    <r>
      <rPr>
        <b/>
        <sz val="11"/>
        <color rgb="FF0000FF"/>
        <rFont val="Calibri"/>
        <family val="2"/>
        <scheme val="minor"/>
      </rPr>
      <t>Dual Scan Document Feeder</t>
    </r>
    <r>
      <rPr>
        <b/>
        <sz val="11"/>
        <rFont val="Calibri"/>
        <family val="2"/>
        <scheme val="minor"/>
      </rPr>
      <t>, Duplex Unit, 250 GB HDD, USB Interfaces for Scan-to-USB Thumb Drive/Print-from-USB Thumb Drive, USB Local Printing, Optional Authentication Device Connection, Service USB Firmware Updates, Developer Unit, and Drum Unit.</t>
    </r>
  </si>
  <si>
    <r>
      <t xml:space="preserve">bizhub 654e - 65 ppm - Includes PS, PCL &amp; XPS Controller, 2 GB Standard Memory, </t>
    </r>
    <r>
      <rPr>
        <b/>
        <sz val="11"/>
        <color rgb="FF0000FF"/>
        <rFont val="Calibri"/>
        <family val="2"/>
        <scheme val="minor"/>
      </rPr>
      <t>Dual Scan Document Feeder</t>
    </r>
    <r>
      <rPr>
        <b/>
        <sz val="11"/>
        <rFont val="Calibri"/>
        <family val="2"/>
        <scheme val="minor"/>
      </rPr>
      <t>, Duplex Unit, 250 GB HD, USB Interfaces for Scan-to-USB Thumb Drive/Print-from-USB Thumb Drive, USB Local Printing, Optional Authentication Device Connection, Service USB Firmware Updates, Black Drum and Black Developing Unit.</t>
    </r>
  </si>
  <si>
    <r>
      <t xml:space="preserve">bizhub 754e - 75 ppm - Includes PS, PCL &amp; XPS Controller, 2 GB Standard Memory, </t>
    </r>
    <r>
      <rPr>
        <b/>
        <sz val="11"/>
        <color rgb="FF0000FF"/>
        <rFont val="Calibri"/>
        <family val="2"/>
        <scheme val="minor"/>
      </rPr>
      <t>Dual Scan Document Feeder</t>
    </r>
    <r>
      <rPr>
        <b/>
        <sz val="11"/>
        <rFont val="Calibri"/>
        <family val="2"/>
        <scheme val="minor"/>
      </rPr>
      <t>, Duplex Unit, 250 GB HD, USB Interfaces for Scan-to-USB Thumb Drive/Print-from-USB Thumb Drive, USB Local Printing, Optional Authentication Device Connection, Service USB Firmware Updates, Black Drum and Black Developing Unit.</t>
    </r>
  </si>
  <si>
    <r>
      <t xml:space="preserve">bizhub PRO 951 - 95 ppm - Includes </t>
    </r>
    <r>
      <rPr>
        <b/>
        <sz val="11"/>
        <color rgb="FF0000FF"/>
        <rFont val="Calibri"/>
        <family val="2"/>
        <scheme val="minor"/>
      </rPr>
      <t>ADF (DF-616)</t>
    </r>
    <r>
      <rPr>
        <b/>
        <sz val="11"/>
        <rFont val="Calibri"/>
        <family val="2"/>
        <scheme val="minor"/>
      </rPr>
      <t>, Built-in controller with PCL/PS3, (1) Drum, (1) Developer, 512 MB System Memory, 768 MB DRAM, Tray 1/2 : 1,500 sheets each, Total Standard Paper Capacity:  3,000 sheets (9,000 sheets max.). Requires 220V (NEMA receptacle#6-20R).</t>
    </r>
  </si>
  <si>
    <r>
      <t xml:space="preserve">bizhub PRESS 1052 - 105 ppm - Includes </t>
    </r>
    <r>
      <rPr>
        <b/>
        <sz val="11"/>
        <color rgb="FF0000FF"/>
        <rFont val="Calibri"/>
        <family val="2"/>
        <scheme val="minor"/>
      </rPr>
      <t>ADF (DF-616)</t>
    </r>
    <r>
      <rPr>
        <b/>
        <sz val="11"/>
        <rFont val="Calibri"/>
        <family val="2"/>
        <scheme val="minor"/>
      </rPr>
      <t>, Built-in controller with PCL/PS3, (1) Drum, (1) Developer, 512 MB System Memory, 768 MB DRAM, 
Tray 1/2 : 1,500 sheets each, Total Standard Paper Capacity:  3,000 sheets (14,000 sheets max.). Requires 220V/30A.</t>
    </r>
  </si>
  <si>
    <r>
      <t xml:space="preserve">bizhub C224e - 22 ppm B&amp;W and Color - Includes </t>
    </r>
    <r>
      <rPr>
        <b/>
        <sz val="11"/>
        <rFont val="Calibri"/>
        <family val="2"/>
        <scheme val="minor"/>
      </rPr>
      <t>PS, PCL &amp; XPS Controller, 2 GB Standard Memory, Duplex Unit, 250 GB HDD,USB Interfaces for Scan-to-USB Thumb Drive/Print-from-USB Thumb Drive, USB Local Printing, Optional Authentication Device Connection, Service USB Firmware Updates, CMYK Developer Units, Color Drum Units and Black Drum Unit.</t>
    </r>
  </si>
  <si>
    <r>
      <t xml:space="preserve">bizhub C3850 - 40 ppm B&amp;W and Color - Includes PS, PCL &amp; XPS Controller, 1 GB Standard Memory, 320 GB HDD, Standard Super G3 Fax Kit, Standard Gigabit Ethernet, Duplex Unit, </t>
    </r>
    <r>
      <rPr>
        <b/>
        <sz val="11"/>
        <color rgb="FF0000FF"/>
        <rFont val="Calibri"/>
        <family val="2"/>
        <scheme val="minor"/>
      </rPr>
      <t>50-sheet Automatic Duplex Document Feeder</t>
    </r>
    <r>
      <rPr>
        <b/>
        <sz val="11"/>
        <rFont val="Calibri"/>
        <family val="2"/>
        <scheme val="minor"/>
      </rPr>
      <t>, Standard USB 2.0 (supports local printing), CMYK Toner (Yield: 10K) and Imaging Units.</t>
    </r>
  </si>
  <si>
    <r>
      <t xml:space="preserve">bizhub C3350 - 35 ppm B&amp;W and Color - Includes PS, PCL &amp; XPS Controller, 1 GB Standard Memory, 320 GB HDD, Standard Gigabit Ethernet, Duplex Unit, </t>
    </r>
    <r>
      <rPr>
        <b/>
        <sz val="11"/>
        <color rgb="FF0000FF"/>
        <rFont val="Calibri"/>
        <family val="2"/>
        <scheme val="minor"/>
      </rPr>
      <t>50-sheet</t>
    </r>
    <r>
      <rPr>
        <b/>
        <sz val="11"/>
        <rFont val="Calibri"/>
        <family val="2"/>
        <scheme val="minor"/>
      </rPr>
      <t xml:space="preserve"> </t>
    </r>
    <r>
      <rPr>
        <b/>
        <sz val="11"/>
        <color rgb="FF0000FF"/>
        <rFont val="Calibri"/>
        <family val="2"/>
        <scheme val="minor"/>
      </rPr>
      <t>Automatic Duplex Document Feeder</t>
    </r>
    <r>
      <rPr>
        <b/>
        <sz val="11"/>
        <rFont val="Calibri"/>
        <family val="2"/>
        <scheme val="minor"/>
      </rPr>
      <t>, Standard USB 2.0 (supports local printing), CMYK Toner (Yield: 10K) and Imaging Units</t>
    </r>
  </si>
  <si>
    <r>
      <t xml:space="preserve">bizhub C454e - 45 ppm B&amp;W and Color - Includes PS, PCL &amp; XPS Controller, </t>
    </r>
    <r>
      <rPr>
        <b/>
        <sz val="11"/>
        <color rgb="FF0000FF"/>
        <rFont val="Calibri"/>
        <family val="2"/>
        <scheme val="minor"/>
      </rPr>
      <t>Dual Scanner Document Feeder</t>
    </r>
    <r>
      <rPr>
        <b/>
        <sz val="11"/>
        <rFont val="Calibri"/>
        <family val="2"/>
        <scheme val="minor"/>
      </rPr>
      <t>, 2 GB Standard Memory, Duplex Unit, 250 GB HDD,USB Interfaces for Scan-to-USB Thumb Drive/Print-from-USB Thumb Drive, USB Local Printing, Optional Authentication Device Connection, Service USB Firmware Updates, CMYK Developer Units, Color Drum Units and Black Drum Unit.</t>
    </r>
  </si>
  <si>
    <r>
      <t xml:space="preserve">bizhub C554e - 55 ppm B&amp;W and Color - Includes PS, PCL &amp; XPS Controller, </t>
    </r>
    <r>
      <rPr>
        <b/>
        <sz val="11"/>
        <color rgb="FF0000FF"/>
        <rFont val="Calibri"/>
        <family val="2"/>
        <scheme val="minor"/>
      </rPr>
      <t>Dual Scanner Document Feeder</t>
    </r>
    <r>
      <rPr>
        <b/>
        <sz val="11"/>
        <rFont val="Calibri"/>
        <family val="2"/>
        <scheme val="minor"/>
      </rPr>
      <t>, 2 GB Standard Memory, Duplex Unit, 250 GB HDD,USB Interfaces for Scan-to-USB Thumb Drive/Print-from-USB Thumb Drive, USB Local Printing, Optional Authentication Device Connection, Service USB Firmware Updates, CMYK Developer Units, Color Drum Units and Black Drum Unit.</t>
    </r>
  </si>
  <si>
    <r>
      <t xml:space="preserve">bizhub C654e - 65 ppm B&amp;W and Color - Includes PS, PCL &amp; XPS Controller, 2 GB Standard Memory, </t>
    </r>
    <r>
      <rPr>
        <b/>
        <sz val="11"/>
        <color rgb="FF0000FF"/>
        <rFont val="Calibri"/>
        <family val="2"/>
        <scheme val="minor"/>
      </rPr>
      <t>Dual Scan Document Feeder</t>
    </r>
    <r>
      <rPr>
        <b/>
        <sz val="11"/>
        <rFont val="Calibri"/>
        <family val="2"/>
        <scheme val="minor"/>
      </rPr>
      <t>, Duplex Unit, 250 GB HD, USB Interfaces for Scan-to-USB Thumb Drive/Print-from-USB Thumb Drive, USB Local Printing, Optional Authentication Device Connection, Service USB Firmware Updates, Black Drum, Black Developing Unit and CMY Imaging Units.</t>
    </r>
  </si>
  <si>
    <r>
      <t xml:space="preserve">bizhub C754e - 75 ppm B&amp;W and Color - Includes PS, PCL &amp; XPS Controller, 2 GB Standard Memory, </t>
    </r>
    <r>
      <rPr>
        <b/>
        <sz val="11"/>
        <color rgb="FF0000FF"/>
        <rFont val="Calibri"/>
        <family val="2"/>
        <scheme val="minor"/>
      </rPr>
      <t>Dual Scan Document Feeder</t>
    </r>
    <r>
      <rPr>
        <b/>
        <sz val="11"/>
        <rFont val="Calibri"/>
        <family val="2"/>
        <scheme val="minor"/>
      </rPr>
      <t>, Duplex Unit, 250 GB HD, USB Interfaces for Scan-to-USB Thumb Drive/Print-from-USB Thumb Drive, USB Local Printing, Optional Authentication Device Connection, Service USB Firmware Updates, Black Drum, Black Developing Unit and CMY Imaging Units.</t>
    </r>
  </si>
  <si>
    <t>PF-708 Paper Feed Unit with Auto Doc Feeder</t>
  </si>
  <si>
    <t>A7AK011 / MXA87AWY1KMUS</t>
  </si>
  <si>
    <t xml:space="preserve">bizhub 227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
</t>
  </si>
  <si>
    <t>A7YPWY1</t>
  </si>
  <si>
    <t>Original Cover OC-514</t>
  </si>
  <si>
    <t>A7V7WY1</t>
  </si>
  <si>
    <t>DF-628 Reverse Automatic Document Feeder</t>
  </si>
  <si>
    <t>A7VAWY1</t>
  </si>
  <si>
    <t>Paper Feed Cabinet PC-113</t>
  </si>
  <si>
    <t>A7VAWY2</t>
  </si>
  <si>
    <t>Paper Feed Cabinet PC-213</t>
  </si>
  <si>
    <t>A7VA013</t>
  </si>
  <si>
    <t>Paper Feed Cabinet PC-413</t>
  </si>
  <si>
    <t>135310</t>
  </si>
  <si>
    <t>Desk DK-513</t>
  </si>
  <si>
    <t>A2YVWY2</t>
  </si>
  <si>
    <t>Job Separator JS-506</t>
  </si>
  <si>
    <t>A2YUWY2 / A84FWY1</t>
  </si>
  <si>
    <t>Finisher FS-533 + MK-602</t>
  </si>
  <si>
    <t>A3EPWY2 / A84GWY1</t>
  </si>
  <si>
    <t>Finisher FS-534 + RU-514</t>
  </si>
  <si>
    <t>A3EPWYC / A84GWY1</t>
  </si>
  <si>
    <t>Finisher FS-534 with SD-511 + RU-514</t>
  </si>
  <si>
    <t>A3EUW12</t>
  </si>
  <si>
    <t>Punch Kit PK-519 (2/3 hole)</t>
  </si>
  <si>
    <t>A879011</t>
  </si>
  <si>
    <t>Fax Kit FK-513</t>
  </si>
  <si>
    <t>4614506</t>
  </si>
  <si>
    <t>4614511</t>
  </si>
  <si>
    <t>A0PD11T</t>
  </si>
  <si>
    <t>i-Option LK-105 v4</t>
  </si>
  <si>
    <t>A0PD11U</t>
  </si>
  <si>
    <t>i-Option LK-110 v2</t>
  </si>
  <si>
    <t>7640006869</t>
  </si>
  <si>
    <t>A64TWY3</t>
  </si>
  <si>
    <t>Keypad KP-101</t>
  </si>
  <si>
    <t>A88AWY1</t>
  </si>
  <si>
    <t>Local Interface Kit EK-608</t>
  </si>
  <si>
    <t>A87DWY1</t>
  </si>
  <si>
    <t>Local Interface Kit EK-609</t>
  </si>
  <si>
    <t>A0W4WY3</t>
  </si>
  <si>
    <t>Working Table WT-506</t>
  </si>
  <si>
    <t>A87EWY1</t>
  </si>
  <si>
    <t>Upgrade Kit UK-212</t>
  </si>
  <si>
    <t>A7PY011 / MXA87AWY1KMUS</t>
  </si>
  <si>
    <t xml:space="preserve">bizhub C308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
</t>
  </si>
  <si>
    <t>A87RWY1</t>
  </si>
  <si>
    <t>Reverse Automatic Document Feeder DF-629</t>
  </si>
  <si>
    <t>A85GWY1</t>
  </si>
  <si>
    <t>Dual Scan Document Feeder DF-704</t>
  </si>
  <si>
    <t>A2XM019</t>
  </si>
  <si>
    <t>A2XMWY8</t>
  </si>
  <si>
    <t>A2XMWY7</t>
  </si>
  <si>
    <t>A2XMWYA</t>
  </si>
  <si>
    <t>A87VW11</t>
  </si>
  <si>
    <t>Large Capacity Unit LU-302</t>
  </si>
  <si>
    <t>A3EPWY2 / A87JWY1</t>
  </si>
  <si>
    <t>FS-534 50-Sheet Stapling Finisher + Relay Unit RU-513</t>
  </si>
  <si>
    <t>A3EPWYC / A87JWY1</t>
  </si>
  <si>
    <t>FS-534 + SD-511  Kit + Relay Unit RU-513</t>
  </si>
  <si>
    <t>A2YUWY2</t>
  </si>
  <si>
    <t>A883011</t>
  </si>
  <si>
    <t xml:space="preserve">FK-514 Fax Kit </t>
  </si>
  <si>
    <t>A884W11</t>
  </si>
  <si>
    <t xml:space="preserve">FK-515 Fax Kit </t>
  </si>
  <si>
    <t>A886WY1</t>
  </si>
  <si>
    <t>MK-742 Mount Kit (3rd&amp;4th Fax Line Mount Kit)</t>
  </si>
  <si>
    <t>A8CTWY1</t>
  </si>
  <si>
    <t xml:space="preserve">IC-416 Fiery Image Controller </t>
  </si>
  <si>
    <t>A887WY1</t>
  </si>
  <si>
    <t>VI-508 Video Interface Card</t>
  </si>
  <si>
    <t>7640004312</t>
  </si>
  <si>
    <t>7640004313</t>
  </si>
  <si>
    <t>7640009476</t>
  </si>
  <si>
    <t>7640009477</t>
  </si>
  <si>
    <t>7640009478</t>
  </si>
  <si>
    <t>EFI Productivity Package</t>
  </si>
  <si>
    <t>A0PD116</t>
  </si>
  <si>
    <t>A0PD117</t>
  </si>
  <si>
    <t>LK-105 v4 (Searchable PDF)</t>
  </si>
  <si>
    <t>A0PD119</t>
  </si>
  <si>
    <t>A0PD11F</t>
  </si>
  <si>
    <t>A0PD11G</t>
  </si>
  <si>
    <t>LK-110 v2 i-Option License kit (OOXML File Conversion,Enhanced Image Data)</t>
  </si>
  <si>
    <t>A0PD11K</t>
  </si>
  <si>
    <t>KP-101 - 10-Key Pad</t>
  </si>
  <si>
    <t>EK-608 Local USB Interface Kit</t>
  </si>
  <si>
    <t>EK-609 Local USB Interface Kit</t>
  </si>
  <si>
    <t xml:space="preserve">UK-212 Wireless LAN Upgrade Kit </t>
  </si>
  <si>
    <t>A7PU011 / MXA87AWY1KMUS</t>
  </si>
  <si>
    <t>bizhub C368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t>
  </si>
  <si>
    <t>Finisher FS-534 + RU-513</t>
  </si>
  <si>
    <t>Finisher FS-534 with SD-511 + RU-513</t>
  </si>
  <si>
    <t>227 maintenance</t>
  </si>
  <si>
    <t>C308 Maintenance</t>
  </si>
  <si>
    <t>C368 Maintenance</t>
  </si>
  <si>
    <t>AutoStore 6 Express   AutoStore 6 Express</t>
  </si>
  <si>
    <t>Model</t>
  </si>
  <si>
    <t>AutoStore 6 Express</t>
  </si>
  <si>
    <t>NA</t>
  </si>
  <si>
    <t>Main Software</t>
  </si>
  <si>
    <t>AS6 EX DEV LIC (1 DEV LIC)</t>
  </si>
  <si>
    <t>NSi AutoStore 6 Express Device License (1 Device License)</t>
  </si>
  <si>
    <t>AS6 EX DEV LIC (10 DEV LIC PACK)</t>
  </si>
  <si>
    <t>NSi AutoStore 6 Express Device License (10 Device License Pack)</t>
  </si>
  <si>
    <t>AS6 EX DEV LIC (25 DEV LIC PACK)</t>
  </si>
  <si>
    <t>NSi AutoStore 6 Express Device License (25 Device License Pack)</t>
  </si>
  <si>
    <t>AS6 EX DEV LIC (50 DEV LIC PACK)</t>
  </si>
  <si>
    <t>NSi AutoStore 6 Express Device License (50 Device License Pack)</t>
  </si>
  <si>
    <t>AS6 EX DEV LIC (100 DEV LIC PACK)</t>
  </si>
  <si>
    <t>NSi AutoStore 6 Express Device License (100 Device License Pack)</t>
  </si>
  <si>
    <t>Main Software Maintenance</t>
  </si>
  <si>
    <t>AS6 EX DEV LIC (1 DEV LIC) MNT</t>
  </si>
  <si>
    <t>NSi AutoStore 6 Express Device License (1 Device License) Maintenance</t>
  </si>
  <si>
    <t>AS6 EX DEV LIC (10 DEV LIC PACK) MNT</t>
  </si>
  <si>
    <t>NSi AutoStore 6 Express Device License (10 Device License Pack) Maintenance</t>
  </si>
  <si>
    <t>AS6 EX DEV LIC (25 DEV LIC PACK) MNT</t>
  </si>
  <si>
    <t>NSi AutoStore 6 Express Device License (25 Device License Pack) Maintenance</t>
  </si>
  <si>
    <t>AS6 EX DEV LIC (50 DEV LIC PACK) MNT</t>
  </si>
  <si>
    <t>NSi AutoStore 6 Express Device License (50 Device License Pack) Maintenance</t>
  </si>
  <si>
    <t>AS6 EX DEV LIC (100 DEV LIC PACK) MNT</t>
  </si>
  <si>
    <t>NSi AutoStore 6 Express Device License (100 Device License Pack) Maintenance</t>
  </si>
  <si>
    <t>Main Software Upgrades</t>
  </si>
  <si>
    <t>AS6EX LIC CONVERSION</t>
  </si>
  <si>
    <t>NSi AutoStore 6 Express License Conversion</t>
  </si>
  <si>
    <t>AS6 EX DEV LIC UPGRADE TO AS WF</t>
  </si>
  <si>
    <t>NSi AutoStore 6 Express Device License Upgrade to AutoStore Workflow</t>
  </si>
  <si>
    <t>Optional Software</t>
  </si>
  <si>
    <t>AS6 EX SECURE PRINT</t>
  </si>
  <si>
    <t>NSi AutoStore 6 Express Secure Print (Requires NSi AutoStore 6 6 Express)</t>
  </si>
  <si>
    <t>AS6 EX MOBILE BUNDLE</t>
  </si>
  <si>
    <t>NSi AutoStore 6 Express Mobile Bundle (requires NSi AutoStore 6 Express)</t>
  </si>
  <si>
    <t>AS6 EX DT BDL LIC 20 USR LIC</t>
  </si>
  <si>
    <t>NSi AutoStore 6 Express Desktop Bundle License (20 User Licenses)</t>
  </si>
  <si>
    <t>AS6 EX DT BDL LIC 10 PK/200 USR LIC</t>
  </si>
  <si>
    <t>NSi AutoStore 6 Express Desktop Bundle License (Pack of 10) (200 User Licenses)</t>
  </si>
  <si>
    <t>AS6 EX DT BDL LIC 25 PK/500 USR LIC</t>
  </si>
  <si>
    <t>NSi AutoStore 6 Express Desktop Bundle License (Pack of 25) (500 User Licenses)</t>
  </si>
  <si>
    <t>AS6 EX DT BDL LIC 50 PK/1K USR LIC</t>
  </si>
  <si>
    <t>NSi AutoStore 6 Express Desktop Bundle License (Pack of 50) (1,000 User Licenses)</t>
  </si>
  <si>
    <t>AS6 EX DT BDL LIC 100 PK/2K USR LIC</t>
  </si>
  <si>
    <t>NSi AutoStore 6 Express Desktop Bundle License (Pack of 100) (2,000 User Licenses)</t>
  </si>
  <si>
    <t>AS6 EX 2D BARCODE ADD-ON</t>
  </si>
  <si>
    <t>NSi AutoStore 6 Express Two Dimensional Barcode Add-On for AutoStore Express</t>
  </si>
  <si>
    <t>Optional Software Maintenance</t>
  </si>
  <si>
    <t>AS6 EX SECURE PRINT MNT</t>
  </si>
  <si>
    <t>NSi AutoStore 6 Express Secure Print (requires NSi AutoStore 6 6 Express) Maintenance</t>
  </si>
  <si>
    <t>AS6 EX MOBILE BUNDLE MNT</t>
  </si>
  <si>
    <t>NSi AutoStore 6 Express Mobile Bundle (requires NSi AutoStore 6 Express) Maintenance</t>
  </si>
  <si>
    <t>AS6 EX DT BDL LIC 20 USR LIC MNT</t>
  </si>
  <si>
    <t>NSi AutoStore 6 Express Desktop Bundle License (20 User Licenses) Maintenance</t>
  </si>
  <si>
    <t>AS6 EX DT BDL LIC 10PK/200 USR LIC MNT</t>
  </si>
  <si>
    <t>NSi AutoStore 6 Express Desktop Bundle License (Pack of 10) (200 User Licenses) Maintenance</t>
  </si>
  <si>
    <t>AS6 EX DT BDL LIC 25PK/500 USR LIC MNT</t>
  </si>
  <si>
    <t>NSi AutoStore 6 Express Desktop Bundle License (Pack of 25) (500 User Licenses) Maintenance</t>
  </si>
  <si>
    <t>AS6 EX DT BDL LIC 50PK/1K USR LIC MNT</t>
  </si>
  <si>
    <t>NSi AutoStore 6 Express Desktop Bundle License (Pack of 50) (1,000 User Licenses) Maintenance</t>
  </si>
  <si>
    <t>AS6 EX DT BDL LIC 100PK/2K USR LIC MNT</t>
  </si>
  <si>
    <t>NSi AutoStore 6 Express Desktop Bundle License (Pack of 100) (2,000 User Licenses) Maintenance</t>
  </si>
  <si>
    <t>AS6 EX 2D BARCODE ADD-ON MNT</t>
  </si>
  <si>
    <t>NSi AutoStore 6 Express Two Dimensional Barcode Add-On for AutoStore Express Maintenance</t>
  </si>
  <si>
    <t>Optional Software Upgrades</t>
  </si>
  <si>
    <t>AS6 EX DT BDL LIC UPGRADE TO AS WF</t>
  </si>
  <si>
    <t>NSi AutoStore 6 Express Desktop Bundle License Upgrade to AutoStore Workflow</t>
  </si>
  <si>
    <t>Professional Services</t>
  </si>
  <si>
    <t>AS6 EX REMOTE INST &amp; CONFIG SERVICES</t>
  </si>
  <si>
    <t>NSi AutoStore 6 Express Remote Installation and Configuration Services</t>
  </si>
  <si>
    <t>AS6 WF TRAVEL EXPENSES</t>
  </si>
  <si>
    <t>NSi AutoStore 6 Workflow Travel Expenses</t>
  </si>
  <si>
    <t>AutoStore 6 Express Advanced Options   AutoStore 6 Express Advanced Options</t>
  </si>
  <si>
    <t>AutoStore 6 Express Advanced Options</t>
  </si>
  <si>
    <t>AS6 EX FILE IMP LIC (60K PG/YR)</t>
  </si>
  <si>
    <t>NSi AutoStore 6 Express File Import License (60,000 Pages per Calendar Year)</t>
  </si>
  <si>
    <t>AS6 EX FILE IMP LIC (180K PG/YR)</t>
  </si>
  <si>
    <t>NSi AutoStore 6 Express File Import License (180,000 Pages per Calendar Year)</t>
  </si>
  <si>
    <t>AS6 EX FILE IMP LIC (360K PG/YR)</t>
  </si>
  <si>
    <t>NSi AutoStore 6 Express File Import License (360,000 Pages per Calendar Year)</t>
  </si>
  <si>
    <t>AS6 EX FILE IMP LIC (720K PG/YR)</t>
  </si>
  <si>
    <t>NSi AutoStore 6 Express File Import License (720,000 Pages per Calendar Year)</t>
  </si>
  <si>
    <t>AS6 EX FILE IMP LIC (1020K PG/YR)</t>
  </si>
  <si>
    <t>NSi AutoStore 6 Express File Import License (1,020,000 Pages per Calendar Year)</t>
  </si>
  <si>
    <t>AS6 EX FILE IMP BATTERY LIC (30K PG)</t>
  </si>
  <si>
    <t>NSi AutoStore 6 Express File Import Battery License (30,000 Pages)</t>
  </si>
  <si>
    <t>AS6 EX QUICKCPTR PRO SCNR (1 WS)</t>
  </si>
  <si>
    <t>NSi AutoStore 6 Express QuickCapture Pro Scanner (1 Workstation)</t>
  </si>
  <si>
    <t>AS6 EX QUICKCPTR PRO SCNR (10 WS)</t>
  </si>
  <si>
    <t>NSi AutoStore 6 Express QuickCapture Pro Scanner (10 Workstations)</t>
  </si>
  <si>
    <t>AS6 EX QUICKCPTR PRO SCNR (25 WS)</t>
  </si>
  <si>
    <t>NSi AutoStore 6 Express QuickCapture Pro Scanner (25 Workstations)</t>
  </si>
  <si>
    <t>AS6 EX QUICKCPTR PRO SCNR (50 WS)</t>
  </si>
  <si>
    <t>NSi AutoStore 6 Express QuickCapture Pro Scanner (50 Workstations)</t>
  </si>
  <si>
    <t>AS6 EX QUICKCPTR PRO SCNR (100 WS)</t>
  </si>
  <si>
    <t>NSi AutoStore 6 Express QuickCapture Pro Scanner (100 Workstations)</t>
  </si>
  <si>
    <t>AS6 EX FILE IMP LIC (60K PG/YR) MNT</t>
  </si>
  <si>
    <t>NSi AutoStore 6 Express File Import License (60,000 Pages per Calendar Year) Maintenance</t>
  </si>
  <si>
    <t>AS6 EX FILE IMP LIC (180K PG/YR) MNT</t>
  </si>
  <si>
    <t>NSi AutoStore 6 Express File Import License (180,000 Pages per Calendar Year) Maintenance</t>
  </si>
  <si>
    <t>AS6 EX FILE IMP LIC (360K PG/YR) MNT</t>
  </si>
  <si>
    <t>NSi AutoStore 6 Express File Import License (360,000 Pages per Calendar Year) Maintenance</t>
  </si>
  <si>
    <t>AS6 EX FILE IMP LIC (720K PG/YR) MNT</t>
  </si>
  <si>
    <t>NSi AutoStore 6 Express File Import License (720,000 Pages per Calendar Year) Maintenance</t>
  </si>
  <si>
    <t>AS6 EX FILE IMP LIC (1020K PG/YR) MNT</t>
  </si>
  <si>
    <t>NSi AutoStore 6 Express File Import License (1,020,000 Pages per Calendar Year) Maintenance</t>
  </si>
  <si>
    <t>AS6 EX QUICKCPTR PRO SCNR (1 WS) MNT</t>
  </si>
  <si>
    <t>NSi AutoStore 6 Express QuickCapture Pro Scanner (1 Workstation) Maintenance</t>
  </si>
  <si>
    <t>AS6 EX QUICKCPTR PRO SCNR (10 WS) MNT</t>
  </si>
  <si>
    <t>NSi AutoStore 6 Express QuickCapture Pro Scanner (10 Workstations) Maintenance</t>
  </si>
  <si>
    <t>AS6 EX QUICKCPTR PRO SCNR (25 WS) MNT</t>
  </si>
  <si>
    <t>NSi AutoStore 6 Express QuickCapture Pro Scanner (25 Workstations) Maintenance</t>
  </si>
  <si>
    <t>AS6 EX QUICKCPTR PRO SCNR (50 WS) MNT</t>
  </si>
  <si>
    <t>NSi AutoStore 6 Express QuickCapture Pro Scanner (50 Workstations) Maintenance</t>
  </si>
  <si>
    <t>AS6 EX QUICKCPTR PRO SCNR (100 WS) MNT</t>
  </si>
  <si>
    <t>NSi AutoStore 6 Express QuickCapture Pro Scanner (100 Workstations) Maintenance</t>
  </si>
  <si>
    <t>AS6 EX FILE IMP LIC UPGRADE TO AS WF</t>
  </si>
  <si>
    <t>NSi AutoStore 6 Express File Import License Upgrade to AutoStore Workflow</t>
  </si>
  <si>
    <t>AS6 EX QC PRO UPGRADE TO AS WF</t>
  </si>
  <si>
    <t>NSi AutoStore 6 Express QuickCapture Pro Upgrade to AutoStore Workflow</t>
  </si>
  <si>
    <t>AS6 EX LEGAL STAMPING</t>
  </si>
  <si>
    <t>NSi AutoStore 6 Express Legal Stamping</t>
  </si>
  <si>
    <t>AS6 EX ADVANCED BATES STAMP</t>
  </si>
  <si>
    <t>NSi AutoStore 6 Express Advanced Bates Stamp</t>
  </si>
  <si>
    <t>AS6 EX ADVANCED SPLITTER</t>
  </si>
  <si>
    <t>NSi AutoStore 6 Express Advanced Splitter</t>
  </si>
  <si>
    <t>AS6 EX ANSI 810 CONVERTER</t>
  </si>
  <si>
    <t>NSi AutoStore 6 Express ANSI 810 Converter</t>
  </si>
  <si>
    <t>AS6 EX ASCII CLIENT FOR SMARTICKET</t>
  </si>
  <si>
    <t>NSi AutoStore 6 Express ASCII Client for SMARTicket</t>
  </si>
  <si>
    <t>AS6 EX DOC ORIENTATION CORRECTOR</t>
  </si>
  <si>
    <t>NSi AutoStore 6 Express Documentation Orientation Corrector</t>
  </si>
  <si>
    <t>AS6 EX CONDITIONAL WORKFLOW</t>
  </si>
  <si>
    <t>NSi AutoStore 6 Express Conditional Workflow</t>
  </si>
  <si>
    <t>AS6 EX DESKTOP PRINT CONNECT</t>
  </si>
  <si>
    <t>NSi AutoStore 6 Express Desktop Print Connect</t>
  </si>
  <si>
    <t>AS6 EX EQUITRAC INTEGRATION</t>
  </si>
  <si>
    <t>NSi AutoStore 6 Express Equitrac Integration</t>
  </si>
  <si>
    <t>AS6 EX FORMS OVERLAY</t>
  </si>
  <si>
    <t>NSi AutoStore 6 Express Forms Overlay</t>
  </si>
  <si>
    <t>AS6 EX LOTUS NOTES SOLUTION</t>
  </si>
  <si>
    <t>NSi AutoStore 6 Express Lotus Notes Solution</t>
  </si>
  <si>
    <t>AS6 EX PROLAW INTEGRATION</t>
  </si>
  <si>
    <t>NSi AutoStore 6 Express ProLaw Integration</t>
  </si>
  <si>
    <t>AutoStore 6 Workflow   AutoStore 6 Workflow</t>
  </si>
  <si>
    <t>AutoStore 6 Workflow</t>
  </si>
  <si>
    <t>AS6 WF DEV LIC (1 DEV LIC)</t>
  </si>
  <si>
    <t>NSi AutoStore 6 Workflow Device License (1 Device License)</t>
  </si>
  <si>
    <t>AS6 WF DEV LIC (10 DEV LIC PACK)</t>
  </si>
  <si>
    <t>NSi AutoStore 6 Workflow Device License (10 Device License Pack)</t>
  </si>
  <si>
    <t>AS6 WF DEV LIC (25 DEV LIC PACK)</t>
  </si>
  <si>
    <t>NSi AutoStore 6 Workflow Device License (25 Device License Pack)</t>
  </si>
  <si>
    <t>AS6 WF DEV LIC (50 DEV LIC PACK)</t>
  </si>
  <si>
    <t>NSi AutoStore 6 Workflow Device License (50 Device License Pack)</t>
  </si>
  <si>
    <t>AS6 WF DEV LIC (1 DEV LIC) MNT</t>
  </si>
  <si>
    <t>NSi AutoStore 6 Workflow Device License (1 Device License) Maintenance</t>
  </si>
  <si>
    <t>AS6 WF DEV LIC (10 DEV LIC PACK) MNT</t>
  </si>
  <si>
    <t>NSi AutoStore 6 Workflow Device License (10 Device License Pack) Maintenance</t>
  </si>
  <si>
    <t>AS6 WF DEV LIC (25 DEV LIC PACK) MNT</t>
  </si>
  <si>
    <t>NSi AutoStore 6 Workflow Device License (25 Device License Pack) Maintenance</t>
  </si>
  <si>
    <t>AS6 WF DEV LIC (50 DEV LIC PACK) MNT</t>
  </si>
  <si>
    <t>NSi AutoStore 6 Workflow Device License (50 Device License Pack) Maintenance</t>
  </si>
  <si>
    <t>AS6 WF DEV LIC (100 DEV LIC PACK) MNT</t>
  </si>
  <si>
    <t>NSi AutoStore 6 Workflow Device License (100 Device License Pack) Maintenance</t>
  </si>
  <si>
    <t>AS6 WF SECURE PRINT</t>
  </si>
  <si>
    <t>NSi AutoStore 6 Workflow Secure Print (Requires AS Workflow)</t>
  </si>
  <si>
    <t>AS6 WF MOBILE BUNDLE</t>
  </si>
  <si>
    <t>NSi AutoStore 6 Workflow Mobile Bundle (Requires NSi AutoStore 6 Workflow)</t>
  </si>
  <si>
    <t>AS6 WF DT BDL LIC 20 USR LIC</t>
  </si>
  <si>
    <t>NSi AutoStore 6 Workflow Desktop Bundle License (20 User Licenses)</t>
  </si>
  <si>
    <t>AS6 WF DT BDL LIC 10PK/200 USR LIC</t>
  </si>
  <si>
    <t>NSi AutoStore 6 Workflow Desktop Bundle License (Pack of 10) (200 User Licenses)</t>
  </si>
  <si>
    <t>AS6 WF DT BDL LIC 25PK/500 USR LIC</t>
  </si>
  <si>
    <t>NSi AutoStore 6 Workflow Desktop Bundle License (Pack of 25) (500 User Licenses)</t>
  </si>
  <si>
    <t>AS6 WF DT BDL LIC 50PK/1K USR LIC</t>
  </si>
  <si>
    <t>NSi AutoStore 6 Workflow Desktop Bundle License (Pack of 50 (1,000 User Licenses)</t>
  </si>
  <si>
    <t>AS6 WF DT BDL LIC 100PK/2K USR LIC</t>
  </si>
  <si>
    <t>NSi AutoStore 6 Workflow Desktop Bundle License (Pack of 100) (2,000 User Licenses)</t>
  </si>
  <si>
    <t>AS6 WF 2D BARCODE ADD-ON</t>
  </si>
  <si>
    <t>NSi AutoStore 6 Workflow Two Dimensional Barcode Add-On for AutoStore WorkFlow</t>
  </si>
  <si>
    <t>AS6 WF SECURE PRINT MNT</t>
  </si>
  <si>
    <t>NSi AutoStore 6 Workflow Secure Print (requires NSi AutoStore 6 Workflow) Maintenance</t>
  </si>
  <si>
    <t>AS6 WF MOBILE BUNDLE MNT</t>
  </si>
  <si>
    <t>NSi AutoStore 6 Workflow Mobile Bundle (requires NSi AutoStore 6 Workflow) Maintenance</t>
  </si>
  <si>
    <t>AS6 WF DT BDL LIC 20 USR LIC MNT</t>
  </si>
  <si>
    <t>NSi AutoStore 6 Workflow Desktop Bundle License (20 User Licenses) Maintenance</t>
  </si>
  <si>
    <t>AS6 WF DT BDL LIC 10PK/200 USR LIC MNT</t>
  </si>
  <si>
    <t>NSi AutoStore 6 Workflow Desktop Bundle License (Pack of 10) (200 User Licenses) Maintenance</t>
  </si>
  <si>
    <t>AS6 WF DT BDL LIC 25PK/500 USR LIC MNT</t>
  </si>
  <si>
    <t>NSi AutoStore 6 Workflow Desktop Bundle License (Pack of 25) (500 User Licenses) Maintenance</t>
  </si>
  <si>
    <t>AS6 WF DT BDL LIC 50PK/1K USR LIC MNT</t>
  </si>
  <si>
    <t>NSi AutoStore 6 Workflow Desktop Bundle License (Pack of 50 (1,000 User Licenses) Maintenance</t>
  </si>
  <si>
    <t>AS6 WF DT BDL LIC 100PK/2K USR LIC MNT</t>
  </si>
  <si>
    <t>NSi AutoStore 6 Workflow Desktop Bundle License (Pack of 100) (2,000 User Licenses) Maintenance</t>
  </si>
  <si>
    <t>AS6 WF 2D BARCODE ADD-ON MNT</t>
  </si>
  <si>
    <t>NSi AutoStore 6 Workflow Two Dimensional Barcode Add-On for AutoStore Workflow Maintenance</t>
  </si>
  <si>
    <t>AS6 WF REMOTE INST &amp; CONFIG SERVICES</t>
  </si>
  <si>
    <t>NSi AutoStore 6 Workflow Remote Installation and Configuration Services</t>
  </si>
  <si>
    <t>AS6 WF PROFESSIONAL SERVICES 1 DAY OF PS</t>
  </si>
  <si>
    <t>NSi AutoStore 6 Workflow Professional Services 1 Day of PS</t>
  </si>
  <si>
    <t>AutoStore 6 Workflow Advanced Options   AutoStore 6 Workflow Advanced Options</t>
  </si>
  <si>
    <t>AutoStore 6 Workflow Advanced Options</t>
  </si>
  <si>
    <t>AS6 WF FILE IMP LIC (60K PG/YR)</t>
  </si>
  <si>
    <t>NSi AutoStore 6 Workflow File Import License (60,000 Pages per Calendar Year)</t>
  </si>
  <si>
    <t>AS6 WF FILE IMP LIC (180K PG/YR)</t>
  </si>
  <si>
    <t>NSi AutoStore 6 Workflow File Import License (180,000 Pages per Calendar Year)</t>
  </si>
  <si>
    <t>AS6 WF FILE IMP LIC (360K PG/YR)</t>
  </si>
  <si>
    <t>NSi AutoStore 6 Workflow File Import License (360,000 Pages per Calendar Year)</t>
  </si>
  <si>
    <t>AS6 WF FILE IMP LIC (720K PG/YR)</t>
  </si>
  <si>
    <t>NSi AutoStore 6 Workflow File Import License (720,000 Pages per Calendar Year)</t>
  </si>
  <si>
    <t>AS6 WF FILE IMP LIC (1020K PG/YR)</t>
  </si>
  <si>
    <t>NSi AutoStore 6 Workflow File Import License (1,020,000 Pages per Calendar Year)</t>
  </si>
  <si>
    <t>AS6 WF FILE IMP BATTERY LIC (30K PG)</t>
  </si>
  <si>
    <t>NSi AutoStore 6 Workflow File Import Battery License (30,000 Pages)</t>
  </si>
  <si>
    <t>AS6 WF XML IMP (60K PG/YR)</t>
  </si>
  <si>
    <t>NSi AutoStore 6 Workflow XML Importer (60,000 Pages per Calendar Year)</t>
  </si>
  <si>
    <t>AS6 WF XML IMP (180K PG/YR)</t>
  </si>
  <si>
    <t>NSi AutoStore 6 Workflow XML Importer (180,000 Pages per Calendar Year)</t>
  </si>
  <si>
    <t>AS6 WF XML IMP (360K PG/YR)</t>
  </si>
  <si>
    <t>NSi AutoStore 6 Workflow XML Importer (360,000 Pages per Calendar Year)</t>
  </si>
  <si>
    <t>AS6 WF XML IMP (720K PG/YR)</t>
  </si>
  <si>
    <t>NSi AutoStore 6 Workflow XML Importer (720,000 Pages per Calendar Year)</t>
  </si>
  <si>
    <t>AS6 WF XML IMP (1020K PG/YR)</t>
  </si>
  <si>
    <t>NSi AutoStore 6 Workflow XML Importer (1,020,000 Pages per Calendar Year)</t>
  </si>
  <si>
    <t>AS6 WF XML IMP BATTERY LIC (30K PG)</t>
  </si>
  <si>
    <t>NSi AutoStore 6 Workflow XML Importer Battery License (30,000 Pages)</t>
  </si>
  <si>
    <t>AS6 WF QUICKCPTR PRO SCNR (1 WS)</t>
  </si>
  <si>
    <t>NSi AutoStore 6 Workflow QuickCapture Pro Scanner (1 Workstation)</t>
  </si>
  <si>
    <t>AS6 WF QUICKCPTR PRO SCNR (10 WS)</t>
  </si>
  <si>
    <t>NSi AutoStore 6 Workflow QuickCapture Pro Scanner (10 Workstations)</t>
  </si>
  <si>
    <t>AS6 WF QUICKCPTR PRO SCNR (25 WS)</t>
  </si>
  <si>
    <t>NSi AutoStore 6 Workflow QuickCapture Pro Scanner (25 Workstations)</t>
  </si>
  <si>
    <t>AS6 WF QUICKCPTR PRO SCNR (50 WS)</t>
  </si>
  <si>
    <t>NSi AutoStore 6 Workflow QuickCapture Pro Scanner (50 Workstations)</t>
  </si>
  <si>
    <t>AS6 WF QUICKCPTR PRO SCNR (100 WS)</t>
  </si>
  <si>
    <t>NSi AutoStore 6 Workflow QuickCapture Pro Scanner (100 Workstations)</t>
  </si>
  <si>
    <t>AS6 WF ADVANCED BARCODE (PROF BARCODE)</t>
  </si>
  <si>
    <t>NSi AutoStore 6 Workflow Advanced Barcode (Professional Barcode)</t>
  </si>
  <si>
    <t>AS6 WF ADDITIONAL OCR ENGINE</t>
  </si>
  <si>
    <t>NSi AutoStore 6 Workflow Additional OCR Engine</t>
  </si>
  <si>
    <t>AS6 WF BATES STAMP SERVER</t>
  </si>
  <si>
    <t>NSi AutoStore 6 Workflow Bates Stamp Server</t>
  </si>
  <si>
    <t>AS6 WF SMARTICKET 20 DT LIC</t>
  </si>
  <si>
    <t>NSi AutoStore 6 Workflow SMARTicket (20 Desktop Licenses)</t>
  </si>
  <si>
    <t>AS6 WF SMARTICKET 10PK/200 USR LIC</t>
  </si>
  <si>
    <t>NSi AutoStore 6 Workflow SMARTicket(Pack of 10) (200 User Licenses)</t>
  </si>
  <si>
    <t>AS6 WF SMARTICKET 25PK/500 USR LIC</t>
  </si>
  <si>
    <t>NSi AutoStore 6 Workflow SMARTicket(Pack of 25) (500 User Licenses)</t>
  </si>
  <si>
    <t>AS6 WF SMARTICKET 50PK/1K USR LIC</t>
  </si>
  <si>
    <t>NSi AutoStore 6 Workflow SMARTicket(Pack of 50) (1,000 User Licenses)</t>
  </si>
  <si>
    <t>AS6 WF SMARTICKET 100PK/2K USR LIC</t>
  </si>
  <si>
    <t>NSi AutoStore 6 Workflow SMARTicket(Pack of 100) (2,000 User Licenses)</t>
  </si>
  <si>
    <t>AS6 WF FILE IMP LIC (60K PG/YR) MNT</t>
  </si>
  <si>
    <t>NSi AutoStore 6 Workflow File Import License (60,000 Pages per Calendar Year) Maintenance</t>
  </si>
  <si>
    <t>AS6 WF FILE IMP LIC (180K PG/YR) MNT</t>
  </si>
  <si>
    <t>NSi AutoStore 6 Workflow File Import License (180,000 Pages per Calendar Year) Maintenance</t>
  </si>
  <si>
    <t>AS6 WF FILE IMP LIC (360K PG/YR) MNT</t>
  </si>
  <si>
    <t>NSi AutoStore 6 Workflow File Import License (360,000 Pages per Calendar Year) Maintenance</t>
  </si>
  <si>
    <t>AS6 WF FILE IMP LIC (720K PG/YR) MNT</t>
  </si>
  <si>
    <t>NSi AutoStore 6 Workflow File Import License (720,000 Pages per Calendar Year) Maintenance</t>
  </si>
  <si>
    <t>AS6 WF FILE IMP LIC (1020K PG/YR) MNT</t>
  </si>
  <si>
    <t>NSi AutoStore 6 Workflow File Import License (1,020,000 Pages per Calendar Year) Maintenance</t>
  </si>
  <si>
    <t>AS6 WF XML IMP (60K PG/YR) MNT</t>
  </si>
  <si>
    <t>NSi AutoStore 6 Workflow XML Importer (60,000 Pages per Calendar Year) Maintenance</t>
  </si>
  <si>
    <t>AS6 WF XML IMP (180K PG/YR) MNT</t>
  </si>
  <si>
    <t>NSi AutoStore 6 Workflow XML Importer (180,000 Pages per Calendar Year) Maintenance</t>
  </si>
  <si>
    <t>AS6 WF XML IMP (360K PG/YR) MNT</t>
  </si>
  <si>
    <t>NSi AutoStore 6 Workflow XML Importer (360,000 Pages per Calendar Year) Maintenance</t>
  </si>
  <si>
    <t>AS6 WF XML IMP (720K PG/YR) MNT</t>
  </si>
  <si>
    <t>NSi AutoStore 6 Workflow XML Importer (720,000 Pages per Calendar Year) Maintenance</t>
  </si>
  <si>
    <t>AS6 WF XML IMP (1020K PG/YR) MNT</t>
  </si>
  <si>
    <t>NSi AutoStore 6 Workflow XML Importer (1,020,000 Pages per Calendar Year) Maintenance</t>
  </si>
  <si>
    <t>AS6 WF QUICKCPTR PRO SCNR (1 WS) MNT</t>
  </si>
  <si>
    <t>NSi AutoStore 6 Workflow QuickCapture Pro Scanner (1 Workstation) Maintenance</t>
  </si>
  <si>
    <t>AS6 WF QUICKCPTR PRO SCNR (10 WS) MNT</t>
  </si>
  <si>
    <t>NSi AutoStore 6 Workflow QuickCapture Pro Scanner (10 Workstations) Maintenance</t>
  </si>
  <si>
    <t>AS6 WF QUICKCPTR PRO SCNR (25 WS) MNT</t>
  </si>
  <si>
    <t>NSi AutoStore 6 Workflow QuickCapture Pro Scanner (25 Workstations) Maintenance</t>
  </si>
  <si>
    <t>AS6 WF QUICKCPTR PRO SCNR (50 WS) MNT</t>
  </si>
  <si>
    <t>NSi AutoStore 6 Workflow QuickCapture Pro Scanner (50 Workstations) Maintenance</t>
  </si>
  <si>
    <t>AS6 WF QUICKCPTR PRO SCNR (100 WS) MNT</t>
  </si>
  <si>
    <t>NSi AutoStore 6 Workflow QuickCapture Pro Scanner (100 Workstations) Maintenance</t>
  </si>
  <si>
    <t>AS6 WF ADV BARCODE (PROF BARCODE) MNT</t>
  </si>
  <si>
    <t>NSi AutoStore 6 Workflow Advanced Barcode (Professional Barcode) Maintenance</t>
  </si>
  <si>
    <t>AS6 WF ADDITIONAL OCR ENGINE MNT</t>
  </si>
  <si>
    <t>NSi AutoStore 6 Workflow Additional OCR Engine Maintenance</t>
  </si>
  <si>
    <t>AS6 WF BATES STAMP SERVER MNT</t>
  </si>
  <si>
    <t>NSi AutoStore 6 Workflow Bates Stamp Server Maintenance</t>
  </si>
  <si>
    <t>AS6 WF SMARTICKET 20 DT LIC MNT</t>
  </si>
  <si>
    <t>NSi AutoStore 6 Workflow SMARTicket (20 Desktop Licenses) Maintenance</t>
  </si>
  <si>
    <t>AS6 WF SMARTICKET 10PK/200 USR LIC MNT</t>
  </si>
  <si>
    <t>NSi AutoStore 6 Workflow SMARTicket(Pack of 10) (200 User Licenses) Maintenance</t>
  </si>
  <si>
    <t>AS6 WF SMARTICKET 25PK/500 USR LIC MNT</t>
  </si>
  <si>
    <t>NSi AutoStore 6 Workflow SMARTicket(Pack of 25) (500 User Licenses) Maintenance</t>
  </si>
  <si>
    <t>AS6 WF SMARTICKET 100PK/2K USR LIC MNT</t>
  </si>
  <si>
    <t>NSi AutoStore 6 Workflow SMARTicket(Pack of 100) (2,000 User Licenses) Maintenance</t>
  </si>
  <si>
    <t>AS6 WF LEGAL STAMPING</t>
  </si>
  <si>
    <t>NSi AutoStore 6 Workflow Legal Stamping</t>
  </si>
  <si>
    <t>AS6 WF ADVANCED SPLITTER</t>
  </si>
  <si>
    <t>NSi AutoStore 6 Workflow Advanced Splitter</t>
  </si>
  <si>
    <t>AS6 WF ANSI 810 CONVERTER</t>
  </si>
  <si>
    <t>NSi AutoStore 6 Workflow ANSI 810 Converter</t>
  </si>
  <si>
    <t>AS6 WF ASCII CLIENT FOR SMARTICKET</t>
  </si>
  <si>
    <t>NSi AutoStore 6 Workflow ASCII Client for SMARTicket</t>
  </si>
  <si>
    <t>AS6 WF COMMAND LINE EXECUTION</t>
  </si>
  <si>
    <t>NSi AutoStore 6 Workflow Command Line Execution</t>
  </si>
  <si>
    <t>AS6 WF DOCUMENT ORIENTATION CORRECTOR</t>
  </si>
  <si>
    <t>NSi AutoStore 6 Workflow Document Orientation Corrector</t>
  </si>
  <si>
    <t>AS6 WF CONDITIONAL WF</t>
  </si>
  <si>
    <t>NSi AutoStore 6 Workflow Conditional Workflow</t>
  </si>
  <si>
    <t>AS6 WF DT PRINT CONNECT</t>
  </si>
  <si>
    <t>NSi AutoStore 6 Workflow Desktop Print Connect</t>
  </si>
  <si>
    <t>AS6 WF EQUITRAC INTEGRATION</t>
  </si>
  <si>
    <t>NSi AutoStore 6 Workflow Equitrac Integration</t>
  </si>
  <si>
    <t>AS6 WF FORMS OVERLAY</t>
  </si>
  <si>
    <t>NSi AutoStore 6 Workflow Forms Overlay</t>
  </si>
  <si>
    <t>AS6 WF LOTUS NOTES SOLUTION</t>
  </si>
  <si>
    <t>NSi AutoStore 6 Workflow Lotus Notes Solution</t>
  </si>
  <si>
    <t>AS6 WF PROLAW INTEGRATION</t>
  </si>
  <si>
    <t>NSi AutoStore 6 Workflow ProLaw Integration</t>
  </si>
  <si>
    <t>Bluebeam REVU 11   Bluebeam REVU 11 Standard, CAD, and eXtreme</t>
  </si>
  <si>
    <t>Bluebeam REVU 11</t>
  </si>
  <si>
    <t>Bluebeam REVU 11 Standard, CAD, and eXtreme</t>
  </si>
  <si>
    <t>a. Bluebeam Revu 11 STANDARD - SOFTWARE WITH 1st YEAR of MAINTENANCE</t>
  </si>
  <si>
    <t>BBM PDF Revu STD SW w/ MNT(1-4 USR)</t>
  </si>
  <si>
    <t>Bluebeam Revu 11 Standard - Software Includes 1st Year of Maintenance (1-4 users)</t>
  </si>
  <si>
    <t>BBM PDF Revu STD SW w/ MNT(5-9 USR)</t>
  </si>
  <si>
    <t>Bluebeam Revu 11 Standard - Software Includes 1st Year of Maintenance (5-9 users)</t>
  </si>
  <si>
    <t>BBM PDF Revu STD SW w/ MNT(10-24 USR)</t>
  </si>
  <si>
    <t>Bluebeam Revu 11 Standard - Software Includes 1st Year of Maintenance (10-24 users)</t>
  </si>
  <si>
    <t>BBM PDF Revu STD SW w/ MNT(25-49 USR)</t>
  </si>
  <si>
    <t>Bluebeam Revu 11 Standard - Software Includes 1st Year of Maintenance (25-49 users)</t>
  </si>
  <si>
    <t>BBM PDF Revu STD w/ MNT(50-99 USR)</t>
  </si>
  <si>
    <t>Bluebeam Revu 11 Standard - Software Includes 1st Year of Maintenance (50-99 users)</t>
  </si>
  <si>
    <t>BBM PDF Revu STD SW w/ MNT(100-199 USR)</t>
  </si>
  <si>
    <t>Bluebeam Revu 11 Standard - Software Includes 1st Year of Maintenance (100-199 users)</t>
  </si>
  <si>
    <t>BBM PDF Revu STD SW w/ MNT(200-349 USR)</t>
  </si>
  <si>
    <t>Bluebeam Revu 11 Standard - Software Includes 1st Year of Maintenance (200-349 users)</t>
  </si>
  <si>
    <t>BBM PDF Revu STD SW w/ MNT(350-499 USR)</t>
  </si>
  <si>
    <t>Bluebeam Revu 11 Standard - Software Includes 1st Year of Maintenance (350-499 users)</t>
  </si>
  <si>
    <t>BBM PDF Revu STD SW w/ MNT(500-999 USR)</t>
  </si>
  <si>
    <t>Bluebeam Revu 11 Standard - Software Includes 1st Year of Maintenance (500-999 users)</t>
  </si>
  <si>
    <t>BBM PDF Revu STD SW w/ MNT(1,000+ USR)</t>
  </si>
  <si>
    <t>Bluebeam Revu 11 Standard - Software Includes 1st Year of Maintenance (1,000+ users)</t>
  </si>
  <si>
    <t>b. BLUEBEAM REVU STANDARD ADDITIONAL ANNUAL MAINTENANCE</t>
  </si>
  <si>
    <t>BBM PDF Revu STD MNT(1-4 USR)</t>
  </si>
  <si>
    <t>Bluebeam Revu 11 Standard - Additional Annual Maintenance (1-4 users)</t>
  </si>
  <si>
    <t>BBM PDF Revu STD MNT(5-9 USR)</t>
  </si>
  <si>
    <t>Bluebeam Revu 11 Standard - Additional Annual Maintenance (5-9 users)</t>
  </si>
  <si>
    <t>BBM PDF Revu STD MNT(10-24 USR)</t>
  </si>
  <si>
    <t>Bluebeam Revu 11 Standard - Additional Annual Maintenance (10-24 users)</t>
  </si>
  <si>
    <t>BBM PDF Revu STD MNT(25-49 USR)</t>
  </si>
  <si>
    <t>Bluebeam Revu 11 Standard - Additional Annual Maintenance (25-49 users)</t>
  </si>
  <si>
    <t>BBM PDF Revu STD MNT(50-99 USR)</t>
  </si>
  <si>
    <t>Bluebeam Revu 11 Standard - Additional Annual Maintenance (50-99 users)</t>
  </si>
  <si>
    <t>BBM PDF Revu STD MNT(100-199 USR)</t>
  </si>
  <si>
    <t>Bluebeam Revu 11 Standard - Additional Annual Maintenance (100-199 users)</t>
  </si>
  <si>
    <t>BBM PDF Revu STD MNT(200-349 USR)</t>
  </si>
  <si>
    <t>Bluebeam Revu 11 Standard - Additional Annual Maintenance (200-349 users)</t>
  </si>
  <si>
    <t>BBM PDF Revu STD MNT(350-499 USR)</t>
  </si>
  <si>
    <t>Bluebeam Revu 11 Standard - Additional Annual Maintenance (350-499 users)</t>
  </si>
  <si>
    <t>BBM PDF Revu STD MNT(500-999 USR)</t>
  </si>
  <si>
    <t>Bluebeam Revu 11 Standard - Additional Annual Maintenance (500-999 users)</t>
  </si>
  <si>
    <t>BBM PDF Revu STD MNT(1,000+ USR)</t>
  </si>
  <si>
    <t>Bluebeam Revu 11 Standard - Additional Annual Maintenance (1,000+ users)</t>
  </si>
  <si>
    <t>Bluebeam Revu Pro-Rated Maintenance</t>
  </si>
  <si>
    <t>c. Bluebeam Revu 11 STANDARD - SOFTWARE UPGRADE</t>
  </si>
  <si>
    <t>Revu STD - UPG(1-4 USR)</t>
  </si>
  <si>
    <t>Bluebeam Revu 11 Standard - Software Upgrade (1-4 users)</t>
  </si>
  <si>
    <t>Revu STD - UPG(5-9 USR)</t>
  </si>
  <si>
    <t>Bluebeam Revu 11 Standard - Software Upgrade (5-9 users)</t>
  </si>
  <si>
    <t>Revu STD - UPG(10-24 USR)</t>
  </si>
  <si>
    <t>Bluebeam Revu 11 Standard - Software Upgrade (10-24 users)</t>
  </si>
  <si>
    <t>Revu STD - UPG(25-49 USR)</t>
  </si>
  <si>
    <t>Bluebeam Revu 11 Standard - Software Upgrade (25-49 users)</t>
  </si>
  <si>
    <t>Revu STD - UPG(50-99 USR)</t>
  </si>
  <si>
    <t>Bluebeam Revu 11 Standard - Software Upgrade (50-99 users)</t>
  </si>
  <si>
    <t>Revu STD - UPG(100-199 USR)</t>
  </si>
  <si>
    <t>Bluebeam Revu 11 Standard - Software Upgrade (100-199 users)</t>
  </si>
  <si>
    <t>Revu STD - UPG(200-349 USR)</t>
  </si>
  <si>
    <t>Bluebeam Revu 11 Standard - Software Upgrade (200-349 users)</t>
  </si>
  <si>
    <t>Revu STD - UPG(350-499 USR)</t>
  </si>
  <si>
    <t>Bluebeam Revu 11 Standard - Software Upgrade (350-499 users)</t>
  </si>
  <si>
    <t>Revu STD - UPG(500-999 USR)</t>
  </si>
  <si>
    <t>Bluebeam Revu 11 Standard - Software Upgrade (500-999 users)</t>
  </si>
  <si>
    <t>Revu STD - UPG(1,000+ USR)</t>
  </si>
  <si>
    <t>Bluebeam Revu 11 Standard - Software Upgrade (1,000+ users)</t>
  </si>
  <si>
    <t>d. Bluebeam Revu 11 CAD - SOFTWARE WITH 1st YEAR of MAINTENANCE</t>
  </si>
  <si>
    <t>Revu CAD SW + MNT(1-4 USR)</t>
  </si>
  <si>
    <t>Bluebeam Revu 11 CAD - Software Includes 1st Year of Maintenance (1-4 users)</t>
  </si>
  <si>
    <t>Revu CAD SW + MNT(5-9 USR)</t>
  </si>
  <si>
    <t>Bluebeam Revu 11 CAD - Software Includes 1st Year of Maintenance (5-9 users)</t>
  </si>
  <si>
    <t>Revu CAD SW + MNT(10-24 USR)</t>
  </si>
  <si>
    <t>Bluebeam Revu 11 CAD - Software Includes 1st Year of Maintenance (10-24 users)</t>
  </si>
  <si>
    <t>Revu CAD SW + MNT(25-49 USR)</t>
  </si>
  <si>
    <t>Bluebeam Revu 11 CAD - Software Includes 1st Year of Maintenance (25-49 users)</t>
  </si>
  <si>
    <t>Revu CAD SW + MNT(50-99 USR)</t>
  </si>
  <si>
    <t>Bluebeam Revu 11 CAD - Software Includes 1st Year of Maintenance (50-99 users)</t>
  </si>
  <si>
    <t>Revu CAD SW + MNT(100-199 USR)</t>
  </si>
  <si>
    <t>Bluebeam Revu 11 CAD - Software Includes 1st Year of Maintenance (100-199 users)</t>
  </si>
  <si>
    <t>Revu CAD SW + MNT(200-349 USR)</t>
  </si>
  <si>
    <t>Bluebeam Revu 11 CAD - Software Includes 1st Year of Maintenance (200-349 users)</t>
  </si>
  <si>
    <t>Revu CAD SW + MNT(350-499 USR)</t>
  </si>
  <si>
    <t>Bluebeam Revu 11 CAD - Software Includes 1st Year of Maintenance (350-499 users)</t>
  </si>
  <si>
    <t>Revu CAD SW + MNT(500-999 USR)</t>
  </si>
  <si>
    <t>Bluebeam Revu 11 CAD - Software Includes 1st Year of Maintenance (500-999 users)</t>
  </si>
  <si>
    <t>Revu CAD SW + MNT(1,000+ USR)</t>
  </si>
  <si>
    <t>Bluebeam Revu 11 CAD - Software Includes 1st Year of Maintenance (1,000+ users)</t>
  </si>
  <si>
    <t>e. Bluebeam Revu 11 CAD - ADDITIONAL ANNUAL MAINTENANCE</t>
  </si>
  <si>
    <t>Revu CAD MNT(1-4 USR)</t>
  </si>
  <si>
    <t>Bluebeam Revu 11 CAD - Additional Annual Maintenance (1-4 users)</t>
  </si>
  <si>
    <t>Revu CAD MNT(5-9 USR)</t>
  </si>
  <si>
    <t>Bluebeam Revu 11 CAD - Additional Annual Maintenance (5-9 users)</t>
  </si>
  <si>
    <t>Revu CAD MNT(10-24 USR)</t>
  </si>
  <si>
    <t>Bluebeam Revu 11 CAD - Additional Annual Maintenance (10-24 users)</t>
  </si>
  <si>
    <t>Revu CAD MNT(25-49 USR)</t>
  </si>
  <si>
    <t>Bluebeam Revu 11 CAD - Additional Annual Maintenance (25-49 users)</t>
  </si>
  <si>
    <t>Revu CAD MNT(50-99 USR)</t>
  </si>
  <si>
    <t>Bluebeam Revu 11 CAD - Additional Annual Maintenance (50-99 users)</t>
  </si>
  <si>
    <t>Revu CAD MNT(100-199 USR)</t>
  </si>
  <si>
    <t>Bluebeam Revu 11 CAD - Additional Annual Maintenance (100-199 users)</t>
  </si>
  <si>
    <t>Revu CAD MNT(200-349 USR)</t>
  </si>
  <si>
    <t>Bluebeam Revu 11 CAD - Additional Annual Maintenance (200-349 users)</t>
  </si>
  <si>
    <t>Revu CAD MNT(350-499 USR)</t>
  </si>
  <si>
    <t>Bluebeam Revu 11 CAD - Additional Annual Maintenance (350-499 users)</t>
  </si>
  <si>
    <t>Revu CAD MNT(500-999 USR)</t>
  </si>
  <si>
    <t>Bluebeam Revu 11 CAD - Additional Annual Maintenance (500-999 users)</t>
  </si>
  <si>
    <t>Revu CAD MNT(1,000+ USR)</t>
  </si>
  <si>
    <t>Bluebeam Revu 11 CAD - Additional Annual Maintenance (1,000+ users)</t>
  </si>
  <si>
    <t>f. Bluebeam Revu 11 CAD - SOFTWARE UPGRADE</t>
  </si>
  <si>
    <t>Revu CAD - UPG 1-4 USR</t>
  </si>
  <si>
    <t>Bluebeam Revu 11 CAD - Software Upgrade (1-4 users)</t>
  </si>
  <si>
    <t>Revu CAD - UPG 5-9 USR</t>
  </si>
  <si>
    <t>Bluebeam Revu 11 CAD - Software Upgrade (5-9 users)</t>
  </si>
  <si>
    <t>Revu CAD - UPG 10-24 USR</t>
  </si>
  <si>
    <t>Bluebeam Revu 11 CAD - Software Upgrade (10-24 users)</t>
  </si>
  <si>
    <t>Revu CAD - UPG 25-49 USR</t>
  </si>
  <si>
    <t>Bluebeam Revu 11 CAD - Software Upgrade (25-49 users)</t>
  </si>
  <si>
    <t>Revu CAD - UPG 50-99 USR</t>
  </si>
  <si>
    <t>Bluebeam Revu 11 CAD - Software Upgrade (50-99 users)</t>
  </si>
  <si>
    <t>Revu CAD - UPG 100-199 USR</t>
  </si>
  <si>
    <t>Bluebeam Revu 11 CAD - Software Upgrade (100-199 users)</t>
  </si>
  <si>
    <t>Revu CAD - UPG 200-349 USR</t>
  </si>
  <si>
    <t>Bluebeam Revu 11 CAD - Software Upgrade (200-349 users)</t>
  </si>
  <si>
    <t>Revu CAD - UPG 350-499 USR</t>
  </si>
  <si>
    <t>Bluebeam Revu 11 CAD - Software Upgrade (350-499 users)</t>
  </si>
  <si>
    <t>Revu CAD - UPG 500-999 USR</t>
  </si>
  <si>
    <t>Bluebeam Revu 11 CAD - Software Upgrade (500-999 users)</t>
  </si>
  <si>
    <t>Revu CAD - UPG 1,000+ USR</t>
  </si>
  <si>
    <t>Bluebeam Revu 11 CAD - Software Upgrade (1000+ users)</t>
  </si>
  <si>
    <t>g. Bluebeam Revu 11 EXTREME - SOFTWARE WITH 1st YEAR of MAINTENANCE</t>
  </si>
  <si>
    <t>Revu eXtreme SW w/ MNT (1-4 USR)</t>
  </si>
  <si>
    <t>Bluebeam Revu 11 eXtreme - Software Includes 1st Year of Maintenance (1-4 users)</t>
  </si>
  <si>
    <t>Revu eXtreme SW w/ MNT(5-9 USR)</t>
  </si>
  <si>
    <t>Bluebeam Revu 11 eXtreme - Software Includes 1st Year of Maintenance (5-9 users)</t>
  </si>
  <si>
    <t>Revu eXtreme SW w/ MNT(10-24 USR)</t>
  </si>
  <si>
    <t>Bluebeam Revu 11 eXtreme - Software Includes 1st Year of Maintenance (10-24 users)</t>
  </si>
  <si>
    <t>Revu eXtreme SW w/ MNT(25-49 USR)</t>
  </si>
  <si>
    <t>Bluebeam Revu 11 eXtreme - Software Includes 1st Year of Maintenance (25-49 users)</t>
  </si>
  <si>
    <t>Revu eXtreme SW w/ MNT(50-99 USR)</t>
  </si>
  <si>
    <t>Bluebeam Revu 11 eXtreme - Software Includes 1st Year of Maintenance (50-99 users)</t>
  </si>
  <si>
    <t>Revu eXtreme SW w/ MNT (100-199 USR)</t>
  </si>
  <si>
    <t>Bluebeam Revu 11 eXtreme - Software Includes 1st Year of Maintenance (100-199 users)</t>
  </si>
  <si>
    <t>Revu eXtreme SW w/ MNT (200-349 USR)</t>
  </si>
  <si>
    <t>Bluebeam Revu 11 eXtreme - Software Includes 1st Year of Maintenance (200-349 users)</t>
  </si>
  <si>
    <t>Revu eXtreme SW w/ MNT(350-499 USR)</t>
  </si>
  <si>
    <t>Bluebeam Revu 11 eXtreme - Software Includes 1st Year of Maintenance (350-499 users)</t>
  </si>
  <si>
    <t>Revu eXtreme SW w/ MNT(500-999 USR)</t>
  </si>
  <si>
    <t>Bluebeam Revu 11 eXtreme - Software Includes 1st Year of Maintenance (500-999 users)</t>
  </si>
  <si>
    <t>Revu eXtreme SW w/ MNT(1,000+ USR)</t>
  </si>
  <si>
    <t>Bluebeam Revu 11 eXtreme - Software Includes 1st Year of Maintenance (1,000+ users)</t>
  </si>
  <si>
    <t>h. Bluebeam Revu 11 EXTREME - ADDITIONAL ANNUAL MAINTENANCE</t>
  </si>
  <si>
    <t>Revu eXtreme MNT(1-4 USR)</t>
  </si>
  <si>
    <t>Bluebeam Revu 11 eXtreme - Additional Annual Maintenance(1-4 users)</t>
  </si>
  <si>
    <t>Revu eXtreme MNT(5-9 USR)</t>
  </si>
  <si>
    <t>Bluebeam Revu 11 eXtreme - Additional Annual Maintenance(5-9 users)</t>
  </si>
  <si>
    <t>Revu eXtreme MNT(10-24 USR)</t>
  </si>
  <si>
    <t>Bluebeam Revu 11 eXtreme - Additional Annual Maintenance(10-24 users)</t>
  </si>
  <si>
    <t>Revu eXtreme MNT(25-49 USR)</t>
  </si>
  <si>
    <t>Bluebeam Revu 11 eXtreme - Additional Annual Maintenance(25-49 users)</t>
  </si>
  <si>
    <t>Revu eXtreme MNT(50-99 USR)</t>
  </si>
  <si>
    <t>Bluebeam Revu 11 eXtreme - Additional Annual Maintenance(50-99 users)</t>
  </si>
  <si>
    <t>Revu eXtreme MNT(100-199 USR)</t>
  </si>
  <si>
    <t>Bluebeam Revu 11 eXtreme - Additional Annual Maintenance(100-199 users)</t>
  </si>
  <si>
    <t>Revu eXtreme MNT(200-349 USR)</t>
  </si>
  <si>
    <t>Bluebeam Revu 11 eXtreme - Additional Annual Maintenance(200-349 users)</t>
  </si>
  <si>
    <t>Revu eXtreme MNT(350-499 USR)</t>
  </si>
  <si>
    <t>Bluebeam Revu 11 eXtreme - Additional Annual Maintenance(350-499 users)</t>
  </si>
  <si>
    <t>Revu eXtreme MNT(500-999 USR)</t>
  </si>
  <si>
    <t>Bluebeam Revu 11 eXtreme - Additional Annual Maintenance(500-999 users)</t>
  </si>
  <si>
    <t>Revu eXtreme MNT(1,000+ USR)</t>
  </si>
  <si>
    <t>Bluebeam Revu 11 eXtreme - Additional Annual Maintenance(1,000+ users)</t>
  </si>
  <si>
    <t>i. Bluebeam Revu 11 EXTREME - SOFTWARE UPGRADE</t>
  </si>
  <si>
    <t>Revu eXtreme UPG(1-4 USR)</t>
  </si>
  <si>
    <t>Bluebeam Revu 11 eXtreme - Software Upgrade (1-4 users)</t>
  </si>
  <si>
    <t>Revu eXtreme UPG(5-9 USR)</t>
  </si>
  <si>
    <t>Bluebeam Revu 11 eXtreme - Software Upgrade (5-9 users)</t>
  </si>
  <si>
    <t>Revu eXtreme UPG(10-24 USR)</t>
  </si>
  <si>
    <t>Bluebeam Revu 11 eXtreme - Software Upgrade (10-24 users)</t>
  </si>
  <si>
    <t>Revu eXtreme UPG(25-49 USR)</t>
  </si>
  <si>
    <t>Bluebeam Revu 11 eXtreme - Software Upgrade (25-49 users)</t>
  </si>
  <si>
    <t>Revu eXtreme UPG(50-99 USR)</t>
  </si>
  <si>
    <t>Bluebeam Revu 11 eXtreme - Software Upgrade (50-99 users)</t>
  </si>
  <si>
    <t>Revu eXtreme UPG(100-199 USR)</t>
  </si>
  <si>
    <t>Bluebeam Revu 11 eXtreme - Software Upgrade (100-199 users)</t>
  </si>
  <si>
    <t>Revu eXtreme UPG(200-349 USR)</t>
  </si>
  <si>
    <t>Bluebeam Revu 11 eXtreme - Software Upgrade (200-349 users)</t>
  </si>
  <si>
    <t>Revu eXtreme UPG(350-499 USR)</t>
  </si>
  <si>
    <t>Bluebeam Revu 11 eXtreme - Software Upgrade (350-499 users)</t>
  </si>
  <si>
    <t>Revu eXtreme UPG(500-999 USR)</t>
  </si>
  <si>
    <t>Bluebeam Revu 11 eXtreme - Software Upgrade (500-999 users)</t>
  </si>
  <si>
    <t>Revu eXtreme UPG(1,000+ USR)</t>
  </si>
  <si>
    <t>Bluebeam Revu 11 eXtreme - Software Upgrade (1,000+ users)</t>
  </si>
  <si>
    <t>j. BLUEBEAM ENTERPRISE LICENSE</t>
  </si>
  <si>
    <t>Bluebeam ENTERPRISE LICENSE Management</t>
  </si>
  <si>
    <t>Automates the Management of the Customer's Software. This utility is used to automatically track license usage and releasing inactive seats that, in turn, become available to install on other computers. Price is set at $5.00 per seat.</t>
  </si>
  <si>
    <t>k. BLUEBEAM Q v4 (1 server)</t>
  </si>
  <si>
    <t>BBM Q (1 Server + Inc. 1 Yr MNT)5</t>
  </si>
  <si>
    <t>Bluebeam Q (1 server includes 1 year maintenance)</t>
  </si>
  <si>
    <t>BBM Q MNT - RNW per SRV (Opt. AFR 1 YR)</t>
  </si>
  <si>
    <t>Bluebeam Q Maintenance - renewal price per server (optional after 1 year)</t>
  </si>
  <si>
    <t>BBM Q Upgrade Price (per server)</t>
  </si>
  <si>
    <t>Bluebeam Q Upgrade Price (per server)</t>
  </si>
  <si>
    <t>l. BLUEBEAM STUDIO SERVER</t>
  </si>
  <si>
    <t>Bluebeam STUDIO SERVER (Lic+1YR MNT)</t>
  </si>
  <si>
    <t>BLUEBEAM STUDIO SERVER includes one Studio Server license and product maintenance for one year from the date of purchase.</t>
  </si>
  <si>
    <t>BBM Studio SRV MNT- RNW (Opt.AFR 1 YR)</t>
  </si>
  <si>
    <t>Bluebeam Studio Server Maintenance - renewal price per server (optional after 1 year)</t>
  </si>
  <si>
    <t>BBM Studio Server UPG Price (per SRV)</t>
  </si>
  <si>
    <t>Bluebeam Studio Server Upgrade Price (per server)</t>
  </si>
  <si>
    <t>Bluebeam REVU 11 Academic   Bluebeam REVU 11 Academic</t>
  </si>
  <si>
    <t>Bluebeam REVU 11 Academic</t>
  </si>
  <si>
    <t>a. BLUEBEAM REVU 11 Standard Academic - Software with Annual Maintenance Package</t>
  </si>
  <si>
    <t>BBM Revu STD AC w/ MNT(1-4 USR)</t>
  </si>
  <si>
    <t>Bluebeam Revu 11 Standard Academic Software with Annual Maintenance Package (1-4 users)</t>
  </si>
  <si>
    <t>BBM Revu STD AC w/ MNT(5-9 USR)</t>
  </si>
  <si>
    <t>Bluebeam Revu 11 Standard Academic Software with Annual Maintenance Package (5-9 users)</t>
  </si>
  <si>
    <t>BBM Revu STD AC w/ MNT(10-24 USR)</t>
  </si>
  <si>
    <t>Bluebeam Revu 11 Standard Academic Software with Annual Maintenance Package (10-24 users)</t>
  </si>
  <si>
    <t>BBM Revu STD AC w/ MNT(25-49 USR)</t>
  </si>
  <si>
    <t>Bluebeam Revu 11 Standard Academic Software with Annual Maintenance Package (25-49 users)</t>
  </si>
  <si>
    <t>BBM Revu STD AC w/ MNT(50-99 USR)</t>
  </si>
  <si>
    <t>Bluebeam Revu 11 Standard Academic Software with Annual Maintenance Package (50-99 users)</t>
  </si>
  <si>
    <t>BBM Revu STD AC w/ MNT(100-199 USR)</t>
  </si>
  <si>
    <t>Bluebeam Revu 11 Standard Academic Software with Annual Maintenance Package (100-199 users)</t>
  </si>
  <si>
    <t>BBM Revu STD AC w/ MNT(200-349 USR)</t>
  </si>
  <si>
    <t>Bluebeam Revu 11 Standard Academic Software with Annual Maintenance Package (200-349 users)</t>
  </si>
  <si>
    <t>BBM Revu STD AC w/ MNT(350-499 USR)</t>
  </si>
  <si>
    <t>Bluebeam Revu 11 Standard Academic Software with Annual Maintenance Package (350-499 users)</t>
  </si>
  <si>
    <t>BBM Revu STD AC w/ MNT(500-999 USR)</t>
  </si>
  <si>
    <t>Bluebeam Revu 11 Standard Academic Software with Annual Maintenance Package (500-999 users)</t>
  </si>
  <si>
    <t>BBM Revu STD AC w/ MNT(1,000+ USR)</t>
  </si>
  <si>
    <t>Bluebeam Revu 11 Standard Academic Software with Annual Maintenance Package (1,000+ users)</t>
  </si>
  <si>
    <t>b. BLUEBEAM REVU 11 Standard Academic - Software</t>
  </si>
  <si>
    <t>BBM Revu STD AC SW(1-4 USR)</t>
  </si>
  <si>
    <t>Bluebeam Revu 11 Standard Academic - Software (1-4 users)</t>
  </si>
  <si>
    <t>BBM Revu STD AC SW(5-9 USR)</t>
  </si>
  <si>
    <t>Bluebeam Revu 11 Standard Academic - Software (5-9 users)</t>
  </si>
  <si>
    <t>BBM Revu STD AC SW(10-24 USR)</t>
  </si>
  <si>
    <t>Bluebeam Revu 11 Standard Academic - Software (10-24 users)</t>
  </si>
  <si>
    <t>BBM Revu STD AC SW(25-49 USR)</t>
  </si>
  <si>
    <t>Bluebeam Revu 11 Standard Academic - Software (25-49 users)</t>
  </si>
  <si>
    <t>BBM Revu STD AC SW(50-99 USR)</t>
  </si>
  <si>
    <t>Bluebeam Revu 11 Standard Academic - Software (50-99 users)</t>
  </si>
  <si>
    <t>BBM Revu STD AC SW(100-199 USR)</t>
  </si>
  <si>
    <t>Bluebeam Revu 11 Standard Academic - Software (100-199 users)</t>
  </si>
  <si>
    <t>BBM Revu STD AC SW(200-349 USR)</t>
  </si>
  <si>
    <t>Bluebeam Revu 11 Standard Academic - Software (200-349 users)</t>
  </si>
  <si>
    <t>BBM Revu STD AC SW(350-499 USR)</t>
  </si>
  <si>
    <t>Bluebeam Revu 11 Standard Academic - Software (350-499 users)</t>
  </si>
  <si>
    <t>BBM Revu STD AC SW(500-999 USR)</t>
  </si>
  <si>
    <t>Bluebeam Revu 11 Standard Academic - Software (500-999 users)</t>
  </si>
  <si>
    <t>BBM Revu STD AC SW(1,000+ USR)</t>
  </si>
  <si>
    <t>Bluebeam Revu 11 Standard Academic - Software (1,000+ users)</t>
  </si>
  <si>
    <t>c. BLUEBEAM REVU 11 Standard Academic - Annual Maintenance</t>
  </si>
  <si>
    <t>BBM Revu STD AC MNT(1-4 USR)</t>
  </si>
  <si>
    <t>Bluebeam Revu 11 Standard Academic Annual Maintenance (1-4 users)</t>
  </si>
  <si>
    <t>BBM Revu STD AC MNT(5-9 USR)</t>
  </si>
  <si>
    <t>Bluebeam Revu 11 Standard Academic Annual Maintenance (5-9 users)</t>
  </si>
  <si>
    <t>BBM Revu STD AC MNT(10-24 USR)</t>
  </si>
  <si>
    <t>Bluebeam Revu 11 Standard Academic Annual Maintenance (10-24 users)</t>
  </si>
  <si>
    <t>BBM Revu STD AC MNT(25-49 USR)</t>
  </si>
  <si>
    <t>Bluebeam Revu 11 Standard Academic Annual Maintenance (25-49 users)</t>
  </si>
  <si>
    <t>BBM Revu STD AC MNT(50-99 USR)</t>
  </si>
  <si>
    <t>Bluebeam Revu 11 Standard Academic Annual Maintenance (50-99 users)</t>
  </si>
  <si>
    <t>BBM Revu STD AC MNT(100-199 USR)</t>
  </si>
  <si>
    <t>Bluebeam Revu 11 Standard Academic Annual Maintenance (100-199 users)</t>
  </si>
  <si>
    <t>BBM Revu STD AC MNT(200-349 USR)</t>
  </si>
  <si>
    <t>Bluebeam Revu 11 Standard Academic Annual Maintenance (200-349 users)</t>
  </si>
  <si>
    <t>BBM Revu STD AC MNT(350-499 USR)</t>
  </si>
  <si>
    <t>Bluebeam Revu 11 Standard Academic Annual Maintenance (350-499 users)</t>
  </si>
  <si>
    <t>BBM Revu STD AC MNT(500-999 USR)</t>
  </si>
  <si>
    <t>Bluebeam Revu 11 Standard Academic Annual Maintenance (500-999 users)</t>
  </si>
  <si>
    <t>BBM Revu STD AC MNT(1,000+ USR)</t>
  </si>
  <si>
    <t>Bluebeam Revu 11 Standard Academic Annual Maintenance (1,000+ users)</t>
  </si>
  <si>
    <t>d. BLUEBEAM REVU 11 CAD Academic - Software with Annual Maintenance Package</t>
  </si>
  <si>
    <t>Revu CAD AC SW + MNT(1-4 USR)</t>
  </si>
  <si>
    <t>Bluebeam Revu 11 CAD Academic - Software with Annual Maintenance Package (1-4 users)</t>
  </si>
  <si>
    <t>Revu CAD AC SW + MNT(5-9 USR)</t>
  </si>
  <si>
    <t>Bluebeam Revu 11 CAD Academic - Software with Annual Maintenance Package (5-9 users)</t>
  </si>
  <si>
    <t>Revu CAD AC SW + MNT(10-24 USR)</t>
  </si>
  <si>
    <t>Bluebeam Revu 11 CAD Academic - Software with Annual Maintenance Package (10-24 users)</t>
  </si>
  <si>
    <t>Revu CAD AC SW + MNT(25-49 USR)</t>
  </si>
  <si>
    <t>Bluebeam Revu 11 CAD Academic - Software with Annual Maintenance Package (25-49 users)</t>
  </si>
  <si>
    <t>Revu CAD AC SW + MNT(50-99 USR)</t>
  </si>
  <si>
    <t>Bluebeam Revu 11 CAD Academic - Software with Annual Maintenance Package (50-99 users)</t>
  </si>
  <si>
    <t>Revu CAD AC SW + MNT(100-199 USR)</t>
  </si>
  <si>
    <t>Bluebeam Revu 11 CAD Academic - Software with Annual Maintenance Package (100-199 users)</t>
  </si>
  <si>
    <t>Revu CAD AC SW + MNT(200-349 USR)</t>
  </si>
  <si>
    <t>Bluebeam Revu 11 CAD Academic - Software with Annual Maintenance Package (200-349 users)</t>
  </si>
  <si>
    <t>Revu CAD AC SW + MNT(350-499 USR)</t>
  </si>
  <si>
    <t>Bluebeam Revu 11 CAD Academic - Software with Annual Maintenance Package (350-499 users)</t>
  </si>
  <si>
    <t>Revu CAD AC SW + MNT(500-999 USR)</t>
  </si>
  <si>
    <t>Bluebeam Revu 11 CAD Academic - Software with Annual Maintenance Package (500-999 users)</t>
  </si>
  <si>
    <t>Revu CAD AC SW + MNT(1,000+ USR)</t>
  </si>
  <si>
    <t>Bluebeam Revu 11 CAD Academic - Software with Annual Maintenance Package (1,000+ users)</t>
  </si>
  <si>
    <t>e. BLUEBEAM REVU 11 CAD Academic - SOFTWARE</t>
  </si>
  <si>
    <t>Revu CAD AC SW(1-4 USR)</t>
  </si>
  <si>
    <t>Bluebeam Revu 11 CAD Academic - Software (1-4 users)</t>
  </si>
  <si>
    <t>Revu CAD AC SW(5-9 USR)</t>
  </si>
  <si>
    <t>Bluebeam Revu 11 CAD Academic - Software (5-9 users)</t>
  </si>
  <si>
    <t>Revu CAD AC SW(10-24 USR)</t>
  </si>
  <si>
    <t>Bluebeam Revu 11 CAD Academic - Software (10-24 users)</t>
  </si>
  <si>
    <t>Revu CAD AC SW(25-49 USR)</t>
  </si>
  <si>
    <t>Bluebeam Revu 11 CAD Academic - Software (25-49 users)</t>
  </si>
  <si>
    <t>Revu CAD AC SW(50-99 USR)</t>
  </si>
  <si>
    <t>Bluebeam Revu 11 CAD Academic - Software (50-99 users)</t>
  </si>
  <si>
    <t>Revu CAD AC SW(100-199 USR)</t>
  </si>
  <si>
    <t>Bluebeam Revu 11 CAD Academic - Software (100-199 users)</t>
  </si>
  <si>
    <t>Revu CAD AC SW(200-349 USR)</t>
  </si>
  <si>
    <t>Bluebeam Revu 11 CAD Academic - Software (200-349 users)</t>
  </si>
  <si>
    <t>Revu CAD AC SW(350-499 USR)</t>
  </si>
  <si>
    <t>Bluebeam Revu 11 CAD Academic - Software (350-499 users)</t>
  </si>
  <si>
    <t>Revu CAD AC SW(500-999 USR)</t>
  </si>
  <si>
    <t>Bluebeam Revu 11 CAD Academic - Software (500-999 users)</t>
  </si>
  <si>
    <t>Revu CAD AC SW(1,000+ USR)</t>
  </si>
  <si>
    <t>Bluebeam Revu 11 CAD Academic - Software (1,000+ users)</t>
  </si>
  <si>
    <t>f. BLUEBEAM REVU 11 CAD Academic - Annual Maintenance</t>
  </si>
  <si>
    <t>Revu CAD AC MNT(1-4 USR)</t>
  </si>
  <si>
    <t>Bluebeam Revu 11 CAD Academic - Annual Maintenance (1-4 users)</t>
  </si>
  <si>
    <t>Revu CAD AC MNT(5-9 USR)</t>
  </si>
  <si>
    <t>Bluebeam Revu 11 CAD Academic - Annual Maintenance (5-9 users)</t>
  </si>
  <si>
    <t>Revu CAD AC MNT(10-24 USR)</t>
  </si>
  <si>
    <t>Bluebeam Revu 11 CAD Academic - Annual Maintenance (10-24 users)</t>
  </si>
  <si>
    <t>Revu CAD AC MNT(25-49 USR)</t>
  </si>
  <si>
    <t>Bluebeam Revu 11 CAD Academic - Annual Maintenance (25-49 users)</t>
  </si>
  <si>
    <t>Revu CAD AC MNT(50-99 USR)</t>
  </si>
  <si>
    <t>Bluebeam Revu 11 CAD Academic - Annual Maintenance (50-99 users)</t>
  </si>
  <si>
    <t>Revu CAD AC MNT(100-199 USR)</t>
  </si>
  <si>
    <t>Bluebeam Revu 11 CAD Academic - Annual Maintenance (100-199 users)</t>
  </si>
  <si>
    <t>Revu CAD AC MNT(200-349 USR)</t>
  </si>
  <si>
    <t>Bluebeam Revu 11 CAD Academic - Annual Maintenance (200-349 users)</t>
  </si>
  <si>
    <t>Revu CAD AC MNT(350-499 USR)</t>
  </si>
  <si>
    <t>Bluebeam Revu 11 CAD Academic - Annual Maintenance (350-499 users)</t>
  </si>
  <si>
    <t>Revu CAD AC MNT(500-999 USR)</t>
  </si>
  <si>
    <t>Bluebeam Revu 11 CAD Academic - Annual Maintenance (500-999 users)</t>
  </si>
  <si>
    <t>Revu CAD AC MNT(1,000+ USR)</t>
  </si>
  <si>
    <t>Bluebeam Revu 11 CAD Academic - Annual Maintenance (1,000+ users)</t>
  </si>
  <si>
    <t>g. BLUEBEAM REVU 11 EXTREME Academic - Software with Annual Maintenance Package</t>
  </si>
  <si>
    <t>Revu eXtreme AC w/ MNT (1-4 USR)</t>
  </si>
  <si>
    <t>Bluebeam Revu 11 eXtreme Academic - Software with Annual Maintenance Package (1-4 users)</t>
  </si>
  <si>
    <t>Revu eXtreme AC w/ MNT(5-9 USR)</t>
  </si>
  <si>
    <t>Bluebeam Revu 11 eXtreme Academic - Software with Annual Maintenance Package (5-9 users)</t>
  </si>
  <si>
    <t>Revu eXtreme AC w/ MNT(10-24 USR)</t>
  </si>
  <si>
    <t>Bluebeam Revu 11 eXtreme Academic - Software with Annual Maintenance Package (10-24 users)</t>
  </si>
  <si>
    <t>Revu eXtreme AC w/ MNT(25-49 USR)</t>
  </si>
  <si>
    <t>Bluebeam Revu 11 eXtreme Academic - Software with Annual Maintenance Package (25-49 users)</t>
  </si>
  <si>
    <t>Revu eXtreme AC w/ MNT(50-99 USR)</t>
  </si>
  <si>
    <t>Bluebeam Revu 11 eXtreme Academic - Software with Annual Maintenance Package (50-99 users)</t>
  </si>
  <si>
    <t>Revu eXtreme AC w/ MNT (100-199 USR)</t>
  </si>
  <si>
    <t>Bluebeam Revu 11 eXtreme Academic - Software with Annual Maintenance Package (100-199 users)</t>
  </si>
  <si>
    <t>Revu eXtreme AC w/ MNT (200-349 USR)</t>
  </si>
  <si>
    <t>Bluebeam Revu 11 eXtreme Academic - Software with Annual Maintenance Package (200-349 users)</t>
  </si>
  <si>
    <t>Revu eXtreme AC w/ MNT(350-499 USR)</t>
  </si>
  <si>
    <t>Bluebeam Revu 11 eXtreme Academic - Software with Annual Maintenance Package (350-499 users)</t>
  </si>
  <si>
    <t>Revu eXtreme AC w/ MNT(500-999 USR)</t>
  </si>
  <si>
    <t>Bluebeam Revu 11 eXtreme Academic - Software with Annual Maintenance Package (500-999 users)</t>
  </si>
  <si>
    <t>Revu eXtreme AC w/ MNT(1,000+ USR)</t>
  </si>
  <si>
    <t>Bluebeam Revu 11 eXtreme Academic - Software with Annual Maintenance Package (1,000+ users)</t>
  </si>
  <si>
    <t>h. BLUEBEAM REVU 11 EXTREME Academic - SOFTWARE</t>
  </si>
  <si>
    <t>Revu eXtreme AC SW(1-4 USR)</t>
  </si>
  <si>
    <t>Bluebeam Revu 11 eXtreme Academic - Software (1-4 users)</t>
  </si>
  <si>
    <t>Revu eXtreme AC SW(5-9 USR)</t>
  </si>
  <si>
    <t>Bluebeam Revu 11 eXtreme Academic - Software (5-9 users)</t>
  </si>
  <si>
    <t>Revu eXtreme AC SW(10-24 USR)</t>
  </si>
  <si>
    <t>Bluebeam Revu 11 eXtreme Academic - Software (10-24 users)</t>
  </si>
  <si>
    <t>Revu eXtreme AC SW(25-49 USR)</t>
  </si>
  <si>
    <t>Bluebeam Revu 11 eXtreme Academic - Software (25-49 users)</t>
  </si>
  <si>
    <t>Revu eXtreme AC SW(50-99 USR)</t>
  </si>
  <si>
    <t>Bluebeam Revu 11 eXtreme Academic - Software (50-99 users)</t>
  </si>
  <si>
    <t>Revu eXtreme AC SW(100-199 USR)</t>
  </si>
  <si>
    <t>Bluebeam Revu 11 eXtreme Academic - Software (100-199 users)</t>
  </si>
  <si>
    <t>Revu eXtreme AC SW(200-349 USR)</t>
  </si>
  <si>
    <t>Bluebeam Revu 11 eXtreme Academic - Software (200-349 users)</t>
  </si>
  <si>
    <t>Revu eXtreme AC SW(350-499 USR)</t>
  </si>
  <si>
    <t>Bluebeam Revu 11 eXtreme Academic - Software (350-499 users)</t>
  </si>
  <si>
    <t>Revu eXtreme AC SW(500-999 USR)</t>
  </si>
  <si>
    <t>Bluebeam Revu 11 eXtreme Academic - Software (500-999 users)</t>
  </si>
  <si>
    <t>Revu eXtreme AC SW(1,000+ USR)</t>
  </si>
  <si>
    <t>Bluebeam Revu 11 eXtreme Academic - Software (1,000+ users)</t>
  </si>
  <si>
    <t>i. BLUEBEAM REVU 11 EXTREME Academic- Annual Maintenance</t>
  </si>
  <si>
    <t>Revu eXtreme AC MNT(1-4 USR)</t>
  </si>
  <si>
    <t>Bluebeam Revu 11 eXtreme Academic - Annual Maintenance(1-4 users)</t>
  </si>
  <si>
    <t>Revu eXtreme AC MNT(5-9 USR)</t>
  </si>
  <si>
    <t>Bluebeam Revu 11 eXtreme Academic - Annual Maintenance(5-9 users)</t>
  </si>
  <si>
    <t>Revu eXtreme AC MNT(10-24 USR)</t>
  </si>
  <si>
    <t>Bluebeam Revu 11 eXtreme Academic - Annual Maintenance(10-24 users)</t>
  </si>
  <si>
    <t>Revu eXtreme AC MNT(25-49 USR)</t>
  </si>
  <si>
    <t>Bluebeam Revu 11 eXtreme Academic - Annual Maintenance(25-49 users)</t>
  </si>
  <si>
    <t>Revu eXtreme AC MNT(50-99 USR)</t>
  </si>
  <si>
    <t>Bluebeam Revu 11 eXtreme Academic - Annual Maintenance(50-99 users)</t>
  </si>
  <si>
    <t>Revu eXtreme AC MNT(100-199 USR)</t>
  </si>
  <si>
    <t>Bluebeam Revu 11 eXtreme Academic - Annual Maintenance(100-199 users)</t>
  </si>
  <si>
    <t>Revu eXtreme AC MNT(200-349 USR)</t>
  </si>
  <si>
    <t>Bluebeam Revu 11 eXtreme Academic - Annual Maintenance(200-349 users)</t>
  </si>
  <si>
    <t>Revu eXtreme AC MNT(350-499 USR)</t>
  </si>
  <si>
    <t>Bluebeam Revu 11 eXtreme Academic - Annual Maintenance(350-499 users)</t>
  </si>
  <si>
    <t>Revu eXtreme AC MNT(500-999 USR)</t>
  </si>
  <si>
    <t>Bluebeam Revu 11 eXtreme Academic - Annual Maintenance(500-999 users)</t>
  </si>
  <si>
    <t>Revu eXtreme AC MNT(1,000+ USR)</t>
  </si>
  <si>
    <t>Bluebeam Revu 11 eXtreme Academic - Annual Maintenance(1,000+ users)</t>
  </si>
  <si>
    <t>BookScribe 2000*   Face-Up Book Copier</t>
  </si>
  <si>
    <t>BookScribe 2000*</t>
  </si>
  <si>
    <t>Face-Up Book Copier</t>
  </si>
  <si>
    <t>Coin Ops/Vendor Cards</t>
  </si>
  <si>
    <t>PS3000PR/3390 Installation Kit</t>
  </si>
  <si>
    <t>Vendor Card Interface Kit</t>
  </si>
  <si>
    <t>Miscellaneous Options</t>
  </si>
  <si>
    <t>Foot Pedal</t>
  </si>
  <si>
    <t>Foot Switch Harness</t>
  </si>
  <si>
    <t>Angle Book Holder</t>
  </si>
  <si>
    <t>PC Interface Kits/SCSI Kits</t>
  </si>
  <si>
    <t>PC Upgrade Kit</t>
  </si>
  <si>
    <t>DPCS -&gt; SCSI</t>
  </si>
  <si>
    <t>Enhanced SCSI Kit</t>
  </si>
  <si>
    <t>Printer/Copier Accessories</t>
  </si>
  <si>
    <t>250-Sheet Universal Paper Cassette</t>
  </si>
  <si>
    <t>For MSP3000 Printer</t>
  </si>
  <si>
    <t>Second Tray with 250-Sheet Universal Cassette</t>
  </si>
  <si>
    <t>For MSP3000</t>
  </si>
  <si>
    <t>MSP3000 Printer Imaging Unit</t>
  </si>
  <si>
    <t>500-Sheet Letter Cassette</t>
  </si>
  <si>
    <t>Roller Base</t>
  </si>
  <si>
    <t>ChartMD Bundle w/ EMR connector   ChartMD Bundle w/ EMR connector</t>
  </si>
  <si>
    <t>ChartMD Bundle w/ EMR connector</t>
  </si>
  <si>
    <t>Hardware</t>
  </si>
  <si>
    <t>Fujitsu n1800/ChartMD Bundle w/ EMR connector - 12 Month Subscription</t>
  </si>
  <si>
    <t>Fujitsu n1800/ChartMD Bundle w/ EMR connector - 36 Month Subscription</t>
  </si>
  <si>
    <t>Fujitsu n1800/ChartMD Bundle w/ EMR connector - 48 Month Subscription</t>
  </si>
  <si>
    <t>Fujitsu n1800/ChartMD Bundle w/ EMR connector - 60 Month Subscription</t>
  </si>
  <si>
    <t>Fujitsu 6010N/ChartMD Bundle w/ EMR connector - 12 Month Subscription</t>
  </si>
  <si>
    <t>Fujitsu 6010N/ChartM Bundle w/ EMR connector - 36 Month Subscription</t>
  </si>
  <si>
    <t>Fujitsu 6010N/ChartM Bundle w/ EMR connector - 48 Month Subscription</t>
  </si>
  <si>
    <t>Fujitsu 6010N/ChartM Bundle w/ EMR connector - 60 Month Subscription</t>
  </si>
  <si>
    <t>Shipping Fees</t>
  </si>
  <si>
    <t>Delivery</t>
  </si>
  <si>
    <t>Software</t>
  </si>
  <si>
    <t>12 month Inofile Chart MD with EMR Connector Bundle</t>
  </si>
  <si>
    <t>36 month Inofile Chart MD with EMR Connector Bundle</t>
  </si>
  <si>
    <t>48 month Inofile Chart MD with EMR Connector Bundle</t>
  </si>
  <si>
    <t>60 month Inofile Chart MD with EMR Connector Bundle</t>
  </si>
  <si>
    <t>Installation and Configuration</t>
  </si>
  <si>
    <t>Support</t>
  </si>
  <si>
    <t>1 year Premium Support Services</t>
  </si>
  <si>
    <t>Corporate Announcements   Corporate Announcements</t>
  </si>
  <si>
    <t>Corporate Announcements</t>
  </si>
  <si>
    <t>Corporate Announcements with 5 MFP lic.</t>
  </si>
  <si>
    <t>Corporate Announcements 5 MFP add-on</t>
  </si>
  <si>
    <t>Corporate Announcements 50 MFP add-on</t>
  </si>
  <si>
    <t>Corporate Announcements100 MFP add-on</t>
  </si>
  <si>
    <t>Corporate Announcements500 MFP add-on</t>
  </si>
  <si>
    <t>Corporate Announcements1000 MFP add-on</t>
  </si>
  <si>
    <t>Corporate Announcement Application 1 HR Install/Training</t>
  </si>
  <si>
    <t>Server Options and Accessories</t>
  </si>
  <si>
    <t>SINGLE PORT NIC: MP MAX T7500 ONLY</t>
  </si>
  <si>
    <t>Single Port NIC Card, PCIe, 10/1000 Mbps. For Max models only with Dell Precision T7500 hardware. Recommended when additional 1GB Ethernet ports are required for connectivity of additional devices. 30 day limited warranty. Each Color device requires a dedicated 1GB Ethernet port.</t>
  </si>
  <si>
    <t>Software Maintenance Annual Renewal</t>
  </si>
  <si>
    <t>1 yr Maint - Corp Announce w/ 5 MFP lic.</t>
  </si>
  <si>
    <t>1 yr Maint - Corp Announce 5 MFPadd-on</t>
  </si>
  <si>
    <t>1 yr Maint - Corp Announce 25 MFPadd-on</t>
  </si>
  <si>
    <t>1 yr Maint - Corp Announce 50 MFPadd-on</t>
  </si>
  <si>
    <t>1 yr Maint - Corp Announce 100 MFPadd-on</t>
  </si>
  <si>
    <t>1 yr Maint - Corp Announce 500 MFPadd-on</t>
  </si>
  <si>
    <t>1 yr Maint -Corp Announce 1000 MFPadd-on</t>
  </si>
  <si>
    <t>3 yr Maint - Corp Announce w/ 5 MFP lic.</t>
  </si>
  <si>
    <t>3yr Maint - Corp Announce 5 MFPadd-on</t>
  </si>
  <si>
    <t>3yr Maint - Corp Announce 25 MFPadd-on</t>
  </si>
  <si>
    <t>3yr Maint - Corp Announce 50 MFPadd-on</t>
  </si>
  <si>
    <t>3yr Maint - Corp Announce 100 MFPadd-on</t>
  </si>
  <si>
    <t>3yr Maint - Corp Announce 1000 MFPadd-on</t>
  </si>
  <si>
    <t>5 yr Maint - Corp Announce w/ 5 MFP lic.</t>
  </si>
  <si>
    <t>5yr Maint - Corp Announce 5 MFPadd-on</t>
  </si>
  <si>
    <t>5yr Maint - Corp Announce 25 MFPadd-on</t>
  </si>
  <si>
    <t>5yr Maint - Corp Announce 50 MFPadd-on</t>
  </si>
  <si>
    <t>5yr Maint - Corp Announce 100 MFPadd-on</t>
  </si>
  <si>
    <t>5yr Maint - Corp Announce 500 MFPadd-on</t>
  </si>
  <si>
    <t>Digital StoreFront V5.0 ASP  </t>
  </si>
  <si>
    <t>Digital StoreFront V5.0 ASP</t>
  </si>
  <si>
    <t>Packages</t>
  </si>
  <si>
    <t>DSF v5.0 ASP ACTIVATION</t>
  </si>
  <si>
    <t>DSF V 5.0 Software Platform - ASP Activation - EFI hosted model of the DSF platform. Customers will have a login and Administrative interface to customize the storefront as their own.</t>
  </si>
  <si>
    <t>DSF - ASP - Basic Bundle - 3year Activation &amp; Subscription</t>
  </si>
  <si>
    <t>DSF - ASP - Basic v5.0 Bundle includes -Activation for the DSF Platform, Pricing and Credit Cards with 3 year Subscription</t>
  </si>
  <si>
    <t>DSF - ASP - Basic v5.0 Bundle includes -Activation for the DSF Platform, Pricing and Credit Cards with 5 year Subscription</t>
  </si>
  <si>
    <t>DSF - ASP - XMPie Bundle - Annual Activation and Subscription</t>
  </si>
  <si>
    <t>ASP - DSF v5 and XMPie Bundle includes -DSF Platform, Credit Cards, Authentication Package, XMPie with Activation and Annual Subscription</t>
  </si>
  <si>
    <t>DSF - ASP - XMPie Bundle - 3year Activation and Subscription</t>
  </si>
  <si>
    <t>ASP - DSF v5 and XMPie Bundle includes -DSF Platform, Credit Cards, Authentication Package, XMPie with Activation and 3 years Subscription</t>
  </si>
  <si>
    <t>DSF - ASP - XMPie Bundle - 5year Activation and Subscription</t>
  </si>
  <si>
    <t>ASP - DSF v5 and XMPie Bundle includes -DSF Platform, Credit Cards, Authentication Package, XMPie with Activation and 5 years Subscription</t>
  </si>
  <si>
    <t>DSF - ASP - FusionPro Bundle - Annual Activation and Subscription</t>
  </si>
  <si>
    <t>ASP - DSF v5 and Fusion Pro Bundle includes -DSF Platform, Credit Cards, Authentication Package, Fusion Pro with Activation and Annual Subscription</t>
  </si>
  <si>
    <t>DSF - ASP - FusionPro Bundle - 3year Activation and Subscription</t>
  </si>
  <si>
    <t>ASP - DSF v5 and Fusion Pro Bundle includes -DSF Platform, Credit Cards, Authentication Package, Fusion Pro with Activation and 3 years Subscription</t>
  </si>
  <si>
    <t>DSF - ASP - FusionPro Bundle - 5year Activation and Subscription</t>
  </si>
  <si>
    <t>ASP - DSF v5 and Fusion Pro Bundle includes -DSF Platform, Credit Cards, Authentication Package, Fusion Pro with Activation and 5 years Subscription</t>
  </si>
  <si>
    <t>Additional Professional Services Options</t>
  </si>
  <si>
    <t>EFI Professional Services: Daily Rate (off site)</t>
  </si>
  <si>
    <t>This is EFI's daily rate for Offsite Professional Services support / configuration / training for services not included in the implementation and training packages</t>
  </si>
  <si>
    <t>Hands on Training and DSF Certification</t>
  </si>
  <si>
    <t>EFI Professional Services: Daily Rate (Additional day on site)</t>
  </si>
  <si>
    <t>This is EFI's daily rate for Onsite Professional Services support / configuration / training for services not included in the implementation and training packages</t>
  </si>
  <si>
    <t>EFI Professional Services: Hourly Rate (Off site, min 2 hours)</t>
  </si>
  <si>
    <t>This is EFI's hourly rate for Offsite Professional Services support / configuration / training for services not included in the implementation and training packages</t>
  </si>
  <si>
    <t>Annual Maintenance</t>
  </si>
  <si>
    <t>Annual Maintenance - 24/7 support ADD ON (US ONLY) - For companies that require 24/7 phone support.</t>
  </si>
  <si>
    <t>ANNUAL SUBSCRIPTION - EXTERNAL SYSTEM CONNECTOR</t>
  </si>
  <si>
    <t>ANNUAL SUBSCRIPTION- External System Connector - The Annual Subscription fee is for regular Software and Hardware Maintenance and includes ALL software releases during the term of the support plan</t>
  </si>
  <si>
    <t>Annual Subscription</t>
  </si>
  <si>
    <t>ANNUAL SUBSCRIPTION - DSF PLATFORM</t>
  </si>
  <si>
    <t>ANNUAL SUBSCRIPTION - DSF Software Platform - - The Annual Subscription fee is for regular Software and Hardware maintenance and includes ALL software releases during the term of the support plan.</t>
  </si>
  <si>
    <t>ANNUAL SUBSCRIPTION - XMPIE</t>
  </si>
  <si>
    <t>ANNUAL SUBSCRIPTION - XMPie - The Annual Subscription fee is for regular Software and Hardware Maintenance and includes ALL software releases during the term of the support plan.</t>
  </si>
  <si>
    <t>ANNUAL SUBSCRIPTION - FUSION PRO</t>
  </si>
  <si>
    <t>ANNUAL SUBSCRIPTION - FusionPRO - The Annual Subscription fee is for regular Software and Hardware Maintenance and includes ALL software releases during the term of the support plan.</t>
  </si>
  <si>
    <t>ANNUAL SUBSCRIPTION - CREDIT CARDS</t>
  </si>
  <si>
    <t>ANNUAL SUBSCRIPTION - Credit Cards - The Annual Subscription fee is for regular Software and Hardware Maintenance and includes ALL software releases during the term of the support plan.</t>
  </si>
  <si>
    <t>ANNUAL SUBSCRIPTION - AUTHENTICATION PACKAGE</t>
  </si>
  <si>
    <t>ANNUAL SUBSCRIPTION - Authentication Package: LDAP &amp; Login Bypass - The Annual Subscription fee is for regular Software and Hardware Maintenance and includes ALL software releases during the term of the support plan.</t>
  </si>
  <si>
    <t>ANNUAL SUBSCRIPTION - EFI MIS Connector</t>
  </si>
  <si>
    <t>ANNUAL SUBSCRIPTION - EFI MIS Connector - The Annual Subscription fee is for regular Software and Hardware Maintenance and includes ALL software releases during the term of the support plan. REQUIRES EFI QUOTE</t>
  </si>
  <si>
    <t>ADD'L PRINT SHOP LOCATIONS - SUBSCRIPTION</t>
  </si>
  <si>
    <t>ANNUAL SUBSCRIPTION - 20 GB ENTERPRISE STORAGE</t>
  </si>
  <si>
    <t>ANNUAL SUBSCRIPTION - 20 GB Enterprise Storage - The Annual Subscription fee is for regular Software and Hardware Maintenance and includes ALL software releases during the term of the support plan.</t>
  </si>
  <si>
    <t>ANNUAL SUBSCRIPTION - ADD'L BUSINESS LOCATIONS</t>
  </si>
  <si>
    <t>ANNUAL SUBSCRIPTION- Additional Business Locations - REQUIRES EFI QUOTE - The Annual Subscription fee is for regular Software and Hardware Maintenance and includes ALL software releases during the term of the support plan.- SEE *1 IN THE NOTES SECTION</t>
  </si>
  <si>
    <t>Classroom Training/Certification</t>
  </si>
  <si>
    <t>DSF Certification Training @ EFI Atlanta each student (4 day course - T &amp; E not included)</t>
  </si>
  <si>
    <t>DSF Certification Training @ Resellers Site (4 day course - Instructor T &amp; E included) 6 Students/session Maximum</t>
  </si>
  <si>
    <t>Customized Professional Services</t>
  </si>
  <si>
    <t>Customized Professional Services - REQUIRES EFI QUOTE</t>
  </si>
  <si>
    <t>For Customization Services of the DSF Platform or Components specific to customer needs. These services require a custom quote and a scope of work directly from EFI</t>
  </si>
  <si>
    <t>Annual Maintenance: Customized Professional Services - REQUIRES EFI QUOTE</t>
  </si>
  <si>
    <t>Annual Maintenance for Customization Services of the DSF Platform or Components specfic to customer needs. These services require a custom quote a directly from EFI. Support for patches and upgrades for the term of contract will be outlined in this quotation</t>
  </si>
  <si>
    <t>EFI Professional Services</t>
  </si>
  <si>
    <t>DSF PLATFORM STANDARD IMPLIMENTATION PKG (36 hours)</t>
  </si>
  <si>
    <t>DSF Platform Standard Implementation Package (36 hours) - This package is a combination of On and Off site training and platform implementation provided directly by EFI.</t>
  </si>
  <si>
    <t>DSF PLATFORM ADVANCED IMPLIMENTATION PACKAGE (52 hours)</t>
  </si>
  <si>
    <t>DSF Platform Premium Implementation Package (52 hours) - This package is a combination of On and Off site training and platform implementation provided directly by EFI.</t>
  </si>
  <si>
    <t>Integration</t>
  </si>
  <si>
    <t>EFI MIS CONNECTOR - ACTIVATION</t>
  </si>
  <si>
    <t>EFI MIS Connector - DSF can be integrated to EFI's print management tools. REQUIRES EFI QUOTE</t>
  </si>
  <si>
    <t>Scale</t>
  </si>
  <si>
    <t>ADD'L PRINT SHOP LOCATIONS - ACTIVATION</t>
  </si>
  <si>
    <t>Add'l Print Shop Location - Activation</t>
  </si>
  <si>
    <t>VDP</t>
  </si>
  <si>
    <t>XMPIE - ACTIVATION</t>
  </si>
  <si>
    <t>XMPie - Activation - Variable Data engine for DSF.</t>
  </si>
  <si>
    <t>FUSION PRO - ACTIVATION</t>
  </si>
  <si>
    <t>FusionPro - Activation - Variable Data engine for DSF.</t>
  </si>
  <si>
    <t>ADD'L XMPIE UDIRECT STD LICENSES</t>
  </si>
  <si>
    <t>Additional XMPie uDirect Standard Licenses - Activation</t>
  </si>
  <si>
    <t>ADD'L FUSIONPRO DESKTOP LICENSES</t>
  </si>
  <si>
    <t>Additional FusionPro Desktop Licenses - Activation</t>
  </si>
  <si>
    <t>Digital StoreFront V5.0 Express  </t>
  </si>
  <si>
    <t>Digital StoreFront V5.0 Express</t>
  </si>
  <si>
    <t>DSF 5.0 EXPRESS SOFTWARE</t>
  </si>
  <si>
    <t>DSF V 5.0 Express Software Platform - This Software ONLY and requires customer supplied hardware meeting EFI published minimum specifications. Strongly recommend Microsoft SQL server Database which is NOT provided by EFI or KM.</t>
  </si>
  <si>
    <t>ANNUAL MAINTENANCE - DSF SOFTWARE PLATFORM</t>
  </si>
  <si>
    <t>Annual Maintenance - DSF Software Platform - The Annual Maintenance fee is for regular Software Maintenance and includes ALL software releases during the term of the support plan.</t>
  </si>
  <si>
    <t>ANNUAL MAINTENANCE - AUTHENTICATION PACKAGE</t>
  </si>
  <si>
    <t>Annual Maintenance - Authentication Package: LDAP &amp; Login Bypass - The Annual Maintenance fee is for regular Software Maintenance and includes ALL software releases during the term of the support plan.</t>
  </si>
  <si>
    <t>DSF EXPRESS IMPLEMENTATION PKG (20 hours)</t>
  </si>
  <si>
    <t>DSF Express Platform Implementation Package (20 hours) - This package is a combination of On and Off site training and platform implementation provided directly by EFI.</t>
  </si>
  <si>
    <t>AUTHENTICATION PACKAGE-LDAP &amp; LOGIN BYPASS</t>
  </si>
  <si>
    <t>Authentication Package : LDAP &amp; Login Bypass - LDAP allows a site to authenticate users against and AD/LDAP server. Login Bypass allows user log in credentials to be passed from another application, eliminating the need to log in to DSF separately.</t>
  </si>
  <si>
    <t>Upgrades</t>
  </si>
  <si>
    <t>DSF EXPRESS 4.x to DSF EXPRESS 5.X</t>
  </si>
  <si>
    <t>DSF Express 4.x - DSF Express 5.0 - UPGRADE from earlier version of Express platform to 4.0 EXPRESS platform. NO COST WITH ACTIVE ANNUAL MAINTENANCE - MUST BE ORDERED using KM item code</t>
  </si>
  <si>
    <t>Digital StoreFront V5.0 Full  </t>
  </si>
  <si>
    <t>Digital StoreFront V5.0 Full</t>
  </si>
  <si>
    <t>DSF V 5 FULL Software Platform</t>
  </si>
  <si>
    <t>DSF V 5 FULL Software Platform This is Software ONLY and Requires customer supplied hardware meeting EFI published minimum specifications. - Strongly recommend Microsoft SQL Server Database which is NOT provided by EFI or KM. - Requires one of the two EFI Professional Services packages be ordered unless the dealer is DSF certified by EFI.</t>
  </si>
  <si>
    <t>DSF Hardware - Dell Server</t>
  </si>
  <si>
    <t>DSF Hardware - Dell Server Hardware A 3 year Dell Maintenance contract included for the Hardware. Strongly recommend Microsoft SQL server Database which is NOT provided by EFI or KM.</t>
  </si>
  <si>
    <t>DSF - Self Hosted - Basic Bundle - 1year Maintenance &amp; Support</t>
  </si>
  <si>
    <t>DSF Basic v5 Bundle includes -DSF Platform, Credit Cards and Authentication Package (does NOT include hardware)</t>
  </si>
  <si>
    <t>DSF - Self Hosted - Basic Bundle - 3year Maintenance &amp; Support</t>
  </si>
  <si>
    <t>DSF - Self Hosted - Basic Bundle - 4year Maintenance &amp; Support</t>
  </si>
  <si>
    <t>DSF - Self Hosted - Basic Bundle - 5year Maintenance &amp; Support</t>
  </si>
  <si>
    <t>DSF - Self Hosted - FusionPro Premium Bundle - 1year Maintenance &amp; Support</t>
  </si>
  <si>
    <t>DSF Deluxe v5 Bundle includes -DSF Platform, Credit Cards, Authentication Package and Fusion Pro (does NOT include hardware)</t>
  </si>
  <si>
    <t>DSF - Self Hosted - FusionPro Premium Bundle - 3year Maintenance &amp; Support</t>
  </si>
  <si>
    <t>DSF - Self Hosted - FusionPro Premium Bundle - 4year Maintenance &amp; Support</t>
  </si>
  <si>
    <t>DSF - Self Hosted - FusionPro Premium Bundle - 5year Maintenance &amp; Support</t>
  </si>
  <si>
    <t>DSF - Self Hosted - XMPie Premium Bundle - 1year Maintenance &amp; Support</t>
  </si>
  <si>
    <t>DSF Deluxe v5 Bundle includes -DSF Platform, Credit Cards, Authentication Package and XMPie (does NOT include hardware)</t>
  </si>
  <si>
    <t>DSF - Self Hosted - XMPie Premium Bundle - 3year Maintenance &amp; Support</t>
  </si>
  <si>
    <t>DSF - Self Hosted - XMPie Premium Bundle - 4year Maintenance &amp; Support</t>
  </si>
  <si>
    <t>DSF - Self Hosted - XMPie Premium Bundle - 5year Maintenance &amp; Support</t>
  </si>
  <si>
    <t>Annual Maintenance - DSF Software Platform -</t>
  </si>
  <si>
    <t>Annual Maintenance - XMPie</t>
  </si>
  <si>
    <t>Annual Maintenance - Fusion Pro</t>
  </si>
  <si>
    <t>Annual Maintenance - XMPie - uDirect standard Licenses</t>
  </si>
  <si>
    <t>Annual Maintenance - Fusion Pro - Additional FusionPro Dexktop Licenses</t>
  </si>
  <si>
    <t>ANNUAL MAINTENANCE - CREDIT CARDS</t>
  </si>
  <si>
    <t>Annual Maintenance - Credit Cards - The Annual Subscription fee is for regular Software and Hardware Maintenance and includes ALL software releases during the term of the support plan.</t>
  </si>
  <si>
    <t>ANNUAL MAINTENANCE - AUTHENTICATION PKG</t>
  </si>
  <si>
    <t>Annual Maintenance - Authentication Package: LDAP &amp; Login Bypass - The Annual Subscription fee is for regular Software and Hardware Maintenance and includes ALL software releases during the term of the support plan.</t>
  </si>
  <si>
    <t>ANNUAL MAINTENANCE - EFI MIS CONNECTOR</t>
  </si>
  <si>
    <t>Annual Maintenance - EFI MIS Connector - The Annual Subscription fee is for regular Software and Hardware Maintenance and includes ALL software releases during the term of the support plan.REQUIRES EFI QUOTE</t>
  </si>
  <si>
    <t>ANNUAL MAINTENANCE - EXTERNAL SYSTEM CONNECTOR</t>
  </si>
  <si>
    <t>Annual Maintenance - External System Connector - The Annual Subscription fee is for regular Software and Hardware Maintenance and includes ALL software releases during the term of the support plan.</t>
  </si>
  <si>
    <t>ANNUAL MAINTENANCE - ADD'L PRINTSHOPS</t>
  </si>
  <si>
    <t>Annual Maintenance - Additional PrintShops - The Annual Subscription fee is for regular Software and Hardware Maintenance and includes ALL software releases during the term of the support plan.</t>
  </si>
  <si>
    <t>ANNUAL MAINTENANCE - ADD'L BUSINESS LOCATIONS</t>
  </si>
  <si>
    <t>Annual Maintenance - Additional Business Locations - REQUIRES EFI QUOTE - The Annual Subscription fee is for regular Software and Hardware Maintenance and includes ALL software releases during the term of the support plan.</t>
  </si>
  <si>
    <t>ANNUAL MAINTENANCE - DSF Basic Bundle- Self Hosted (1 Year)</t>
  </si>
  <si>
    <t>ANNUAL MAINTENANCE - DSF Deluxe Bundle -FusionProSelf Hosted (1 Year)</t>
  </si>
  <si>
    <t>ANNUAL MAINTENANCE - DSF deluxe Bundle -XMPie- Self Hosted (1 Year)</t>
  </si>
  <si>
    <t>ANNUAL MAINTENANCE - DSF Deluxe Bundle -XMPie- Self Hosted (1 Year)</t>
  </si>
  <si>
    <t>E-Commerce</t>
  </si>
  <si>
    <t>CREDIT CARDS</t>
  </si>
  <si>
    <t>Credit Cards - Allows for Credit Card Authorization to be used.</t>
  </si>
  <si>
    <t>Extended Hardware Warranty</t>
  </si>
  <si>
    <t>2-YEAR EXTENTION ON DELL HARDWARE (years 4 &amp; 5)</t>
  </si>
  <si>
    <t>2 year extension on Dell Hardware (years 4 &amp; 5) - Needed to extend Hardware Maintenance Contract for years 4 &amp; 5.</t>
  </si>
  <si>
    <t>AUTHENTICATION PACKAGE</t>
  </si>
  <si>
    <t>EFI MIS CONNECTOR</t>
  </si>
  <si>
    <t>EXTERNAL SYSTEM CONNECTOR</t>
  </si>
  <si>
    <t>External System Connector - Transaction data can be extracted from DSF as an XML file. This data can be used.</t>
  </si>
  <si>
    <t>Additional PrintShops (&gt;3 requires EFI quote)</t>
  </si>
  <si>
    <t>Additional Business Locations - REQUIRES EFI QUOTE</t>
  </si>
  <si>
    <t>Upes</t>
  </si>
  <si>
    <t>DSF 3.x FULL TO CURRENT VERSION FULL</t>
  </si>
  <si>
    <t>UPGRADE from earlier version of DSF platform to 4.X platform - NO COST WITH ACTIVE ANNUAL MAINTENANCE - MUST BE ORDERED using KM item code</t>
  </si>
  <si>
    <t>XMPIE</t>
  </si>
  <si>
    <t>XMPie - Variable Data engine for DSF.</t>
  </si>
  <si>
    <t>FUSIONPRO</t>
  </si>
  <si>
    <t>FusionPro - Variable Data engine for DSF.</t>
  </si>
  <si>
    <t>Additional XMPie uDirect Standard Licenses</t>
  </si>
  <si>
    <t>Additional FusionPro Desktop Licenses</t>
  </si>
  <si>
    <t>Dispatcher Phoenix Foundations  </t>
  </si>
  <si>
    <t>Dispatcher Phoenix Foundations</t>
  </si>
  <si>
    <t>DISPATCHER PHOENIX FOUNDATIONS</t>
  </si>
  <si>
    <t>DPP: 1 YR SW MNT</t>
  </si>
  <si>
    <t>DPP: 1 yr. software maintenance</t>
  </si>
  <si>
    <t>DPP: 3 YR SW MNT</t>
  </si>
  <si>
    <t>DPP: 3 yr. software maintenance</t>
  </si>
  <si>
    <t>DPP: 5 YR SW MNT</t>
  </si>
  <si>
    <t>DPP: 5 yr. software maintenance</t>
  </si>
  <si>
    <t>DPP LE/PE: ADDL ACTIVE INPUT</t>
  </si>
  <si>
    <t>DPP &amp; LE Option - Additional Single Active Input Connector</t>
  </si>
  <si>
    <t>DPP PE ADVANCED BATES STAMP</t>
  </si>
  <si>
    <t>DPP &amp; LE Option - Advanced Bates Stamp</t>
  </si>
  <si>
    <t>DPP PE CONVERT TO PDF</t>
  </si>
  <si>
    <t>DPP &amp; LE Option - Convert to PDF</t>
  </si>
  <si>
    <t>DPP LE/PE SMTP WITH EMAIL PARSER</t>
  </si>
  <si>
    <t>DPP &amp; LE Option - SMTP with Email Parser</t>
  </si>
  <si>
    <t>DPP LE/PE LPR IN</t>
  </si>
  <si>
    <t>DPP &amp; LE Option - LPR In</t>
  </si>
  <si>
    <t>DPP LE/PE OCR WITH META</t>
  </si>
  <si>
    <t>DPP &amp; LE Option - OCR w/Metadata, Office &amp; PDF Output</t>
  </si>
  <si>
    <t>DPP LE/PE CONV TO MS OFFICE</t>
  </si>
  <si>
    <t>DPP &amp; LE Option - Convert to MS Office</t>
  </si>
  <si>
    <t>DPP LE/PE BAR CODE PROCESSING</t>
  </si>
  <si>
    <t>DPP &amp; LE Option - Bar Code Processing</t>
  </si>
  <si>
    <t>DPP LE/PE 2D BAR CODE PROCESSING</t>
  </si>
  <si>
    <t>DPP &amp; LE Option - 2D Bar Code Processing</t>
  </si>
  <si>
    <t>DPP/LE PRINT TO FILE W/PRINT PRT MONITOR</t>
  </si>
  <si>
    <t>DPP &amp; LE Option – Print to File w/ Printer Port Monitor</t>
  </si>
  <si>
    <t>DPP/LE PAGE COUNT &amp; COLOR ROUTE</t>
  </si>
  <si>
    <t>DPP &amp; LE Option – Page Count &amp; Color Route</t>
  </si>
  <si>
    <t>DPP/LE REDACT &amp; HIGHLIGHT BUNDLE</t>
  </si>
  <si>
    <t>DPP &amp; LE Option – Redact &amp; Highlight Bundle</t>
  </si>
  <si>
    <t>DPP PARSING BUNDLE</t>
  </si>
  <si>
    <t>DPP &amp; LE Option – Parsing Bundle</t>
  </si>
  <si>
    <t>DPP/LE METADATA BUNDLE</t>
  </si>
  <si>
    <t>DPP &amp; LE Option – Metadata Bundle</t>
  </si>
  <si>
    <t>DPP &amp; LE Option – KDK Generator &amp; Converter</t>
  </si>
  <si>
    <t>DPP LE/PE SHRPNT CONNECT</t>
  </si>
  <si>
    <t>SharePoint Connector</t>
  </si>
  <si>
    <t>DPP LE/PE OBDC NODE</t>
  </si>
  <si>
    <t>DPP &amp; LE Option - OBDC Node</t>
  </si>
  <si>
    <t>DISPATCHER PHOENIX ONBASE CONNECTOR (requires additional Hyland OnBase license)</t>
  </si>
  <si>
    <t>DISPATCHER PHOENIX WORLDOX CONNECTOR</t>
  </si>
  <si>
    <t>DPP LE/PE ADDL ACTIVE INPUT: 1 YR MAINT</t>
  </si>
  <si>
    <t>DPP LE/PE Additional Active Input: 1 year software maintenance</t>
  </si>
  <si>
    <t>DPP PE ADVANCED BATES STAMP: 1 YR MAINT</t>
  </si>
  <si>
    <t>DPP PE Advanced Bates Stamp: 1 year software maintenance</t>
  </si>
  <si>
    <t>DPP PE CONVERT TO PDF: 1 YR MAINT</t>
  </si>
  <si>
    <t>DPP PE Convert to PDF: 1 year software maintenance</t>
  </si>
  <si>
    <t>DPP LE/PE SMTP W/EMAIL PARSE: 1 YR MAINT</t>
  </si>
  <si>
    <t>DPP LE/PE SMTP with Email Parser: 1 year software maintenance</t>
  </si>
  <si>
    <t>DPP LE/PE LPR IN: 1 YR MAINT</t>
  </si>
  <si>
    <t>DPP LE/PE LPR In: 1 year software maintenance</t>
  </si>
  <si>
    <t>DPP LE/PE OCR WITH META: 1 YR MAINT</t>
  </si>
  <si>
    <t>DPP LE/PE OCR w/Metadata, Office &amp; PDF Output: 1 year software maintenance</t>
  </si>
  <si>
    <t>DPP LE/PE CONV TO MS OFFICE: 1 YR MAINT</t>
  </si>
  <si>
    <t>DPP LE/PE Convert to MS Office: 1 year software maintenance</t>
  </si>
  <si>
    <t>DPP LE/PE BAR CODE PROCESS: 1 YR MAINT</t>
  </si>
  <si>
    <t>DPP LE/PE Bar Code Processing: 1 year software maintenance</t>
  </si>
  <si>
    <t>DPP LE/PE 2D BAR CODE PROC: 1 YR MAINT</t>
  </si>
  <si>
    <t>DPP LE/PE 2D Bar Code Processing: 1 year software maintenance</t>
  </si>
  <si>
    <t>DPP LE/PE ADDL ACTIVE INPUT: 3 YR MAINT</t>
  </si>
  <si>
    <t>DPP LE/PE Additional Active Input: 3 years software maintenance</t>
  </si>
  <si>
    <t>DPP PE ADVANCED BATES STAMP: 3 YR MAINT</t>
  </si>
  <si>
    <t>DPP PE Advanced Bates Stamp: 3 years software maintenance</t>
  </si>
  <si>
    <t>DPP PE CONVERT TO PDF: 3 YR MAINT</t>
  </si>
  <si>
    <t>DPP PE Convert to PDF: 3 years software maintenance</t>
  </si>
  <si>
    <t>DPP LE/PE SMTP W/EMAIL PARSE: 3 YR MAINT</t>
  </si>
  <si>
    <t>DPP LE/PE SMTP with Email Parser: 3 years software maintenance</t>
  </si>
  <si>
    <t>DPP LE/PE LPR IN: 3 YR MAINT</t>
  </si>
  <si>
    <t>DPP LE/PE LPR In: 3 years software maintenance</t>
  </si>
  <si>
    <t>DPP LE/PE OCR WITH META: 3 YR MAINT</t>
  </si>
  <si>
    <t>DPP LE/PE OCR w/Metadata, Office &amp; PDF Output: 3 years software maintenance</t>
  </si>
  <si>
    <t>DPP LE/PE CONV TO MS OFFICE: 3 YR MAINT</t>
  </si>
  <si>
    <t>DPP LE/PE Convert to MS Office: 3 years software maintenance</t>
  </si>
  <si>
    <t>DPP LE/PE BAR CODE PROCESS: 3 YR MAINT</t>
  </si>
  <si>
    <t>DPP LE/PE Bar Code Processing: 3 years software maintenance</t>
  </si>
  <si>
    <t>DPP LE/PE 2D BAR CODE PROC: 3 YR MAINT</t>
  </si>
  <si>
    <t>DPP LE/PE 2D Bar Code Processing: 3 years software maintenance</t>
  </si>
  <si>
    <t>DPP LE/PE ADDL ACTIVE INPUT: 5 YR MAINT</t>
  </si>
  <si>
    <t>DPP LE/PE Additional Active Input: 5 years software maintenance</t>
  </si>
  <si>
    <t>DPP PE ADVANCED BATES STAMP: 5 YR MAINT</t>
  </si>
  <si>
    <t>DPP PE Advanced Bates Stamp: 5 years software maintenance</t>
  </si>
  <si>
    <t>DPP PE CONVERT TO PDF: 5 YR MAINT</t>
  </si>
  <si>
    <t>DPP PE Convert to PDF: 5 years software maintenance</t>
  </si>
  <si>
    <t>DPP LE/PE SMTP W/EMAIL PARSE: 5 YR MAINT</t>
  </si>
  <si>
    <t>DPP LE/PE SMTP with Email Parser: 5 years software maintenance</t>
  </si>
  <si>
    <t>DPP LE/PE LPR IN: 5 YR MAINT</t>
  </si>
  <si>
    <t>DPP LE/PE LPR In: 5 years software maintenance</t>
  </si>
  <si>
    <t>DPP LE/PE OCR WITH META: 5 YR MAINT</t>
  </si>
  <si>
    <t>DPP LE/PE OCR w/Metadata, Office &amp; PDF Output: 5 years software maintenance</t>
  </si>
  <si>
    <t>DPP LE/PE IMAGE TO MS OFFICE: 5 YR MAINT</t>
  </si>
  <si>
    <t>DPP LE/PE Convert to MS Office: 5 years software maintenance</t>
  </si>
  <si>
    <t>DPP LE/PE BAR CODE PROCESS: 5 YR MAINT</t>
  </si>
  <si>
    <t>DPP LE/PE Bar Code Processing: 5 years software maintenance</t>
  </si>
  <si>
    <t>DPP LE/PE 2D BAR CODE PROC: 5 YR MAINT</t>
  </si>
  <si>
    <t>DPP LE/PE 2D Bar Code Processing: 5 years software maintenance</t>
  </si>
  <si>
    <t>DPP/LE PRT TO FILE W/PRT MTR: 1YR SW MNT</t>
  </si>
  <si>
    <t>DPP &amp; LE - Print to File w/ Printer Port Monitor: 1 yr. software maintenance</t>
  </si>
  <si>
    <t>DPP/LE PAGE CT &amp; CLR RTE: 1YR SW MNT</t>
  </si>
  <si>
    <t>DPP &amp; LE - Page Count &amp; Color Route: 1 yr. software maintenance</t>
  </si>
  <si>
    <t>DPP/LE RDCT &amp; HILITE BDL: 1YR SW MNT</t>
  </si>
  <si>
    <t>DPP &amp; LE - Redact &amp; Highlight: 1 yr. software maintenance</t>
  </si>
  <si>
    <t>DPP/LE PARSING BDL: 1YR SW MNT</t>
  </si>
  <si>
    <t>DPP &amp; LE - Parsing Bundle: 1 yr. software maintenance</t>
  </si>
  <si>
    <t>DPP/LE META BUNDLE: 1YR SW MNT</t>
  </si>
  <si>
    <t>DPP &amp; LE - Metadata Bundle: 1 yr. software maintenance</t>
  </si>
  <si>
    <t>DPP/LE KDK GEN &amp; CONV: 1YR SW MNT</t>
  </si>
  <si>
    <t>DPP &amp; LE - KDK Generator &amp; Converter: 1 yr. software maintenance</t>
  </si>
  <si>
    <t>DPP/LE PRT TO FILE W/PRT MTR: 3YR SW MNT</t>
  </si>
  <si>
    <t>DPP &amp; LE - Print to File w/ Printer Port Monitor: 3 yr. software maintenance</t>
  </si>
  <si>
    <t>DPP/LE PAGE CT &amp; CLR RTE: 3YR SW MNT</t>
  </si>
  <si>
    <t>DPP &amp; LE - Page Count &amp; Color Route: 3 yr. software maintenance</t>
  </si>
  <si>
    <t>DPP/LE RDCT &amp; HILITE BDL: 3YR SW MNT</t>
  </si>
  <si>
    <t>DPP &amp; LE - Redact &amp; Highlight: 3 yr. software maintenance</t>
  </si>
  <si>
    <t>DPP/LE PARSING BDL: 3YR SW MNT</t>
  </si>
  <si>
    <t>DPP &amp; LE - Parsing Bundle: 3 yr. software maintenance</t>
  </si>
  <si>
    <t>DPP/LE META BUNDLE: 3YR SW MNT</t>
  </si>
  <si>
    <t>DPP &amp; LE - Metadata Bundle: 3 yr. software maintenance</t>
  </si>
  <si>
    <t>DPP/LE KDK GEN &amp; CONV: 3YR SW MNT</t>
  </si>
  <si>
    <t>DPP &amp; LE - KDK Generator &amp; Converter: 3 yr. software maintenance</t>
  </si>
  <si>
    <t>DPP/LE PRT TO FILE W/PRT MTR: 5YR SW MNT</t>
  </si>
  <si>
    <t>DPP &amp; LE - Print to File w/ Printer Port Monitor: 5 yr. software maintenance</t>
  </si>
  <si>
    <t>DPP/LE PAGE CT &amp; CLR RTE: 5YR SW MNT</t>
  </si>
  <si>
    <t>DPP &amp; LE - Page Count &amp; Color Route: 5 yr. software maintenance</t>
  </si>
  <si>
    <t>DPP/LE RDCT &amp; HILITE BDL: 5YR SW MNT</t>
  </si>
  <si>
    <t>DPP &amp; LE - Redact &amp; Highlight: 5 yr. software maintenance</t>
  </si>
  <si>
    <t>DPP/LE PARSING BDL: 5YR SW MNT</t>
  </si>
  <si>
    <t>DPP &amp; LE - Parsing Bundle: 5 yr. software maintenance</t>
  </si>
  <si>
    <t>DPP/LE META BUNDLE: 5YR SW MNT</t>
  </si>
  <si>
    <t>DPP &amp; LE - Metadata Bundle: 5 yr. software maintenance</t>
  </si>
  <si>
    <t>DPP/LE KDK GEN &amp; CONV: 5YR SW MNT</t>
  </si>
  <si>
    <t>DPP &amp; LE - KDK Generator &amp; Converter: 5 yr. software maintenance</t>
  </si>
  <si>
    <t>DPP LE/PE SHRPNT CONNECT: 1 YR SW MAINT</t>
  </si>
  <si>
    <t>SharePoint Connector: 1 yr. software maintenance</t>
  </si>
  <si>
    <t>DPP LE/PE SHRPNT CONNECT: 3 YR SW MAINT</t>
  </si>
  <si>
    <t>SharePoint Connector: 3 yr. software maintenance</t>
  </si>
  <si>
    <t>DPP LE/PE SHRPNT CONNECT: 5 YR SW MAINT</t>
  </si>
  <si>
    <t>SharePoint Connector: 5 yr. software maintenance</t>
  </si>
  <si>
    <t>DPP LE/PE OBDC NODE: 1 YR SW MAINT</t>
  </si>
  <si>
    <t>DPP &amp; LE - OBDC Node: 1 yr. software maintenance</t>
  </si>
  <si>
    <t>DPP LE/PE OBDC NODE: 3 YR SW MAINT</t>
  </si>
  <si>
    <t>DPP &amp; LE - OBDC Node: 3 yr. software maintenance</t>
  </si>
  <si>
    <t>DPP LE/PE OBDC NODE: 5 YR SW MAINT</t>
  </si>
  <si>
    <t>DPP &amp; LE - OBDC Node: 5 yr. software maintenance</t>
  </si>
  <si>
    <t>DPP &amp; LE - ONBASE CONNECTOR – 1yr. Software maintenance</t>
  </si>
  <si>
    <t>DPP &amp; LE - ONBASE CONNECTOR – 3yr. Software maintenance</t>
  </si>
  <si>
    <t>DPP &amp; LE - ONBASE CONNECTOR – 5yr. Software maintenance</t>
  </si>
  <si>
    <t>DPP &amp; LE - WORLDOX CONNECTOR – 1yr. Software maintenance</t>
  </si>
  <si>
    <t>DPP &amp; LE - WORLDOX CONNECTOR – 3yr. Software maintenance</t>
  </si>
  <si>
    <t>DPP &amp; LE - WORLDOX CONNECTOR – 5yr. Software maintenance</t>
  </si>
  <si>
    <t>DPPL1: SEC CONSULTATION SVCS (PER HOUR)</t>
  </si>
  <si>
    <t>Konica Minolta SEC Consultation Services for Dispatcher Phoenix (Per Hour)</t>
  </si>
  <si>
    <t>DPPL2: SEC DEVELOPMENT SVCS (PER HOUR)</t>
  </si>
  <si>
    <t>Konica Minolta SEC Development Services for Dispatcher Pro (Per Hour)</t>
  </si>
  <si>
    <t>Software Upgrades</t>
  </si>
  <si>
    <t>KIP Color Advanced via Keycode</t>
  </si>
  <si>
    <t>Dispatcher Phoenix Legal  </t>
  </si>
  <si>
    <t>Dispatcher Phoenix Legal</t>
  </si>
  <si>
    <t>DISPATCHER PHOENIX LEGAL</t>
  </si>
  <si>
    <t>Dispatcher Phoenix Legal Includes:</t>
  </si>
  <si>
    <t>- 1 Active Input</t>
  </si>
  <si>
    <t>- Advanced Bates Stamping</t>
  </si>
  <si>
    <t>- Redact, Highlight, &amp; Strikeout</t>
  </si>
  <si>
    <t>- Convert to PDF (PDF/a, PDF/a searchable, PDF, PDF searchable)</t>
  </si>
  <si>
    <t>DPP LE W/10 ACTIVE INPUTS</t>
  </si>
  <si>
    <t>Dispatcher Phoenix Legal (Includes 10 Active Inputs)</t>
  </si>
  <si>
    <t>DPP LE W/25 ACTIVE INPUTS</t>
  </si>
  <si>
    <t>Dispatcher Phoenix Legal (Includes 25 Active Inputs)</t>
  </si>
  <si>
    <t>DPP LE W/50 ACTIVE INPUTS</t>
  </si>
  <si>
    <t>Dispatcher Phoenix Legal (Includes 50 Active Inputs)</t>
  </si>
  <si>
    <t>DPP LE W/100 ACTIVE INPUTS</t>
  </si>
  <si>
    <t>Dispatcher Phoenix Legal (Includes 100 Active Input)</t>
  </si>
  <si>
    <t>DPP LE: 1 YR SW MAINT</t>
  </si>
  <si>
    <t>DPP LE: I year software maintenance</t>
  </si>
  <si>
    <t>DPP LE W/10 ACTIVE INPUT: 1 YR SW MAINT</t>
  </si>
  <si>
    <t>DPP LE with 10 Active Inputs: 1 year software maintenance</t>
  </si>
  <si>
    <t>DPP LE W/25 ACTIVE INPUT: 1 YR SW MAINT</t>
  </si>
  <si>
    <t>DPP LE with 25 Active Inputs: 1 year software maintenance</t>
  </si>
  <si>
    <t>DPP LE W/50 ACTIVE INPUT: 1 YR SW MAINT</t>
  </si>
  <si>
    <t>DPP LE with 50 Active Inputs: 1 year software maintenance</t>
  </si>
  <si>
    <t>DPP LE W/100 ACTIVE INPUT: 1 YR SW MAINT</t>
  </si>
  <si>
    <t>DPP LE with 100 Active Inputs: 1 year software maintenance</t>
  </si>
  <si>
    <t>DPP LE: 3 YR SW MAINT</t>
  </si>
  <si>
    <t>DPP LE: 3 years software maintenance</t>
  </si>
  <si>
    <t>DPP LE W/10 ACTIVE INPUT: 3 YR SW MAINT</t>
  </si>
  <si>
    <t>DPP LE with 10 Active Inputs: 3 years software maintenance</t>
  </si>
  <si>
    <t>DPP LE W/25 ACTIVE INPUT: 3 YR SW MAINT</t>
  </si>
  <si>
    <t>DPP LE with 25 Active Inputs: 3 years software maintenance</t>
  </si>
  <si>
    <t>DPP LE W/50 ACTIVE INPUT: 3 YR SW MAINT</t>
  </si>
  <si>
    <t>DPP LE with 50 Active Inputs: 3 years software maintenance</t>
  </si>
  <si>
    <t>DPP LE W/100 ACTIVE INPUT: 3 YR SW MAINT</t>
  </si>
  <si>
    <t>DPP LE with 100 Active Inputs: 3 years software maintenance</t>
  </si>
  <si>
    <t>DPP LE: 5 YR SW MAINT</t>
  </si>
  <si>
    <t>DPP LE: 5 years software maintenance</t>
  </si>
  <si>
    <t>DPP LE W/10 ACTIVE INPUT: 5 YR SW MAINT</t>
  </si>
  <si>
    <t>DPP LE with 10 Active Inputs: 5 years software maintenance</t>
  </si>
  <si>
    <t>DPP LE W/25 ACTIVE INPUT: 5 YR SW MAINT</t>
  </si>
  <si>
    <t>DPP LE with 25 Active Inputs: 5 years software maintenance</t>
  </si>
  <si>
    <t>DPP LE W/50 ACTIVE INPUT: 5 YR SW MAINT</t>
  </si>
  <si>
    <t>DPP LE with 50 Active Inputs: 5 years software maintenance</t>
  </si>
  <si>
    <t>DPP LE W/100 ACTIVE INPUT: 5 YR SW MAINT</t>
  </si>
  <si>
    <t>DPP LE with 100 Active Inputs: 5 years software maintenance</t>
  </si>
  <si>
    <t>DPP LE/PE REMOTE INSTALL SERVICE: 4 HRS</t>
  </si>
  <si>
    <t>Dispatcher Phoenix Legal/Phoenix Pro Remote Installation Services performed by SEC (up to 4 hours)</t>
  </si>
  <si>
    <t>RF IMPLEMENT/CONSULT/CUSTOM SOLUTIONS</t>
  </si>
  <si>
    <t>Implementation/Consulting/Custom Solutions - RightFax</t>
  </si>
  <si>
    <t>Dispatcher Phoenix Professional  </t>
  </si>
  <si>
    <t>Dispatcher Phoenix Professional</t>
  </si>
  <si>
    <t>DISPATCHER PHOENIX PRO</t>
  </si>
  <si>
    <t>Dispatcher Phoenix Pro with 1 Active Input Connector</t>
  </si>
  <si>
    <t>DPP PE W/10 ACTIVE INPUTS</t>
  </si>
  <si>
    <t>Dispatcher Phoenix Pro (Includes 10 Active Inputs)</t>
  </si>
  <si>
    <t>DPP PE W/25 ACTIVE INPUTS</t>
  </si>
  <si>
    <t>Dispatcher Phoenix Pro (Includes 25 Active Inputs)</t>
  </si>
  <si>
    <t>DPP PE W/50 ACTIVE INPUTS</t>
  </si>
  <si>
    <t>Dispatcher Phoenix Pro (Includes 50 Active Inputs)</t>
  </si>
  <si>
    <t>DPP PE W/100 ACTIVE INPUTS</t>
  </si>
  <si>
    <t>Dispatcher Phoenix Pro (Includes 100 Active Input)</t>
  </si>
  <si>
    <t>DISPATCHER PRO PE: 1 YR MAINTENANCE</t>
  </si>
  <si>
    <t>Dispatcher Phoenix Pro: Annual Software Maintenance</t>
  </si>
  <si>
    <t>DPP PE W/10 ACTIVE INPUT: 1 YR SW MAINT</t>
  </si>
  <si>
    <t>Dispatcher Phoenix Pro with 10 Active Inputs: 1 year software maintenance</t>
  </si>
  <si>
    <t>DPP PE W/25 ACTIVE INPUT: 1 YR SW MAINT</t>
  </si>
  <si>
    <t>Dispatcher Phoenix Pro with 25 Active Inputs: 1 year software maintenance</t>
  </si>
  <si>
    <t>DPP PE W/50 ACTIVE INPUT: 1 YR SW MAINT</t>
  </si>
  <si>
    <t>Dispatcher Phoenix Pro with 50 Active Inputs: 1 year software maintenance</t>
  </si>
  <si>
    <t>DPP PE W/100 ACTIVE INPUT: 1 YR SW MAINT</t>
  </si>
  <si>
    <t>Dispatcher Phoenix Pro with 100 Active Inputs: 1 year software maintenance</t>
  </si>
  <si>
    <t>DPP PE: 3 YR SW MAINT</t>
  </si>
  <si>
    <t>Dispatcher Phoenix Pro 3 years software maintenance</t>
  </si>
  <si>
    <t>DPP PE W/10 ACTIVE INPUT: 3 YR SW MAINT</t>
  </si>
  <si>
    <t>Dispatcher Phoenix Pro with 10 Active Inputs: 3 years software maintenance</t>
  </si>
  <si>
    <t>DPP PE W/25 ACTIVE INPUT: 3 YR SW MAINT</t>
  </si>
  <si>
    <t>Dispatcher Phoenix Pro with 25 Active Inputs: 3 years software maintenance</t>
  </si>
  <si>
    <t>DPP PE W/50 ACTIVE INPUT: 3 YR SW MAINT</t>
  </si>
  <si>
    <t>Dispatcher Phoenix Pro with 50 Active Inputs: 3 years software maintenance</t>
  </si>
  <si>
    <t>DPP PE W/100 ACTIVE INPUT: 3 YR SW MAINT</t>
  </si>
  <si>
    <t>Dispatcher Phoenix Pro with 100 Active Inputs: 3 years software maintenance</t>
  </si>
  <si>
    <t>DPP PE: 5 YR SW MAINT</t>
  </si>
  <si>
    <t>Dispatcher Phoenix Pro 5 years software maintenance</t>
  </si>
  <si>
    <t>DPP PE W/25 ACTIVE INPUT: 5 YR SW MAINT</t>
  </si>
  <si>
    <t>Dispatcher Phoenix Pro with 25 Active Inputs: 5 years software maintenance</t>
  </si>
  <si>
    <t>DPP PE W/50 ACTIVE INPUT: 5 YR SW MAINT</t>
  </si>
  <si>
    <t>Dispatcher Phoenix Pro with 50 Active Inputs: 5 years software maintenance</t>
  </si>
  <si>
    <t>DPP PE W/100 ACTIVE INPUT: 5 YR SW MAINT</t>
  </si>
  <si>
    <t>Dispatcher Phoenix Pro with 100 Active Inputs: 5 years software maintenance</t>
  </si>
  <si>
    <t>eCopy Integrated Solution   V5.0</t>
  </si>
  <si>
    <t>eCopy Integrated Solution</t>
  </si>
  <si>
    <t>V5.0</t>
  </si>
  <si>
    <t>KM Integrated ShareScan Suite v5 - 1 copy eCopy PDF Pro Office - 3 Year Maintenance and Support</t>
  </si>
  <si>
    <t>KM Integrated ShareScan Suite v5 - 1 copy eCopy PDF Pro Office - 4 Year Maintenance and Support</t>
  </si>
  <si>
    <t>KM Integrated ShareScan Suite v5 -1 copy eCopy PDF Pro Office - 5 Year Maintenance and Support</t>
  </si>
  <si>
    <t>KM Integrated ShareScan Office v5 -1 copy eCopy PDF Pro Office - 3 Year Maintenance and Support</t>
  </si>
  <si>
    <t>KM Integrated ShareScan Office v5 -1 copy eCopy PDF Pro Office - 4 Year Maintenance and Support</t>
  </si>
  <si>
    <t>KM Integrated ShareScan Office v5 -1 copy eCopy PDF Pro Office - 5 Year Maintenance and Support</t>
  </si>
  <si>
    <t>Integrated eCopy ShareScan v5. Elements – 1 copy eCopy PDF Pro Office - 3YR M&amp;S</t>
  </si>
  <si>
    <t>Integrated eCopy ShareScan v5. Elements – 1 copy eCopy PDF Pro Office - 4YR M&amp;S</t>
  </si>
  <si>
    <t>Integrated eCopy ShareScan v5. Elements – 1 copy eCopy PDF Pro Office - 5YR M&amp;S</t>
  </si>
  <si>
    <t>eCopy Connectors and Services for ScanStations</t>
  </si>
  <si>
    <t>Bates/Endorsement Service – 3 YR M&amp;S</t>
  </si>
  <si>
    <t>Bates/Endorsement Service – 4 YR M&amp;S</t>
  </si>
  <si>
    <t>Bates/Endorsement Service – 5 YR M&amp;S</t>
  </si>
  <si>
    <t>Cost Recovery Service – 3YR M&amp;S</t>
  </si>
  <si>
    <t>Cost Recovery Service – 4YR M&amp;S</t>
  </si>
  <si>
    <t>Cost Recovery Service – 5YR M&amp;S</t>
  </si>
  <si>
    <t>Barcode Recognition Service – 3YR M&amp;S</t>
  </si>
  <si>
    <t>Barcode Recognition Service – 4YR M&amp;S</t>
  </si>
  <si>
    <t>Barcode Recognition Service – 5YR M&amp;S</t>
  </si>
  <si>
    <t>Forms Processing Extender – 3YR M&amp;S</t>
  </si>
  <si>
    <t>Forms Processing Extender – 4YR M&amp;S</t>
  </si>
  <si>
    <t>Forms Processing Extender – 5YR M&amp;S</t>
  </si>
  <si>
    <t>Microsoft SharePoint Connector – 3YR M&amp;S</t>
  </si>
  <si>
    <t>Microsoft SharePoint Connector – 5YR M&amp;S</t>
  </si>
  <si>
    <t>OpenText Fax Server, RightFax Edition Connector – 3YR M&amp;S</t>
  </si>
  <si>
    <t>OpenText Fax Server, RightFax Edition Connector – 4YR M&amp;S</t>
  </si>
  <si>
    <t>OpenText Fax Server, RightFax Edition Connector – 5YR M&amp;S</t>
  </si>
  <si>
    <t>OpenText Content Server Connector – 3YR M&amp;S</t>
  </si>
  <si>
    <t>OpenText Content Server Connector – 5YR M&amp;S</t>
  </si>
  <si>
    <t>OpenText DM, eDOCS Edition Connector – 3YR M&amp;S</t>
  </si>
  <si>
    <t>OpenText DM, eDOCS Edition Connector – 4YR M&amp;S</t>
  </si>
  <si>
    <t>OpenText DM, eDOCS Edition Connector – 5YR M&amp;S</t>
  </si>
  <si>
    <t>Autonomy iManage WorkSite Connector – 3YR M&amp;S</t>
  </si>
  <si>
    <t>Autonomy iManage WorkSite Connector – 4YR M&amp;S</t>
  </si>
  <si>
    <t>Autonomy iManage WorkSite Connector – 5YR M&amp;S</t>
  </si>
  <si>
    <t>EMC Documentum Connector – 3YR M&amp;S</t>
  </si>
  <si>
    <t>EMC Documentum Connector – 4YR M&amp;S</t>
  </si>
  <si>
    <t>EMC Documentum Connector – 5YR M&amp;S</t>
  </si>
  <si>
    <t>Quick Connect Connector - 3YR M&amp;S</t>
  </si>
  <si>
    <t>Quick Connect Connector - 4YR M&amp;S</t>
  </si>
  <si>
    <t>Quick Connect Connector - 5YR M&amp;S</t>
  </si>
  <si>
    <t>Xerox Docushare Connector - 3 YR M&amp;S</t>
  </si>
  <si>
    <t>Xerox Docushare Connector - 4 YR M&amp;S</t>
  </si>
  <si>
    <t>Xerox Docushare Connector - 5 YR M&amp;S</t>
  </si>
  <si>
    <t>SalesForce Connector - 3 YR M&amp;S</t>
  </si>
  <si>
    <t>SalesForce Connector - 4 YR M&amp;S</t>
  </si>
  <si>
    <t>SalesForce Connector - 5 YR M&amp;S</t>
  </si>
  <si>
    <t>HP Trim Connector - 3 YR M&amp;S</t>
  </si>
  <si>
    <t>HP Trim Connector - 4 YR M&amp;S</t>
  </si>
  <si>
    <t>HP Trim Connector - 5 YR M&amp;S</t>
  </si>
  <si>
    <t>Microsoft SharePoint Connector Server Edition - 3 YR M&amp;S</t>
  </si>
  <si>
    <t>Microsoft SharePoint Connector Server Edition - 4 YR M&amp;S</t>
  </si>
  <si>
    <t>Microsoft SharePoint Connector Server Edition - 5 YR M&amp;S</t>
  </si>
  <si>
    <t>Sage 50 Accounts Connector - 3 YR M&amp;S</t>
  </si>
  <si>
    <t>Sage 50 Accounts Connector - 4 YR M&amp;S</t>
  </si>
  <si>
    <t>Sage 50 Accounts Connector - 5 YR M&amp;S</t>
  </si>
  <si>
    <t>Sage ACT Connector - 3 YR M&amp;S</t>
  </si>
  <si>
    <t>Sage ACT Connector - 4 YR M&amp;S</t>
  </si>
  <si>
    <t>Sage ACT Connector - 5 YR M&amp;S</t>
  </si>
  <si>
    <t>eCopy Lookup Extender 3YR M&amp;S</t>
  </si>
  <si>
    <t>eCopy Lookup Extender 4YR M&amp;S</t>
  </si>
  <si>
    <t>eCopy Lookup Extender 5YR M&amp;S</t>
  </si>
  <si>
    <t>eCopy Maintenance &amp; Service</t>
  </si>
  <si>
    <t>eCopy ShareScan v5 Office 1 Year Maintenance and Support Add-On (SOFTWARE ONLY)</t>
  </si>
  <si>
    <t>eCopy ShareScan v5 Suite 1 Year Maintenance and Support Add-On (SOFTWARE ONLY)</t>
  </si>
  <si>
    <t>eCopy Connectors and Services - 1 Year Maintenance and Support Add-On</t>
  </si>
  <si>
    <t>Forms Processing Extender 1 Year Maintenance and Support Add-On</t>
  </si>
  <si>
    <t>eCopy Integrated Solution - Volume   V5.1</t>
  </si>
  <si>
    <t>eCopy Integrated Solution - Volume</t>
  </si>
  <si>
    <t>V5.1</t>
  </si>
  <si>
    <t>eCopy Intigrated v5 Elements -Volume 3-24 units - 3YR M&amp;S</t>
  </si>
  <si>
    <t>eCopy Intigrated v5 Elements -Volume 25-49 units - 3YR M&amp;S</t>
  </si>
  <si>
    <t>eCopy Intigrated v5 Elements -Volume 50+ units - 3YR M&amp;S</t>
  </si>
  <si>
    <t>eCopy Intigrated v5 Elements -Volume 3-24 units - 4YR M&amp;S</t>
  </si>
  <si>
    <t>eCopy Intigrated v5 Elements -Volume 25-49 units - 4YR M&amp;S</t>
  </si>
  <si>
    <t>eCopy Intigrated v5 Elements -Volume 50+ units - 4YR M&amp;S</t>
  </si>
  <si>
    <t>eCopy Intigrated v5 Elements -Volume 3-24 units - 5YR M&amp;S</t>
  </si>
  <si>
    <t>eCopy Intigrated v5 Elements -Volume 25-49 units - 5YR M&amp;S</t>
  </si>
  <si>
    <t>eCopy Intigrated v5 Elements -Volume 50+ units - 5YR M&amp;S</t>
  </si>
  <si>
    <t>eCopy Connectors and Services for Elements - 10-49 units</t>
  </si>
  <si>
    <t>Microsoft SharePoint Connector Volume 10-49 Units 3YR M&amp;S</t>
  </si>
  <si>
    <t>Microsoft SharePoint Connector Volume 10-49 Units 4YR M&amp;S</t>
  </si>
  <si>
    <t>Microsoft SharePoint Connector Volume 10-49 Units 5YR M&amp;S</t>
  </si>
  <si>
    <t>OpenText Fax Server, RightFax Edition Connector Volume 10-49 Units 3YR M&amp;S</t>
  </si>
  <si>
    <t>OpenText Fax Server, RightFax Edition Connector Volume 10-49 Units 4YR M&amp;S</t>
  </si>
  <si>
    <t>OpenText Fax Server, RightFax Edition Connector Volume 10-49 Units 5YR M&amp;S</t>
  </si>
  <si>
    <t>OpenText Content Server Connector Volume 10-49 Units 3YR M&amp;S</t>
  </si>
  <si>
    <t>OpenText Content Server Connector Volume 10-49 Units 4YR M&amp;S</t>
  </si>
  <si>
    <t>OpenText Content Server Connector Volume 10-49 Units 5YR M&amp;S</t>
  </si>
  <si>
    <t>OpenText DM, eDOCS Edition Connector Volume 10-49 Units 3YR M&amp;S</t>
  </si>
  <si>
    <t>OpenText DM, eDOCS Edition Connector Volume 10-49 Units 4YR M&amp;S</t>
  </si>
  <si>
    <t>OpenText DM, eDOCS Edition Connector Volume 10-49 Units 5YR M&amp;S</t>
  </si>
  <si>
    <t>Autonomy iManage WorkSite Connector Volume 10-49 Units 3YR M&amp;S</t>
  </si>
  <si>
    <t>Autonomy iManage WorkSite Connector Volume 10-49 Units 4YR M&amp;S</t>
  </si>
  <si>
    <t>Autonomy iManage WorkSite Connector Volume 10-49 Units 5YR M&amp;S</t>
  </si>
  <si>
    <t>EMC Documentum Connector Volume 10-49 Units 3YR M&amp;S</t>
  </si>
  <si>
    <t>EMC Documentum Connector Volume 10-49 Units 4YR M&amp;S</t>
  </si>
  <si>
    <t>EMC Documentum Connector Volume 10-49 Units 5YR M&amp;S</t>
  </si>
  <si>
    <t>Bates/Endorsement Service Volume 10-49 Units 3YR M&amp;S</t>
  </si>
  <si>
    <t>Bates/Endorsement Service Volume 10-49 Units 4YR M&amp;S</t>
  </si>
  <si>
    <t>Bates/Endorsement Service Volume 10-49 Units 5YR M&amp;S</t>
  </si>
  <si>
    <t>Cost Recovery Service Volume 10-49 Units 3YR M&amp;S</t>
  </si>
  <si>
    <t>Cost Recovery Service Volume 10-49 Units 4YR M&amp;S</t>
  </si>
  <si>
    <t>Cost Recovery Service Volume 10-49 Units 5YR M&amp;S</t>
  </si>
  <si>
    <t>Barcode Recognition Service Volume 10-49 Units 3YR M&amp;S</t>
  </si>
  <si>
    <t>Barcode Recognition Service Volume 10-49 Units 4YR M&amp;S</t>
  </si>
  <si>
    <t>Barcode Recognition Service Volume 10-49 Units 5YR M&amp;S</t>
  </si>
  <si>
    <t>eCopy Forms Processing Extender 10-49 Units 3YR M&amp;S</t>
  </si>
  <si>
    <t>eCopy Forms Processing Extender 10-49 Units 4YR M&amp;S</t>
  </si>
  <si>
    <t>eCopy Forms Processing Extender 10-49 Units 5YR M&amp;S</t>
  </si>
  <si>
    <t>Quick Connect Volume 10-49 Units 3YR M&amp;S</t>
  </si>
  <si>
    <t>Quick Connect Volume 10-49 Units 4YR M&amp;S</t>
  </si>
  <si>
    <t>Quick Connect Volume 10-49 Units 5YR M&amp;S</t>
  </si>
  <si>
    <t>eCopy Lookup Extender Volume 10-49 Units 3YR M&amp;S</t>
  </si>
  <si>
    <t>eCopy Lookup Extender Volume 10-49 Units 4YR M&amp;S</t>
  </si>
  <si>
    <t>eCopy Lookup Extender Volume 10-49 Units 5YR M&amp;S</t>
  </si>
  <si>
    <t>eCopy Connectors and Services for Elements - 3-9 units</t>
  </si>
  <si>
    <t>Microsoft SharePoint Connector Volume 3-9 Units 3YR M&amp;S</t>
  </si>
  <si>
    <t>Microsoft SharePoint Connector Volume 3-9 Units 4YR M&amp;S</t>
  </si>
  <si>
    <t>Microsoft SharePoint Connector Volume 3-9 Units 5YR M&amp;S</t>
  </si>
  <si>
    <t>OpenText Fax Server, RightFax Edition Connector Volume 3-9 Units 3YR M&amp;S</t>
  </si>
  <si>
    <t>OpenText Fax Server, RightFax Edition Connector Volume 3-9 Units 4YR M&amp;S</t>
  </si>
  <si>
    <t>OpenText Fax Server, RightFax Edition Connector Volume 3-9 Units 5YR M&amp;S</t>
  </si>
  <si>
    <t>OpenText Content Server Connector Volume 3-9 Units 3YR M&amp;S</t>
  </si>
  <si>
    <t>OpenText Content Server Connector Volume 3-9 Units 4YR M&amp;S</t>
  </si>
  <si>
    <t>OpenText Content Server Connector Volume 3-9 Units 5YR M&amp;S</t>
  </si>
  <si>
    <t>OpenText DM, eDOCS Edition Connector Volume 3-9 Units 3YR M&amp;S</t>
  </si>
  <si>
    <t>OpenText DM, eDOCS Edition Connector Volume 3-9 Units 4YR M&amp;S</t>
  </si>
  <si>
    <t>OpenText DM, eDOCS Edition Connector Volume 3-9 Units 5YR M&amp;S</t>
  </si>
  <si>
    <t>Autonomy iManage WorkSite Connector Volume 3-9 Units 3YR M&amp;S</t>
  </si>
  <si>
    <t>Autonomy iManage WorkSite Connector Volume 3-9 Units 4YR M&amp;S</t>
  </si>
  <si>
    <t>Autonomy iManage WorkSite Connector Volume 3-9 Units 5YR M&amp;S</t>
  </si>
  <si>
    <t>EMC Documentum Connector Volume 3-9 Units 3YR M&amp;S</t>
  </si>
  <si>
    <t>EMC Documentum Connector Volume 3-9 Units 4YR M&amp;S</t>
  </si>
  <si>
    <t>EMC Documentum Connector Volume 3-9 Units 5YR M&amp;S</t>
  </si>
  <si>
    <t>Bates/Endorsement Service Volume 3-9 Units 3YR M&amp;S</t>
  </si>
  <si>
    <t>Bates/Endorsement Service Volume 3-9 Units 4YR M&amp;S</t>
  </si>
  <si>
    <t>Bates/Endorsement Service Volume 3-9 Units 5YR M&amp;S</t>
  </si>
  <si>
    <t>Cost Recovery Service Volume 3-9 Units 3YR M&amp;S</t>
  </si>
  <si>
    <t>Cost Recovery Service Volume 3-9 Units 4YR M&amp;S</t>
  </si>
  <si>
    <t>Cost Recovery Service Volume 3-9 Units 5YR M&amp;S</t>
  </si>
  <si>
    <t>Barcode Recognition Service Volume 3-9 Units 3YR M&amp;S</t>
  </si>
  <si>
    <t>Barcode Recognition Service Volume 3-9 Units 4YR M&amp;S</t>
  </si>
  <si>
    <t>Barcode Recognition Service Volume 3-9 Units 5YR M&amp;S</t>
  </si>
  <si>
    <t>eCopy Forms Processing Extender 3-9 Units 3YR M&amp;S</t>
  </si>
  <si>
    <t>eCopy Forms Processing Extender 3-9 Units 4YR M&amp;S</t>
  </si>
  <si>
    <t>eCopy Forms Processing Extender 3-9 Units 5YR M&amp;S</t>
  </si>
  <si>
    <t>Quick Connect Volume 3-9 Units 3YR M&amp;S</t>
  </si>
  <si>
    <t>Quick Connect Volume 3-9 Units 4YR M&amp;S</t>
  </si>
  <si>
    <t>Quick Connect Volume 3-9 Units 5YR M&amp;S</t>
  </si>
  <si>
    <t>eCopy Lookup Extender Volume 3-9 Units 3YR M&amp;S</t>
  </si>
  <si>
    <t>eCopy Lookup Extender Volume 3-9 Units 4YR M&amp;S</t>
  </si>
  <si>
    <t>eCopy Lookup Extender Volume 3-9 Units 5YR M&amp;S</t>
  </si>
  <si>
    <t>eCopy Connectors and Services for Elements - 50+ units</t>
  </si>
  <si>
    <t>Microsoft SharePoint Connector Volume 50+ Units 3YR M&amp;S</t>
  </si>
  <si>
    <t>Microsoft SharePoint Connector Volume 50+ Units 4YR M&amp;S</t>
  </si>
  <si>
    <t>Microsoft SharePoint Connector Volume 50+ Units 5YR M&amp;S</t>
  </si>
  <si>
    <t>OpenText Fax Server, RightFax Edition Connector Volume 50+ Units 3YR M&amp;S</t>
  </si>
  <si>
    <t>OpenText Fax Server, RightFax Edition Connector Volume 50+ Units 4YR M&amp;S</t>
  </si>
  <si>
    <t>OpenText Fax Server, RightFax Edition Connector Volume 50+ Units 5YR M&amp;S</t>
  </si>
  <si>
    <t>OpenText Content Server Connector Volume 50+ Units 3YR M&amp;S</t>
  </si>
  <si>
    <t>OpenText Content Server Connector Volume 50+ Units 4YR M&amp;S</t>
  </si>
  <si>
    <t>OpenText Content Server Connector Volume 50+ Units 5YR M&amp;S</t>
  </si>
  <si>
    <t>OpenText DM, eDOCS Edition Connector Volume 50+ Units 3YR M&amp;S</t>
  </si>
  <si>
    <t>OpenText DM, eDOCS Edition Connector Volume 50+ Units 4YR M&amp;S</t>
  </si>
  <si>
    <t>OpenText DM, eDOCS Edition Connector Volume 50+ Units 5YR M&amp;S</t>
  </si>
  <si>
    <t>Autonomy iManage WorkSite Connector Volume 50+ Units 3YR M&amp;S</t>
  </si>
  <si>
    <t>Autonomy iManage WorkSite Connector Volume 50+ Units 4YR M&amp;S</t>
  </si>
  <si>
    <t>Autonomy iManage WorkSite Connector Volume 50+ Units 5YR M&amp;S</t>
  </si>
  <si>
    <t>EMC Documentum Connector Volume 50+ Units 3YR M&amp;S</t>
  </si>
  <si>
    <t>EMC Documentum Connector Volume 50+ Units 4YR M&amp;S</t>
  </si>
  <si>
    <t>EMC Documentum Connector Volume 50+ Units 5YR M&amp;S</t>
  </si>
  <si>
    <t>Bates/Endorsement Service Volume 50+ Units 3YR M&amp;S</t>
  </si>
  <si>
    <t>Bates/Endorsement Service Volume 50+ Units 4YR M&amp;S</t>
  </si>
  <si>
    <t>Bates/Endorsement Service Volume 50+ Units 5YR M&amp;S</t>
  </si>
  <si>
    <t>Cost Recovery Service Volume 50+ Units 3YR M&amp;S</t>
  </si>
  <si>
    <t>Cost Recovery Service Volume 50+ Units 4YR M&amp;S</t>
  </si>
  <si>
    <t>Cost Recovery Service Volume 50+ Units 5YR M&amp;S</t>
  </si>
  <si>
    <t>Barcode Recognition Service Volume 50+ Units 3YR M&amp;S</t>
  </si>
  <si>
    <t>Barcode Recognition Service Volume 50+ Units 4YR M&amp;S</t>
  </si>
  <si>
    <t>Barcode Recognition Service Volume 50+ Units 5YR M&amp;S</t>
  </si>
  <si>
    <t>eCopy Forms Processing Extender 50+ Units 3YR M&amp;S</t>
  </si>
  <si>
    <t>eCopy Forms Processing Extender 50+ Units 4YR M&amp;S</t>
  </si>
  <si>
    <t>eCopy Forms Processing Extender 50+ Units 5YR M&amp;S</t>
  </si>
  <si>
    <t>eCopy Lookup Extender Volume 50+ Units 3YR M&amp;S</t>
  </si>
  <si>
    <t>eCopy Lookup Extender Volume 50+ Units 4YR M&amp;S</t>
  </si>
  <si>
    <t>eCopy Lookup Extender Volume 50+ Units 5YR M&amp;S</t>
  </si>
  <si>
    <t>eCopy Loyalty Program   KM / eCopy Loyalty Program</t>
  </si>
  <si>
    <t>eCopy Loyalty Program</t>
  </si>
  <si>
    <t>KM / eCopy Loyalty Program</t>
  </si>
  <si>
    <t>Integrated ShareScan Suite Loyalty, 3 yrs Maintenance &amp; Support</t>
  </si>
  <si>
    <t>Allow a current eCopy Embedded Suite customer, regardless of MFP manufacturer (Canon, Ricoh, Xerox), to transfer the eCopy licensing to be used with a Konica Minolta MFP</t>
  </si>
  <si>
    <t>KM Integrated ShareScan Suite Loyalty, 4 Year Maintenance and Support</t>
  </si>
  <si>
    <t>KM Integrated ShareScan Suite Loyalty, 5 Year Maintenance and Support</t>
  </si>
  <si>
    <t>Integrated ShareScan Office Loyalty, 3 yrs Maintenance and Support</t>
  </si>
  <si>
    <t>Allow a current eCopy Embedded Office customer, regardless of MFP manufacturer (Canon, Ricoh, Xerox), to transfer the eCopy licensing to be used with a Konica Minolta MFP</t>
  </si>
  <si>
    <t>KM Integrated ShareScan Office Loyalty, 4 Year Maintenance and Support</t>
  </si>
  <si>
    <t>KM Integrated ShareScan Office Loyalty, 5 Year Maintenance and Support</t>
  </si>
  <si>
    <t>eCopy PDF Pro Office   V6.0</t>
  </si>
  <si>
    <t>eCopy PDF Pro Office</t>
  </si>
  <si>
    <t>V6.0</t>
  </si>
  <si>
    <t>eCopy PDF Pro Office - Single License 1YR M&amp;S</t>
  </si>
  <si>
    <t>eCopy PDF Pro Office - Single License 3YR M&amp;S</t>
  </si>
  <si>
    <t>eCopy PDF Pro Office - Single License, 4YR M&amp;S</t>
  </si>
  <si>
    <t>eCopy PDF Pro Office - Single License, 5YR M&amp;S</t>
  </si>
  <si>
    <t>eCopy PDF Pro Office v5 - Single Licence 1YR M&amp;S Add on</t>
  </si>
  <si>
    <t>eCopy PDF Pro Office  - Volume Pricing 5 - 39 seats - 1YR Add-on M&amp;S</t>
  </si>
  <si>
    <t>eCopy PDF Pro Office  - Volume Pricing 40 -199 seats - 1YR Add-on M&amp;S</t>
  </si>
  <si>
    <t>eCopy PDF Pro Office  - Volume Pricing 200 - 399 seats - 1YR Add-on M&amp;S</t>
  </si>
  <si>
    <t>eCopy PDF Pro Office  - Volume Pricing 400 - 999 seats - 1YR Add-on M&amp;S</t>
  </si>
  <si>
    <t>eCopy PDF Pro Office  - Volume Pricing 1000 - 10000 seats - 1YR Add-on M&amp;S</t>
  </si>
  <si>
    <t>eCopy PDF Pro Office - Volume Pricing</t>
  </si>
  <si>
    <t>eCopy PDF Pro Office  - Volume Pricing 5 - 39 seats 3YR</t>
  </si>
  <si>
    <t>eCopy PDF Pro Office  - Volume Pricing 40 -199 seats 3YR</t>
  </si>
  <si>
    <t>eCopy PDF Pro Office  - Volume Pricing 200 - 399 seats 3YR</t>
  </si>
  <si>
    <t>eCopy PDF Pro Office  - Volume Pricing 400 - 999 seats 3YR</t>
  </si>
  <si>
    <t>eCopy PDF Pro Office  - Volume Pricing 1000 - 10000 seats 3YR</t>
  </si>
  <si>
    <t>eCopy PDF Pro Office  - Volume Pricing 5 - 39 seats 4YR</t>
  </si>
  <si>
    <t>eCopy PDF Pro Office  - Volume Pricing 40 -199 seats 4YR</t>
  </si>
  <si>
    <t>eCopy PDF Pro Office  - Volume Pricing 200 - 399 seats 4YR</t>
  </si>
  <si>
    <t>eCopy PDF Pro Office  - Volume Pricing 400 - 999 seats 4YR</t>
  </si>
  <si>
    <t>eCopy PDF Pro Office  - Volume Pricing 1000 - 10000 seats 4YR</t>
  </si>
  <si>
    <t>eCopy PDF Pro Office  - Volume Pricing 5 - 39 seats 5YR</t>
  </si>
  <si>
    <t>eCopy PDF Pro Office  - Volume Pricing 40 -199 seats 5YR</t>
  </si>
  <si>
    <t>eCopy PDF Pro Office  - Volume Pricing 200 - 399 seats 5YR</t>
  </si>
  <si>
    <t>eCopy PDF Pro Office  - Volume Pricing 400 - 999 seats 5YR</t>
  </si>
  <si>
    <t>eCopy PDF Pro Office  - Volume Pricing 1000 - 10000 seats 5YR</t>
  </si>
  <si>
    <t>eCopy ScanStation OP   V5.0</t>
  </si>
  <si>
    <t>eCopy ScanStation OP</t>
  </si>
  <si>
    <t>eCopy ScanStation Suite OneBox Bundle, 3 YR M&amp;S</t>
  </si>
  <si>
    <t>eCopy ScanStation Suite for MFP One Box bundle Includes Stand - 3 Year Maintenance and Service</t>
  </si>
  <si>
    <t>eCopy ScanStation Suite OneBox Bundle, 4 YR M&amp;S</t>
  </si>
  <si>
    <t>eCopy ScanStation Suite for MFP One Box bundle Includes Stand - 4 Year Maintenance and Service</t>
  </si>
  <si>
    <t>eCopy ScanStation Suite OneBox Bundle, 5 YR M&amp;S</t>
  </si>
  <si>
    <t>eCopy ScanStation Suite for MFP One Box bundle - Includes Stand - 5 Year Maintenance and Service</t>
  </si>
  <si>
    <t>eCopy Scanner ScanStation Suite OneBox Bundle for ISIS SCANNER, 3 YR M&amp;S</t>
  </si>
  <si>
    <t>eCopy Scanner ScanStation Suite - One Box bundle - Includes Deskmount Bracket - 3 Year Maintenance and Service</t>
  </si>
  <si>
    <t>eCopy Scanner ScanStation Suite OneBox Bundle for ISIS SCANNER, 4 YR M&amp;S</t>
  </si>
  <si>
    <t>eCopy Scanner ScanStation Suite - One Box bundle - Includes Deskmount Bracket - 4 Year Maintenance and Service</t>
  </si>
  <si>
    <t>eCopy Scanner ScanStation Suite OneBox Bundle for ISIS SCANNER, 5 YR M&amp;S</t>
  </si>
  <si>
    <t>eCopy Scanner ScanStation Suite - One Box bundle - Includes Deskmount Bracket - 5Year Maintenance and Service</t>
  </si>
  <si>
    <t>Equitrac Express 5   Equitrac Express 5</t>
  </si>
  <si>
    <t>Equitrac Express 5</t>
  </si>
  <si>
    <t>(a) Equitrac Express Software Suite</t>
  </si>
  <si>
    <t>Equitrac Express 5: SCE upgrade (FROM EE4) 3YR M&amp;S - EQ5EESCU-3PB</t>
  </si>
  <si>
    <t>Equitrac Express 5: SCE upgrade (EO3 SBE/EE3 SCE/PAS/PRS) 4YR M&amp;S - EQ5EESCU-4PB</t>
  </si>
  <si>
    <t>Equitrac Express 5: SCE upgrade (EO3 SBE/EE3 SCE/PAS/PRS) 5YR M&amp;S - EQ5EESCU-5PB</t>
  </si>
  <si>
    <t>Equitrac Express 5: Suite 4YR M&amp;S - EQ5EESU1-4PB</t>
  </si>
  <si>
    <t>Equitrac Express 5: Suite 5YR M&amp;S - EQ5EESU1-5PB</t>
  </si>
  <si>
    <t>Equitrac Express 5: Suite upgrade (FROM EE4) 3YR M&amp;S - EQ5EESUU-3PB</t>
  </si>
  <si>
    <t>Equitrac Express 5: Suite upgrade (FROM EE4) 4YR M&amp;S - EQ5EESUU-4PB</t>
  </si>
  <si>
    <t>Equitrac Express 5: Suite upgrade (FROM EE4) 5YR M&amp;S - EQ5EESUU-5PB</t>
  </si>
  <si>
    <t>(e) Equitrac Office/Express : Print Server and PrinterOn integration</t>
  </si>
  <si>
    <t>EO5/EE5: Cluster Enabler 3yr M&amp;S - EQ5CLS01-3PB</t>
  </si>
  <si>
    <t>EO5/EE5: Cluster Enabler 4yr M&amp;S - EQ5CLS01-4PB</t>
  </si>
  <si>
    <t>EO5/EE5: Cluster Enabler 5yr M&amp;S - EQ5CLS01-5PB</t>
  </si>
  <si>
    <t>EO5/EE5: Cluster Enabler upgrade 3yr M&amp;S - EQ5CLS0U-3PB</t>
  </si>
  <si>
    <t>EO5/EE5: Cluster Enabler upgrade 4yr M&amp;S - EQ5CLS0U-4PB</t>
  </si>
  <si>
    <t>EO5/EE5: Cluster Enabler upgrade 5yr M&amp;S - EQ5CLS0U-5PB</t>
  </si>
  <si>
    <t>PrinterOn Enterprise Solution (10 devices) 3yrs M&amp;S - EQ5PO010-3PB</t>
  </si>
  <si>
    <t>PrinterOn Enterprise Solution (10 devices) 4yrs M&amp;S - EQ5PO010-4PB</t>
  </si>
  <si>
    <t>PrinterOn Enterprise Solution (10 devices) 5yrs M&amp;S - EQ5PO010-5PB</t>
  </si>
  <si>
    <t>PrinterOn Enterprise Solution (1000 devices) 3yrs M&amp;S -EQ5PO01K-3PB</t>
  </si>
  <si>
    <t>PrinterOn Enterprise Solution (1000 devices) 4yrs M&amp;S - EQ5PO01K-4PB</t>
  </si>
  <si>
    <t>PrinterOn Enterprise Solution (1000 devices) 5yrs M&amp;S - EQ5PO01K-5PB</t>
  </si>
  <si>
    <t>PrinterOn Enterprise Solution (25 devices) 3yrs M&amp;S - EQ5PO025-3PB</t>
  </si>
  <si>
    <t>PrinterOn Enterprise Solution (25 devices) 4yrs M&amp;S - EQ5PO025-4PB</t>
  </si>
  <si>
    <t>PrinterOn Enterprise Solution (25 devices) 5yrs M&amp;S - EQ5PO025-5PB</t>
  </si>
  <si>
    <t>PrinterOn Enterprise Solution (100 devices) 3yrs M&amp;S - EQ5PO100-3PB</t>
  </si>
  <si>
    <t>PrinterOn Enterprise Solution (100 devices) 4yrs M&amp;S - EQ5PO100-4PB</t>
  </si>
  <si>
    <t>PrinterOn Enterprise Solution (100 devices) 5yrs M&amp;S -EQ5PO100-5PB</t>
  </si>
  <si>
    <t>PrinterOn Enterprise Solution (500 devices) 3yrs M&amp;S - EQ5PO500-3PB</t>
  </si>
  <si>
    <t>PrinterOn Enterprise Solution (500 devices) 4yrs M&amp;S - EQ5PO500-4PB</t>
  </si>
  <si>
    <t>PrinterOn Enterprise Solution (500 devices) 5yrs M&amp;S - EQ5PO500-5PB</t>
  </si>
  <si>
    <t>EO5/EE5: Print Server 3yr M&amp;S - EQ5PS001-3PB</t>
  </si>
  <si>
    <t>EO5/EE5: Print Server 4yr M&amp;S - EQ5PS001-4PB</t>
  </si>
  <si>
    <t>EO5/EE5: Print Server 5yr M&amp;S - EQ5PS001-5PB</t>
  </si>
  <si>
    <t>EO5/EE5: Print Server (10) 3yr M&amp;S - EQ5PS010-3PB</t>
  </si>
  <si>
    <t>EO5/EE5: Print Server (10) 4yr M&amp;S - EQ5PS010-4PB</t>
  </si>
  <si>
    <t>EO5/EE5: Print Server (10) 5yr M&amp;S - EQ5PS010-5PB</t>
  </si>
  <si>
    <t>EO5/EE5: Print Server upgrade 3yr M&amp;S - EQ5PS01U-3PB</t>
  </si>
  <si>
    <t>EO5/EE5: Print Server upgrade 4yr M&amp;S - EQ5PS01U-4PB</t>
  </si>
  <si>
    <t>EO5/EE5: Print Server upgrade 5yr M&amp;S - EQ5PS01U-5PB</t>
  </si>
  <si>
    <t>EO5/EE5: Print Server (10) Upgrade 3yr M&amp;S - EQ5PSU10-3PB</t>
  </si>
  <si>
    <t>EO5/EE5: Print Server (10) Upgrade 4yr M&amp;S - EQ5PSU10-4PB</t>
  </si>
  <si>
    <t>EO5/EE5: Print Server (10) Upgrade 5yr M&amp;S - EQ5PSU10-5PB</t>
  </si>
  <si>
    <t>(j) Equitrac Media ,NFR and Trial</t>
  </si>
  <si>
    <t>Equitrac Express 5: CD media kit only - EQ5EEMED</t>
  </si>
  <si>
    <t>Equitrac Express 5: NFR (Not for Resale) product - EQ5EENFR</t>
  </si>
  <si>
    <t>Equitrac Express 5: New customer trial (45-day) - EQ5EETR1</t>
  </si>
  <si>
    <t>Equitrac Express 5: New feature trial (45-day) - EQ5EETR2</t>
  </si>
  <si>
    <t>Equitrac Office 5: CD media kit only - EQ5EFMED</t>
  </si>
  <si>
    <t>Equitrac Office 5: NFR (Not for Resale) product - EQ5EFNFR</t>
  </si>
  <si>
    <t>Equitrac Office 5: New customer trial (45-day) - EQ5EFTR1</t>
  </si>
  <si>
    <t>Equitrac Office 5: New feature trial (45-day) - EQ5EFTR2</t>
  </si>
  <si>
    <t>Equitrac Embedded Device</t>
  </si>
  <si>
    <t>EO5/EE5: Embedded Device 3yr M&amp;S - EQ5ED001-3PB</t>
  </si>
  <si>
    <t>EO5/EE5: Embedded Device 4yr M&amp;S - EQ5ED001-4PB</t>
  </si>
  <si>
    <t>EO5/EE5: Embedded Device 5yr M&amp;S - EQ5ED001-5PB</t>
  </si>
  <si>
    <t>EO5/EE5: Embedded Device (10) 3yr M&amp;S - EQ5ED010-3PB</t>
  </si>
  <si>
    <t>EO5/EE5: Embedded Device (10) 4yr M&amp;S - EQ5ED010-4PB</t>
  </si>
  <si>
    <t>EO5/EE5: Embedded Device (10) 5yr M&amp;S - EQ5ED010-5PB</t>
  </si>
  <si>
    <t>EO5/EE5: Embedded Device Upgrade 3yr M&amp;S - EQ5ED01U-3PB</t>
  </si>
  <si>
    <t>EO5/EE5: Embedded Device Upgrade 4yr M&amp;S - EQ5ED01U-4PB</t>
  </si>
  <si>
    <t>EO5/EE5: Embedded Device Upgrade 5yr M&amp;S - EQ5ED01U-5PB</t>
  </si>
  <si>
    <t>EO5/EE5: Embedded Device (100) Version Upgrade 3yr M&amp;S - EQ5EDOXU-3PB</t>
  </si>
  <si>
    <t>EO5/EE5: Embedded Device (100) Version Upgrade 4yr M&amp;S - EQ5EDOXU-4PB</t>
  </si>
  <si>
    <t>EO5/EE5: Embedded Device (100) Version Upgrade 5yr M&amp;S - EQ5EDOXU-5PB</t>
  </si>
  <si>
    <t>EO5/EE5: Embedded Device (500) Version Upgrade 3yr M&amp;S - EQ5ED0DU-3PB</t>
  </si>
  <si>
    <t>EO5/EE5: Embedded Device (500) Version Upgrade 4yr M&amp;S - EQ5ED0DU-4PB</t>
  </si>
  <si>
    <t>EO5/EE5: Embedded Device (500) Version Upgrade 5yr M&amp;S - EQ5ED0DU-5PB</t>
  </si>
  <si>
    <t>EO5/EE5: Embedded Device (100) 3yr M&amp;S - EQ5ED100-3PB</t>
  </si>
  <si>
    <t>EO5/EE5: Embedded Device (100) 4yr M&amp;S - EQ5ED100-4PB</t>
  </si>
  <si>
    <t>EO5/EE5: Embedded Device (100) 5yr M&amp;S - EQ5ED100-5PB</t>
  </si>
  <si>
    <t>EO5/EE5: Embedded Device (500) 3yr M&amp;S - EQ5ED500-3PB</t>
  </si>
  <si>
    <t>EO5/EE5: Embedded Device (500) 4yr M&amp;S - EQ5ED500-4PB</t>
  </si>
  <si>
    <t>EO5/EE5: Embedded Device (500) 5yr M&amp;S - EQ5ED500-5PB</t>
  </si>
  <si>
    <t>EO5/EE5: Embedded Device (10) Version Upgrade 3yr M&amp;S - EQ5EDOXU-3PB</t>
  </si>
  <si>
    <t>EO5/EE5: Embedded Device (10) Version Upgrade 4yr M&amp;S - EQ5EDOXU-4PB</t>
  </si>
  <si>
    <t>EO5/EE5: Embedded Device (10) Version Upgrade 5yr M&amp;S - EQ5EDOXU-5PB</t>
  </si>
  <si>
    <t>EO5/EE5: Embedded Device Loyalty 3yr M&amp;S - EQ5EL001-3PB</t>
  </si>
  <si>
    <t>EO5/EE5: Embedded Device Loyalty 4yr M&amp;S - EQ5EL001-4PB</t>
  </si>
  <si>
    <t>EO5/EE5: Embedded Device Loyalty 5yr M&amp;S - EQ5EL001-5PB</t>
  </si>
  <si>
    <t>EO5/EE5: Embedded Device (10) Loyalty 3yr M&amp;S - EQ5EL010-3PB</t>
  </si>
  <si>
    <t>EO5/EE5: Embedded Device (10) Loyalty 4yr M&amp;S - EQ5EL010-4PB</t>
  </si>
  <si>
    <t>EO5/EE5: Embedded Device (10) Loyalty 5yr M&amp;S - EQ5EL010-5PB</t>
  </si>
  <si>
    <t>EO5/EE5: Embedded Device Loyalty 3yr M&amp;S Version Upgrade- EQ5EL01U-3PB</t>
  </si>
  <si>
    <t>EO5/EE5: Embedded Device Loyalty 4yr M&amp;S Version Upgrade - EQ5EL01U-4PB</t>
  </si>
  <si>
    <t>EO5/EE5: Embedded Device Loyalty 5yr M&amp;S Version Upgrade- EQ5EL01U-5PB</t>
  </si>
  <si>
    <t>EO5/EE5: Embedded Device (100) Loyalty 3yr M&amp;S Version Upgrade - EQ5EL0CU-3PB</t>
  </si>
  <si>
    <t>EO5/EE5: Embedded Device (100) Loyalty 4yr M&amp;S Version Upgrade - EQ5EL0CU-4PB</t>
  </si>
  <si>
    <t>EO5/EE5: Embedded Device (100) Loyalty 5yr M&amp;S Version Upgrade - EQ5EL0CU-5PB</t>
  </si>
  <si>
    <t>EO5/EE5: Embedded Device (10) Loyalty 3yr M&amp;S Version Upgrade - EQ5EL0XU-3PB</t>
  </si>
  <si>
    <t>EO5/EE5: Embedded Device (10) Loyalty 4yr M&amp;S Version Upgrade- EQ5EL0XU-4PB</t>
  </si>
  <si>
    <t>EO5/EE5: Embedded Device (10) Loyalty 5yr M&amp;S Version Upgrade - EQ5EL0XU-5PB</t>
  </si>
  <si>
    <t>EO5/EE5: Embedded Device (100) Loyalty 3yr M&amp;S - EQ5EL100-3PB</t>
  </si>
  <si>
    <t>EO5/EE5: Embedded Device (100) Loyalty 4yr M&amp;S - EQ5EL100-4PB</t>
  </si>
  <si>
    <t>EO5/EE5: Embedded Device (100) Loyalty 5yr M&amp;S - EQ5EL100-5PB</t>
  </si>
  <si>
    <t>Equitrac Installation Services</t>
  </si>
  <si>
    <t>PS Installation – one hour (Pass through item)</t>
  </si>
  <si>
    <t>PS Installation – one hour</t>
  </si>
  <si>
    <t>Equitrac Office/Express Enterprise Licensing</t>
  </si>
  <si>
    <t>Equitrac Express 5: Enhanced Enterprise License (5,000-9,999 users) 3yr M&amp;S - EQ5EECE1-3PB</t>
  </si>
  <si>
    <t>Equitrac Express 5: Enhanced Enterprise License (5,000-9,999 users) 4yr M&amp;S - EQ5EECE1-4PB</t>
  </si>
  <si>
    <t>Equitrac Express 5: Enhanced Enterprise License (5,000-9,999 users) 5yr M&amp;S - EQ5EECE1-5PB</t>
  </si>
  <si>
    <t>Equitrac Express 5: Enhanced Enterprise License (10,000-24,999 users) 3yr M&amp;S - EQ5EECE2-3PB</t>
  </si>
  <si>
    <t>Equitrac Express 5: Enhanced Enterprise License (10,000-24,999 users) 4yr M&amp;S - EQ5EECE2-4PB</t>
  </si>
  <si>
    <t>Equitrac Express 5: Enhanced Enterprise License (10,000-24,999 users) 5yr M&amp;S - EQ5EECE2-5PB</t>
  </si>
  <si>
    <t>Equitrac Express 5: Enhanced Enterprise License (25,000-49,999 users) 3yr M&amp;S - EQ5EECE3-3PB</t>
  </si>
  <si>
    <t>Equitrac Express 5: Enhanced Enterprise License (25,000-49,999 users) 4yr M&amp;S - EQ5EECE3-4PB</t>
  </si>
  <si>
    <t>Equitrac Express 5: Enhanced Enterprise License (25,000-49,999 users) 5yr M&amp;S - EQ5EECE3-5PB</t>
  </si>
  <si>
    <t>Equitrac Express 5: Enhanced Enterprise License (50,000-99,999 users) 3yr M&amp;S - EQ5EECE4-3PB</t>
  </si>
  <si>
    <t>Equitrac Express 5: Enhanced Enterprise License (50,000-99,999 users) 4yr M&amp;S - EQ5EECE4-4PB</t>
  </si>
  <si>
    <t>Equitrac Express 5: Enhanced Enterprise License (50,000-99,999 users) 5yr M&amp;S - EQ5EECE4-5PB</t>
  </si>
  <si>
    <t>Equitrac Express 5: Enhanced Enterprise License (100,000 and more users) 3yr M&amp;S - EQ5EECE5-3PB</t>
  </si>
  <si>
    <t>Equitrac Express 5: Enhanced Enterprise License (100,000 and more users) 4yr M&amp;S - EQ5EECE5-4PB</t>
  </si>
  <si>
    <t>Equitrac Express 5: Enhanced Enterprise License (100,000 and more users) 5yr M&amp;S - EQ5EECE5-5PB</t>
  </si>
  <si>
    <t>Equitrac Express 5: Enhanced Enterprise License (1,000-4,999 users) 3yr M&amp;S - EQ5EECEK-3PB</t>
  </si>
  <si>
    <t>Equitrac Express 5: Enhanced Enterprise License (1,000-4,999 users) 4yr M&amp;S - EQ5EECEK-4PB</t>
  </si>
  <si>
    <t>Equitrac Express 5: Enhanced Enterprise License (1,000-4,999 users) 5yr M&amp;S - EQ5EECEK-5PB</t>
  </si>
  <si>
    <t>Equitrac Express 5: Enhanced Enterprise License (5,000-9,999 users) 3yr M&amp;S Ver Upgrade - EQ5EECU1-3PB</t>
  </si>
  <si>
    <t>Equitrac Express 5: Enhanced Enterprise License (5,000-9,999 users) 4yr M&amp;S Ver Upgrade - EQ5EECU1-4PB</t>
  </si>
  <si>
    <t>Equitrac Express 5: Enhanced Enterprise License (5,000-9,999 users) 5yr M&amp;S Ver Upgrade- EQ5EECU1-5PB</t>
  </si>
  <si>
    <t>Equitrac Express 5: Enhanced Enterprise License (10,000-24,999 users) 3yr M&amp;S Ver Upgrade- EQ5EECU2-3PB</t>
  </si>
  <si>
    <t>Equitrac Express 5: Enhanced Enterprise License (10,000-24,999 users) 4yr M&amp;S Ver Upgrade - EQ5EECU2-4PB</t>
  </si>
  <si>
    <t>Equitrac Express 5: Enhanced Enterprise License (10,000-24,999 users) 5yr M&amp;S Ver Upgrade - EQ5EECU2-5PB</t>
  </si>
  <si>
    <t>Equitrac Express 5: Enhanced Enterprise License (25,000-49,999 users) 3yr M&amp;S Ver Upgrade - EQ5EECU3-3PB</t>
  </si>
  <si>
    <t>Equitrac Express 5: Enhanced Enterprise License (25,000-49,999 users) 4yr M&amp;S Ver Upgrade -EQ5EECU3-4PB</t>
  </si>
  <si>
    <t>Equitrac Express 5: Enhanced Enterprise License (25,000-49,999 users) 5yr M&amp;S Ver Upgrade - EQ5EECU3-5PB</t>
  </si>
  <si>
    <t>Equitrac Express 5: Enhanced Enterprise License (50,000-99,999 users) 3yr M&amp;S Ver Upgrade - EQ5EECU4-3PB</t>
  </si>
  <si>
    <t>Equitrac Express 5: Enhanced Enterprise License (50,000-99,999 users) 4yr M&amp;S Ver Upgrade - EQ5EECU4-4PB</t>
  </si>
  <si>
    <t>Equitrac Express 5: Enhanced Enterprise License (50,000-99,999 users) 5yr M&amp;S Ver Upgrade - EQ5EECU4-5PB</t>
  </si>
  <si>
    <t>Equitrac Express 5: Enhanced Enterprise License (100,000 and more users) 3yr M&amp;S Ver Upgrade - EQ5EECU5-3PB</t>
  </si>
  <si>
    <t>Equitrac Express 5: Enhanced Enterprise License (100,000 and more users) 4yr M&amp;S Ver Upgrade - EQ5EECU5-4PB</t>
  </si>
  <si>
    <t>Equitrac Express 5: Enhanced Enterprise License (100,000 and more users) 5yr M&amp;S Ver Upgrade - EQ5EECU5-5PB</t>
  </si>
  <si>
    <t>Equitrac Express 5: Enhanced Enterprise License (1,000-4,999 users) 3yr M&amp;S Ver Upgrade - EQ5EECUK-3PB</t>
  </si>
  <si>
    <t>Equitrac Express 5: Enhanced Enterprise License (1,000-4,999 users) 4yr M&amp;S Ver Upgrade - EQ5EECUK-4PB</t>
  </si>
  <si>
    <t>Equitrac Express 5: Enhanced Enterprise License (1,000-4,999 users) 5yr M&amp;S Ver Upgrade -EQ5EECUK-5PB</t>
  </si>
  <si>
    <t>Equitrac Express 5: Core Enterprise License (5,000-9,999 users) 3yr M&amp;S - EQ5EENC1-3PB</t>
  </si>
  <si>
    <t>Equitrac Express 5: Core Enterprise License (5,000-9,999 users) 4yr M&amp;S - EQ5EENC1-4PB</t>
  </si>
  <si>
    <t>Equitrac Express 5: Core Enterprise License (5,000-9,999 users) 5yr M&amp;S - EQ5EENC1-5PB</t>
  </si>
  <si>
    <t>Equitrac Express 5: Core Enterprise License (10,000-24,999 users) 3yr M&amp;S - EQ5EENC2-3PB</t>
  </si>
  <si>
    <t>Equitrac Express 5: Core Enterprise License (10,000-24,999 users) 4yr M&amp;S - EQ5EENC2-4PB</t>
  </si>
  <si>
    <t>Equitrac Express 5: Core Enterprise License (10,000-24,999 users) 5yr M&amp;S - EQ5EENC2-5PB</t>
  </si>
  <si>
    <t>Equitrac Express 5: Core Enterprise License (25,000-49,999 users) 3yr M&amp;S - EQ5EENC3-3PB</t>
  </si>
  <si>
    <t>Equitrac Express 5: Core Enterprise License (25,000-49,999 users) 4yr M&amp;S - EQ5EENC3-4PB</t>
  </si>
  <si>
    <t>Equitrac Express 5: Core Enterprise License (25,000-49,999 users) 5yr M&amp;S - EQ5EENC3-5PB</t>
  </si>
  <si>
    <t>Equitrac Express 5: Core Enterprise License (50,000-99,999 users) 3yr M&amp;S - EQ5EENC4-3PB</t>
  </si>
  <si>
    <t>Equitrac Express 5: Core Enterprise License (50,000-99,999 users) 4yr M&amp;S - EQ5EENC4-4PB</t>
  </si>
  <si>
    <t>Equitrac Express 5: Core Enterprise License (50,000-99,999 users) 5yr M&amp;S - EQ5EENC4-5PB</t>
  </si>
  <si>
    <t>Equitrac Express 5: Core Enterprise License (100,000 and more users) 3yr M&amp;S - EQ5EENC5-3PB</t>
  </si>
  <si>
    <t>Equitrac Express 5: Core Enterprise License (100,000 and more users) 4yr M&amp;S - EQ5EENC5-4PB</t>
  </si>
  <si>
    <t>Equitrac Express 5: Core Enterprise License (100,000 and more users) 5yr M&amp;S - EQ5EENC5-5PB</t>
  </si>
  <si>
    <t>Equitrac Express 5: Core Enterprise License (1,000-4,999 users) 3yr M&amp;S - EQ5EENCK-3PB</t>
  </si>
  <si>
    <t>Equitrac Express 5: Core Enterprise License (1,000-4,999 users) 4yr M&amp;S - EQ5EENCK-4PB</t>
  </si>
  <si>
    <t>Equitrac Express 5: Core Enterprise License (1,000-4,999 users) 5yr M&amp;S - EQ5EENCK-5PB</t>
  </si>
  <si>
    <t>Equitrac Express 5: Core Enterprise License (5,000-9,999 users) 3yr M&amp;S Ver Upgrade - EQ5EENU1-3PB</t>
  </si>
  <si>
    <t>Equitrac Express 5: Core Enterprise License (5,000-9,999 users) 4yr M&amp;S Ver Upgrade - EQ5EENU1-4PB</t>
  </si>
  <si>
    <t>Equitrac Express 5: Core Enterprise License (5,000-9,999 users) 5yr M&amp;S Ver Upgrade - EQ5EENU1-5PB</t>
  </si>
  <si>
    <t>Equitrac Express 5: Core Enterprise License (10,000-24,999 users) 3yr M&amp;S Ver Upgrade - EQ5EENU2-3PB</t>
  </si>
  <si>
    <t>Equitrac Express 5: Core Enterprise License (10,000-24,999 users) 4yr M&amp;S Ver Upgrade - EQ5EENU2-4PB</t>
  </si>
  <si>
    <t>Equitrac Express 5: Core Enterprise License (10,000-24,999 users) 5yr M&amp;S Ver Upgrade - EQ5EENU2-5PB</t>
  </si>
  <si>
    <t>Equitrac Express 5: Core Enterprise License (25,000-49,999 users) 3yr M&amp;S Ver Upgrade - EQ5EENU3-3PB</t>
  </si>
  <si>
    <t>Equitrac Express 5: Core Enterprise License (25,000-49,999 users) 4yr M&amp;S Ver Upgrade - EQ5EENU3-4PB</t>
  </si>
  <si>
    <t>Equitrac Express 5: Core Enterprise License (25,000-49,999 users) 5yr M&amp;S Ver Upgrade - EQ5EENU3-5PB</t>
  </si>
  <si>
    <t>Equitrac Express 5: Core Enterprise License (50,000-99,999 users) 3yr M&amp;S Ver Upgrade- EQ5EENU4-3PB</t>
  </si>
  <si>
    <t>Equitrac Express 5: Core Enterprise License (50,000-99,999 users) 4yr M&amp;S Ver Upgrade -EQ5EENU4-4PB</t>
  </si>
  <si>
    <t>Equitrac Express 5: Core Enterprise License (50,000-99,999 users) 5yr M&amp;S Ver Upgrade - EQ5EENU4-5PB</t>
  </si>
  <si>
    <t>Equitrac Express 5: Core Enterprise License (100,000 and more users) 3yr M&amp;S Ver Upgrade - EQ5EENU5-3PB</t>
  </si>
  <si>
    <t>Equitrac Express 5: Core Enterprise License (100,000 and more users) 4yr M&amp;S Ver Upgrade - EQ5EENU5-4PB</t>
  </si>
  <si>
    <t>Equitrac Express 5: Core Enterprise License (100,000 and more users) 5yr M&amp;S Ver Upgrade - EQ5EENU5-5PB</t>
  </si>
  <si>
    <t>Equitrac Express 5: Core Enterprise License (1,000-4,999 users) 3yr M&amp;S Ver Upgrade -EQ5EENUK-3PB</t>
  </si>
  <si>
    <t>Equitrac Express 5: Core Enterprise License (1,000-4,999 users) 4yr M&amp;S Ver Upgrade - EQ5EENUK-4PB</t>
  </si>
  <si>
    <t>Equitrac Express 5: Core Enterprise License (1,000-4,999 users) 5yr M&amp;S Ver Upgrade - EQ5EENUK-5PB</t>
  </si>
  <si>
    <t>Equitrac Office/Express Release Station</t>
  </si>
  <si>
    <t>EO5/EE5: Release Station 3yr M&amp;S - EQ5RS001-3PB</t>
  </si>
  <si>
    <t>EO5/EE5: Release Station 4yr M&amp;S - EQ5RS001-4PB</t>
  </si>
  <si>
    <t>EO5/EE5: Release Station 5yr M&amp;S - EQ5RS001-5PB</t>
  </si>
  <si>
    <t>EO5/EE5: Release Station (10) 3yr M&amp;S - EQ5RS010-3PB</t>
  </si>
  <si>
    <t>EO5/EE5: Release Station (10) 4yr M&amp;S - EQ5RS010-4PB</t>
  </si>
  <si>
    <t>EO5/EE5: Release Station (10) 5yr M&amp;S - EQ5RS010-5PB</t>
  </si>
  <si>
    <t>EO5/EE5: Release Station upgrade 3yr M&amp;S - EQ5RS01U-3PB</t>
  </si>
  <si>
    <t>EO5/EE5: Release Station upgrade 4yr M&amp;S - EQ5RS01U-4PB</t>
  </si>
  <si>
    <t>EO5/EE5: Release Station upgrade 5yr M&amp;S - EQ5RS01U-5PB</t>
  </si>
  <si>
    <t>EO5/EE5: Release Station (10) upgrade 3yr M&amp;S - EQ5RSU10-3PB</t>
  </si>
  <si>
    <t>EO5/EE5: Release Station (10) upgrade 4yr M&amp;S - EQ5RSU10-4PB</t>
  </si>
  <si>
    <t>EO5/EE5: Release Station (10) upgrade 5yr M&amp;S - EQ5RSU10-5PB</t>
  </si>
  <si>
    <t>EO5/EE5: Web-based Release 3yr M&amp;S - EQ5WR001-3PB</t>
  </si>
  <si>
    <t>EO5/EE5: Web-based Release 4yr M&amp;S -EQ5WR001-4PB</t>
  </si>
  <si>
    <t>EO5/EE5: Web-based Release 5yr M&amp;S - EQ5WR001-5PB</t>
  </si>
  <si>
    <t>EO5/EE5: Web-based Release (10) 3yr M&amp;S - EQ5WR010-3PB</t>
  </si>
  <si>
    <t>EO5/EE5: Web-based Release (10) 4yr M&amp;S - EQ5WR010-4PB</t>
  </si>
  <si>
    <t>EO5/EE5: Web-based Release (10) 5yr M&amp;S - EQ5WR010-5PB</t>
  </si>
  <si>
    <t>EO5/EE5: Web-based Release Vers Upgrade 3yr M&amp;S - EQ5WR01U-3PB</t>
  </si>
  <si>
    <t>EO5/EE5: Web-based Release (100) Version Upgrade 3yr M&amp;S - EQ5WR0CU-3PB</t>
  </si>
  <si>
    <t>EO5/EE5: Web-based Release (100) Version Upgrade 4yr M&amp;S - EQ5WR0CU-4PB</t>
  </si>
  <si>
    <t>EO5/EE5: Web-based Release (500) Version Upgrade 3yr M&amp;S - EQ5WR0DU-3PB</t>
  </si>
  <si>
    <t>EO5/EE5: Web-based Release (500) Version Upgrade 4yr M&amp;S - EQ5WR0DU-4PB</t>
  </si>
  <si>
    <t>EO5/EE5: Web-based Release (500) Version Upgrade 5yr M&amp;S - EQ5WR0DU-5PB</t>
  </si>
  <si>
    <t>EO5/EE5: Web-based Release (10) Version Upgrade 3yr M&amp;S - EQ5WR0XU-3PB</t>
  </si>
  <si>
    <t>EO5/EE5: Web-based Release (10) Version Upgrade 4yr M&amp;S - EQ5WR0XU-4PB</t>
  </si>
  <si>
    <t>EO5/EE5: Web-based Release (10) Version Upgrade 5yr M&amp;S - EQ5WR0XU-5PB</t>
  </si>
  <si>
    <t>EO5/EE5: Web-based Release (100) 3yr M&amp;S - EQ5WR100-3PB</t>
  </si>
  <si>
    <t>EO5/EE5: Web-based Release (100) 4yr M&amp;S - EQ5WR100-4PB</t>
  </si>
  <si>
    <t>EO5/EE5: Web-based Release (100) 5yr M&amp;S - EQ5WR100-5PB</t>
  </si>
  <si>
    <t>EO5/EE5: Web-based Release (500) 3yr M&amp;S - EQ5WR500-3PB</t>
  </si>
  <si>
    <t>EO5/EE5: Web-based Release (500) 4yr M&amp;S - EQ5WR500-4PB</t>
  </si>
  <si>
    <t>EO5/EE5: Web-based Release (500) 5yr M&amp;S - EQ5WR500-5PB</t>
  </si>
  <si>
    <t>EO5/EE5: Web-based Release (100) Version Upgrade 5yr M&amp;S - EQ5WROCU-5PB</t>
  </si>
  <si>
    <t>Equitrac Office/Express Workstation Client</t>
  </si>
  <si>
    <t>EO5/EE5: Workstation Client (10) 3yr M&amp;S - EQ5WS010-3PB</t>
  </si>
  <si>
    <t>EO5/EE5: Workstation Client (10) 4yr M&amp;S - EQ5WS010-4PB</t>
  </si>
  <si>
    <t>EO5/EE5: Workstation Client (10) 5yr M&amp;S - EQ5WS010-5PB</t>
  </si>
  <si>
    <t>EO5/EE5: Workstation Client (1000) 3yr M&amp;S - EQ5WS01K-3PB</t>
  </si>
  <si>
    <t>EO5/EE5: Workstation Client (1000) 4yr M&amp;S - EQ5WS01K-4PB</t>
  </si>
  <si>
    <t>EO5/EE5: Workstation Client (1000) 5yr M&amp;S - EQ5WS01K-5PB</t>
  </si>
  <si>
    <t>EO5/EE5: Workstation Client (100) 3yr M&amp;S - EQ5WS100-3PB</t>
  </si>
  <si>
    <t>EO5/EE5: Workstation Client (100) 4yr M&amp;S - EQ5WS100-4PB</t>
  </si>
  <si>
    <t>EO5/EE5: Workstation Client (100) 5yr M&amp;S - EQ5WS100-5PB</t>
  </si>
  <si>
    <t>EO5/EE5: Workstation Client upgrade (10) 3yr M&amp;S - EQ5WU010-3PB</t>
  </si>
  <si>
    <t>EO5/EE5: Workstation Client upgrade (10) 4yr M&amp;S - EQ5WU010-4PB</t>
  </si>
  <si>
    <t>EO5/EE5: Workstation Client upgrade (10) 5yr M&amp;S - EQ5WU010-5PB</t>
  </si>
  <si>
    <t>EO5/EE5: Workstation Client upgrade (1000) 3yr M&amp;S - EQ5WU01K-3PB</t>
  </si>
  <si>
    <t>EO5/EE5: Workstation Client upgrade (1000) 4yr M&amp;S - EQ5WU01K-4PB</t>
  </si>
  <si>
    <t>EO5/EE5: Workstation Client upgrade (1000) 5yr M&amp;S - EQ5WU01K-5PB</t>
  </si>
  <si>
    <t>EO5/EE5: Workstation Client upgrade (100) 3yr M&amp;S - EQ5WU100-3PB</t>
  </si>
  <si>
    <t>EO5/EE5: Workstation Client upgrade (100) 4yr M&amp;S - EQ5WU100-4PB</t>
  </si>
  <si>
    <t>EO5/EE5: Workstation Client upgrade (100) 5yr M&amp;S - EQ5WU100-5PB</t>
  </si>
  <si>
    <t>Equitrac Pay Station</t>
  </si>
  <si>
    <t>Pay Station Card Manager (US$, bill only, track 5) 3yr M&amp;S - EPAY0502-3PB</t>
  </si>
  <si>
    <t>Pay Station Card Manager (US$, bill only, track 5) 4yr M&amp;S - EPAY0502-4PB</t>
  </si>
  <si>
    <t>Pay Station Card Manager (US$, bill only, track 5) 5yr M&amp;S - EPAY0502-5PB</t>
  </si>
  <si>
    <t>Pay Station Print/Copy Control Terminal (track 5) 3yr M&amp;S - EPAY0802-3PB</t>
  </si>
  <si>
    <t>Pay Station Print/Copy Control Terminal (track 5) 4yr M&amp;S - EPAY0802-4PB</t>
  </si>
  <si>
    <t>Pay Station Print/Copy Control Terminal (track 5) 5yr M&amp;S - EPAY0802-5PB</t>
  </si>
  <si>
    <t>Pay Station Encoding Station (track 5) 3yr M&amp;S - EPAY0804-3PB</t>
  </si>
  <si>
    <t>Pay Station Encoding Station (track 5) 4yr M&amp;S - EPAY0804-4PB</t>
  </si>
  <si>
    <t>Pay Station Encoding Station (track 5) 5yr M&amp;S - EPAY0804-5PB</t>
  </si>
  <si>
    <t>Pay Station VendTower Copy/Print (US$, coin/bill/track 5 card) - stand 3yr M&amp;S - EPAY0820-3PB</t>
  </si>
  <si>
    <t>Pay Station VendTower Copy/Print (US$, coin/bill/track 5 card) - stand 4yr M&amp;S - EPAY0820-4PB</t>
  </si>
  <si>
    <t>Pay Station VendTower Copy/Print (US$, coin/bill/track 5 card) - stand 5yr M&amp;S - EPAY0820-5PB</t>
  </si>
  <si>
    <t>Pay Station VendTower Copy/Print (US$, coin/bill/track 5 card) - roller 3yr M&amp;S - EPAY0821-3PB</t>
  </si>
  <si>
    <t>Pay Station VendTower Copy/Print (US$, coin/bill/track 5 card) - roller 4yr M&amp;S - EPAY0821-4PB</t>
  </si>
  <si>
    <t>Pay Station VendTower Copy/Print (US$, coin/bill/track 5 card) - roller 5yr M&amp;S - EPAY0821-5PB</t>
  </si>
  <si>
    <t>Pay Station Vend Tower Copy/Print (US$, coin/bill) - stand 3yr M&amp;S - EPAY0824-3PB</t>
  </si>
  <si>
    <t>Pay Station Vend Tower Copy/Print (US$, coin/bill) - stand 4yr M&amp;S - EPAY0824-4PB</t>
  </si>
  <si>
    <t>Pay Station Vend Tower Copy/Print (US$, coin/bill) - stand 5yr M&amp;S - EPAY0824-5PB</t>
  </si>
  <si>
    <t>Pay Station Vend Tower Copy/Print (US$, coin/bill) - roller 3yr M&amp;S - EPAY0825-3PB</t>
  </si>
  <si>
    <t>Pay Station Vend Tower Copy/Print (US$, coin/bill) - roller 4yr M&amp;S - EPAY0825-4PB</t>
  </si>
  <si>
    <t>Pay Station Vend Tower Copy/Print (US$, coin/bill) - roller 5yr M&amp;S - EPAY0825-5PB</t>
  </si>
  <si>
    <t>Pay Station VendTower Copy/Print (US$, coin only) - stand 3yr M&amp;S - EPAY0826-3PB</t>
  </si>
  <si>
    <t>Pay Station VendTower Copy/Print (US$, coin only) - stand 4yr M&amp;S - EPAY0826-4PB</t>
  </si>
  <si>
    <t>Pay Station VendTower Copy/Print (US$, coin only) - stand 5yr M&amp;S - EPAY0826-5PB</t>
  </si>
  <si>
    <t>Pay Station VendTower Copy/Print (US$, coin only) - roller 3yr M&amp;S - EPAY0827-3PB</t>
  </si>
  <si>
    <t>Pay Station VendTower Copy/Print (US$, coin only) - roller 4yr M&amp;S - EPAY0827-4PB</t>
  </si>
  <si>
    <t>Pay Station VendTower Copy/Print (US$, coin only) - roller 5yr M&amp;S - EPAY0827-5PB</t>
  </si>
  <si>
    <t>Pay Station Card Manager (C$, bill only, track 5) 3yr M&amp;S - EPAYC502-3PB</t>
  </si>
  <si>
    <t>Pay Station Card Manager (C$, bill only, track 5) 4yr M&amp;S - EPAYC502-4PB</t>
  </si>
  <si>
    <t>Pay Station Card Manager (C$, bill only, track 5) 5yr M&amp;S - EPAYC502-5PB</t>
  </si>
  <si>
    <t>Pay Station Vend Tower Copy/Print (C$, coin only) - stand 3yr M&amp;S - EPAYC826-3PB</t>
  </si>
  <si>
    <t>Pay Station Vend Tower Copy/Print (C$, coin only) - stand 4yr M&amp;S - EPAYC826-4PB</t>
  </si>
  <si>
    <t>Pay Station Vend Tower Copy/Print (C$, coin only) - stand 5yr M&amp;S - EPAYC826-5PB</t>
  </si>
  <si>
    <t>Pay Station Vend Tower Copy/Print (C$, coin only) - roller 3yr M&amp;S - EPAYC827-3PB</t>
  </si>
  <si>
    <t>Pay Station Vend Tower Copy/Print (C$, coin only) - roller 4yr M&amp;S - EPAYC827-4PB</t>
  </si>
  <si>
    <t>Pay Station Vend Tower Copy/Print (C$, coin only) - roller 5yr M&amp;S - EPAYC827-5PB</t>
  </si>
  <si>
    <t>Pay Station Deposit Center (C$, bill only) 3yr M&amp;S - EPAYCB00-3PB</t>
  </si>
  <si>
    <t>Pay Station Deposit Center (C$, bill only) 4yr M&amp;S - EPAYCB00-4PB</t>
  </si>
  <si>
    <t>Pay Station Deposit Center (C$, bill only) 5yr M&amp;S - EPAYCB00-5PB</t>
  </si>
  <si>
    <t>Pay Station Deposit Center (C$, bill/magstripe) 3yr M&amp;S - EPAYCB0M-3PB</t>
  </si>
  <si>
    <t>Pay Station Deposit Center (C$, bill/magstripe) 4yr M&amp;S - EPAYCB0M-4PB</t>
  </si>
  <si>
    <t>Pay Station Deposit Center (C$, bill/magstripe) 5yr M&amp;S - EPAYCB0M-5PB</t>
  </si>
  <si>
    <t>Pay Station Deposit Center (C$, bill/coin/magstripe) 3yr M&amp;S - EPAYCBCM-3PB</t>
  </si>
  <si>
    <t>Pay Station Deposit Center (C$, bill/coin/magstripe) 4yr M&amp;S - EPAYCBCM-4PB</t>
  </si>
  <si>
    <t>Pay Station Deposit Center (C$, bill/coin/magstripe) 5yr M&amp;S - EPAYCBCM-5PB</t>
  </si>
  <si>
    <t>Pay Station Deposit Center (US$, bill only) 3yr M&amp;S - EPAYUB00-3PB</t>
  </si>
  <si>
    <t>Pay Station Deposit Center (US$, bill only) 4yr M&amp;S - EPAYUB00-4PB</t>
  </si>
  <si>
    <t>Pay Station Deposit Center (US$, bill only) 5yr M&amp;S - EPAYUB00-5PB</t>
  </si>
  <si>
    <t>Pay Station Deposit Center (US$, bill/magstripe) 3yr M&amp;S - EPAYUB0M-3PB</t>
  </si>
  <si>
    <t>Pay Station Deposit Center (US$, bill/magstripe) 4yr M&amp;S - EPAYUB0M-4PB</t>
  </si>
  <si>
    <t>Pay Station Deposit Center (US$, bill/magstripe) 5yr M&amp;S - EPAYUB0M-5PB</t>
  </si>
  <si>
    <t>Pay Station Deposit Center (US$, bill/coin/magstripe) 3yr M&amp;S - EPAYUBCM-3PB</t>
  </si>
  <si>
    <t>Pay Station Deposit Center (US$, bill/coin/magstripe) 4yr M&amp;S - EPAYUBCM-4PB</t>
  </si>
  <si>
    <t>Pay Station Deposit Center (US$, bill/coin/magstripe) 5yr M&amp;S - EPAYUBCM-5PB</t>
  </si>
  <si>
    <t>Pay Station Deposit Center (US$, bill/magstripe, card dispenser) 3yr M&amp;S - EPAYUBMD-3PB</t>
  </si>
  <si>
    <t>Pay Station Deposit Center (US$, bill/magstripe, card dispenser) 4yr M&amp;S - EPAYUBMD-4PB</t>
  </si>
  <si>
    <t>Pay Station Deposit Center (US$, bill/magstripe, card dispenser) 5yr M&amp;S - EPAYUBMD-5PB</t>
  </si>
  <si>
    <t>PageCounter and Pay Station Hardware and Accessories</t>
  </si>
  <si>
    <t>Keycounter 4 pin interface - CABX0094</t>
  </si>
  <si>
    <t>Vendor 8 pin interface - CABX0813</t>
  </si>
  <si>
    <t>Equitrac Copier Cable (12'/3.6m) - COPCABLE</t>
  </si>
  <si>
    <t>Pay Station Card Manager/Deposit Center base -EPAY0551</t>
  </si>
  <si>
    <t>Programming Keypad (4035) - Require 1 per site to program terminals - EPAY0801</t>
  </si>
  <si>
    <t>Pay Station magnetic stripe card (blank) - EPAY1002</t>
  </si>
  <si>
    <t>Pay Station magnetic stripe card (Equitrac) - EPAY1012</t>
  </si>
  <si>
    <t>Pay Station magnetic stripe card (custom) - EPAY1013</t>
  </si>
  <si>
    <t>Pay Station management card set -EPAY1020</t>
  </si>
  <si>
    <t>Pay Station 6' Serial DB9 Female to Male Cable (required for Release Station) - EPAYCB06</t>
  </si>
  <si>
    <t>Pay Station Security Housing - EPAYRBSH</t>
  </si>
  <si>
    <t>Pre-programmed magnetic stripe card - MSCCRDPR</t>
  </si>
  <si>
    <t>PageCounter Hardware</t>
  </si>
  <si>
    <t>EE5: Campus Card Connector 3yr M&amp;S - EQ5CC001-3PB</t>
  </si>
  <si>
    <t>EE5: Campus Card Connector 4yr M&amp;S - EQ5CC001-4PB</t>
  </si>
  <si>
    <t>EE5: Campus Card Connector 5yr M&amp;S - EQ5CC001-5PB</t>
  </si>
  <si>
    <t>EE5: Campus Card Connector upgrade 3yr M&amp;S - EQ5CC01U-3PB</t>
  </si>
  <si>
    <t>EE5: Campus Card Connector upgrade 4yr M&amp;S - EQ5CC01U-4PB</t>
  </si>
  <si>
    <t>EE5: Campus Card Connector upgrade 5yr M&amp;S - EQ5CC01U-5PB</t>
  </si>
  <si>
    <t>EO5/EE5: External Data Connector 3yr M&amp;S - EQ5DC001-3PB</t>
  </si>
  <si>
    <t>EO5/EE5: External Data Connector 4yr M&amp;S - EQ5DC001-4PB</t>
  </si>
  <si>
    <t>EO5/EE5: External Data Connector 5yr M&amp;S - EQ5DC001-5PB</t>
  </si>
  <si>
    <t>EO5/EE5: External Data Connector upgrade 3yr M&amp;S - EQ5DC01U-3PB</t>
  </si>
  <si>
    <t>EO5/EE5: External Data Connector upgrade 4yr M&amp;S - EQ5DC01U-4PB</t>
  </si>
  <si>
    <t>EO5/EE5: External Data Connector upgrade 5yr M&amp;S - EQ5DC01U-5PB</t>
  </si>
  <si>
    <t>PageCounter (base) 3yr M&amp;S - PC1CFE00-3PB</t>
  </si>
  <si>
    <t>PageCounter (base) 4yr M&amp;S - PC1CFE00-4PB</t>
  </si>
  <si>
    <t>PageCounter (base) 5yr M&amp;S - PC1CFE00-5PB</t>
  </si>
  <si>
    <t>PageCounter with Magstripe 3yr M&amp;S - PC1CFME0-3PB</t>
  </si>
  <si>
    <t>PageCounter with Magstripe 4yr M&amp;S - PC1CFME0-4PB</t>
  </si>
  <si>
    <t>PageCounter with Magstripe 5yr M&amp;S - PC1CFME0-5PB</t>
  </si>
  <si>
    <t>PageCounter with Mifare HID i-Class 3yr M&amp;S - PC1CFX00-3PB</t>
  </si>
  <si>
    <t>PageCounter with Mifare HID i-Class 4yr M&amp;S - PC1CFX00-4PB</t>
  </si>
  <si>
    <t>PageCounter with Mifare HID i-Class 5yr M&amp;S - PC1CFX00-5PB</t>
  </si>
  <si>
    <t>PageCounter with Legic 3yr M&amp;S - PC1CFY00-3PB</t>
  </si>
  <si>
    <t>PageCounter with Legic 4yr M&amp;S - PC1CFY00-4PB</t>
  </si>
  <si>
    <t>PageCounter with Legic 5yr M&amp;S - PC1CFY00-5PB</t>
  </si>
  <si>
    <t>PageCounter with HID 3yr M&amp;S - PC1CFZ00-3PB</t>
  </si>
  <si>
    <t>PageCounter with HID 4yr M&amp;S - PC1CFZ00-4PB</t>
  </si>
  <si>
    <t>PageCounter with HID 5yr M&amp;S - PC1CFZ00-5PB</t>
  </si>
  <si>
    <t>PageCounter with Keyboard 3yr M&amp;S - PC3CFE00-3PB</t>
  </si>
  <si>
    <t>PageCounter with Keyboard 4yr M&amp;S - PC3CFE00-4PB</t>
  </si>
  <si>
    <t>PageCounter with Keyboard 5yr M&amp;S - PC3CFE00-5PB</t>
  </si>
  <si>
    <t>PageCounter with Keyboard &amp; Magstripe 3yr M&amp;S - PC3CFME0-3PB</t>
  </si>
  <si>
    <t>PageCounter with Keyboard &amp; Magstripe 4yr M&amp;S - PC3CFME0-4PB</t>
  </si>
  <si>
    <t>PageCounter with Keyboard &amp; Magstripe 5yr M&amp;S - PC3CFME0-5PB</t>
  </si>
  <si>
    <t>PageCounter with Keyboard &amp; Mifare/HID i-Class 3yr M&amp;S - PC3CFX00-3PB</t>
  </si>
  <si>
    <t>PageCounter with Keyboard &amp; Mifare/HID i-Class 4yr M&amp;S - PC3CFX00-4PB</t>
  </si>
  <si>
    <t>PageCounter with Keyboard &amp; Mifare/HID i-Class 5yr M&amp;S - PC3CFX00-5PB</t>
  </si>
  <si>
    <t>PageCounter with Keyboard &amp; Legic 3yr M&amp;S - PC3CFY00-3PB</t>
  </si>
  <si>
    <t>PageCounter with Keyboard &amp; Legic 4yr M&amp;S - PC3CFY00-4PB</t>
  </si>
  <si>
    <t>PageCounter with Keyboard &amp; Legic 5yr M&amp;S - PC3CFY00-5PB</t>
  </si>
  <si>
    <t>PageCounter with Keyboard &amp; HID 3yr M&amp;S - PC3CFZ00-3PB</t>
  </si>
  <si>
    <t>PageCounter with Keyboard &amp; HID 4yr M&amp;S - PC3CFZ00-4PB</t>
  </si>
  <si>
    <t>PageCounter with Keyboard &amp; HID 5yr M&amp;S - PC3CFZ00-5PB</t>
  </si>
  <si>
    <t>Professional Services Installation - One Day - EQIN1DAY</t>
  </si>
  <si>
    <t>Professional Services Installation - Four Hours - EQINS4HR</t>
  </si>
  <si>
    <t>PS Per Diem Fee with Travel by Plane - Per Day - EQPD1AIR</t>
  </si>
  <si>
    <t>PS Per Diem Local - Per Day - EQPD1DAY</t>
  </si>
  <si>
    <t>PS Per Diem Fee with Overnight - Per Day - EQPD1NGT</t>
  </si>
  <si>
    <t>Professional Service Large Unit- Description determined by Statement of Work - EQPSLARG</t>
  </si>
  <si>
    <t>Professional Service Small Unit - Description determined by Statement of Work - EQPSSMAL</t>
  </si>
  <si>
    <t>Professional Services Training - One Day - EQTR1DAY</t>
  </si>
  <si>
    <t>Training Materials - 1 User - EQTRAIN1</t>
  </si>
  <si>
    <t>Training Materials - 5 Users - EQTRAIN5</t>
  </si>
  <si>
    <t>Training Materials - 10 Users - EQTRN010</t>
  </si>
  <si>
    <t>Professional Services Webinar - One Hour - EQWBN1HR</t>
  </si>
  <si>
    <t>z. Optional Software Maintenance Annual Renewal</t>
  </si>
  <si>
    <t>EE5: Campus Card Connector 1yr M&amp;S Renew - EQ5CC001-1PB</t>
  </si>
  <si>
    <t>EE5: Campus Card Connector upgrade 1yr M&amp;S Renew- EQ5CC01U-1PB</t>
  </si>
  <si>
    <t>EO5/EE5: Cluster Enabler 1yr M&amp;S Renewal - EQ5CLS01-1PB</t>
  </si>
  <si>
    <t>EO5/EE5: Cluster Enabler upgrade 3yr M&amp;S - EQ5CLS0U-1PB</t>
  </si>
  <si>
    <t>EO5/EE5: External Data Connector 1yr M&amp;S Renew - EQ5DC001-1PB</t>
  </si>
  <si>
    <t>EO5/EE5: External Data Connector Upgrade 1yr M&amp;S Renew - EQ5DC01U-1PB</t>
  </si>
  <si>
    <t>EO5/EE5: Embedded Device 1yr M&amp;S Renewal - EQ5ED001-1PB</t>
  </si>
  <si>
    <t>EO5/EE5: Embedded Device (10) 1yr M&amp;S Renewal - EQ5ED010-1PB</t>
  </si>
  <si>
    <t>EO5/EE5: Embedded Device Upgrade 1yr M&amp;S Renewal - EQ5ED01U-1PB</t>
  </si>
  <si>
    <t>EO5/EE5: Embedded Device (100) Version Upgrade - 1yr M&amp;S Renewal - EQ5EDOXU-1PB</t>
  </si>
  <si>
    <t>EO5/EE5: Embedded Device (500) Version Upgrade - 1yr M&amp;S Renewal - EQ5ED0DU-1PB</t>
  </si>
  <si>
    <t>EO5/EE5: Embedded Device (100) 1yr M&amp;S Renewal - EQ5ED100-1PB</t>
  </si>
  <si>
    <t>EO5/EE5: Embedded Device (500) 1yr M&amp;S Renewal - EQ5ED500-1PB</t>
  </si>
  <si>
    <t>EO5/EE5: Embedded Device (10) Version Upgrade- 1yr M&amp;S Renewal - EQ5EDOXU-1PB</t>
  </si>
  <si>
    <t>Equitrac Express 5: Enhanced Enterprise License (5,000-9,999 users) 1yr M&amp;S Renewal - EQ5EECE1-1PB</t>
  </si>
  <si>
    <t>Equitrac Express 5: Enhanced Enterprise License (10,000-24,999 users) 1yr M&amp;S Renewal - EQ5EECE2-1PB</t>
  </si>
  <si>
    <t>Equitrac Express 5: Enhanced Enterprise License (25,000-49,999 users) 1yr M&amp;S Renewal - EQ5EECE3-1PB</t>
  </si>
  <si>
    <t>Equitrac Express 5: Enhanced Enterprise License (50,000-99,999 users) 1yr M&amp;S Renewal - EQ5EECE4-1PB</t>
  </si>
  <si>
    <t>Equitrac Express 5: Enhanced Enterprise License (100,000 and more users) 1yr M&amp;S Renewal - EQ5EECE5-1PB</t>
  </si>
  <si>
    <t>Equitrac Express 5: Enhanced Enterprise License (1,000-4,999 users) 1yr M&amp;S Renewal - EQ5EECEK-1PB</t>
  </si>
  <si>
    <t>Equitrac Express 5: Enhanced Enterp License (5,000-9,999 users)Ver Upgrade 1yrM&amp;S - EQ5EECU1-1PB</t>
  </si>
  <si>
    <t>Equitrac Express 5: Enhanced Enterp License (10,000-24,999 users)Ver Upgrade 1yrM&amp;S - EQ5EECU2-1PB</t>
  </si>
  <si>
    <t>Equitrac Express 5: Enhanced Enterp License (25,000-49,999 users)Ver Upgrade 1yr M&amp;S - EQ5EECU3-1PB</t>
  </si>
  <si>
    <t>Equitrac Express 5: Enhanced Enterp License (50,000-99,999 users)Ver Upgrade 1yrM&amp;S - EQ5EECU4-1PB</t>
  </si>
  <si>
    <t>Equitrac Express 5: Enhanced Enterprise License (100,000+ users)Ver Upgrade 1yrM&amp;S - EQ5EECU5-1PB</t>
  </si>
  <si>
    <t>Equitrac Express 5: Enhanced Enterp License (1,000-4,999 users)Ver Upgrade 1yrM&amp;S Renewal - EQ5EECUK-1PB</t>
  </si>
  <si>
    <t>Equitrac Express 5: Core Enterp License (5,000-9,999 users) 1yr M&amp;S Renewal - EQ5EENC1-1PB</t>
  </si>
  <si>
    <t>Equitrac Express 5: Core Enterprise License (10,000-24,999 users) 1yr M&amp;S Renewal - EQ5EENC2-1PB</t>
  </si>
  <si>
    <t>Equitrac Express 5: Core Enterprise License (25,000-49,999 users) 1yr M&amp;S Renewal - EQ5EENC3-1PB</t>
  </si>
  <si>
    <t>Equitrac Express 5: Core Enterprise License (50,000-99,999 users) 1yrM&amp;S Renewal - EQ5EENC4-1PB</t>
  </si>
  <si>
    <t>Equitrac Express 5: Core Enterprise License (100,000 and more users) 1yr M&amp;S Renewal - EQ5EENC5-1PB</t>
  </si>
  <si>
    <t>Equitrac Express 5: Core Enterprise License (1,000-4,999 users) 1yr M&amp;S Renewal - EQ5EENCK-1PB</t>
  </si>
  <si>
    <t>Equitrac Express 5: Core Enterprise License(5,000-9,999 users)Ver Upgrade 1yr M&amp;S Renewal - EQ5EENU1-1PB</t>
  </si>
  <si>
    <t>Equitrac Express 5: Core Enterprise License (10,000-24,999 users)Ver Upgrade 3yr M&amp;S - EQ5EENU2-1PB</t>
  </si>
  <si>
    <t>Equitrac Express 5: Core Enterp License(25,000-49,999 users) Ver Upgrade 1yrM&amp;S Renewal - EQ5EENU3-3PB</t>
  </si>
  <si>
    <t>Equitrac Express 5: Core Enterp License(50,000-99,999 users)Ver Upgrade 1yr M&amp;S Renewal- EQ5EENU4-1PB</t>
  </si>
  <si>
    <t>Equitrac Express 5: Core Enterprise License (100,000+ users) Ver Upgrade 1yr M&amp;S Renewal - EQ5EENU5-1PB</t>
  </si>
  <si>
    <t>Equitrac Express 5: Core Enterprise License (1,000-4,999 users)Ver Upgrade 1yr M&amp;S Renewal -EQ5EENUK-1PB</t>
  </si>
  <si>
    <t>Equitrac Express 5: SCE upgrade (FROM EE4) 1YR M&amp;S Renewal - EQ5EESCU-1PB</t>
  </si>
  <si>
    <t>Equitrac Express 5: Suite 1YR M&amp;S Renewal - EQ5EESU1-1PB</t>
  </si>
  <si>
    <t>Equitrac Express 5: Suite upgrade (FROM EE4) 1YR M&amp;S Renewal - EQ5EESUU-1PB</t>
  </si>
  <si>
    <t>Equitrac Office 5: Enhanced Enterprise License (5,000-9,999 users)Ver Upgrade 1yr M&amp;S Renewal - EQ5EFEU1-1PB</t>
  </si>
  <si>
    <t>Equitrac Office 5: Enhanced Enterprise License 10,000-24,999 usersVer Upgrade 1yrM&amp;S Renewal - EQ5EFEU2-1PB</t>
  </si>
  <si>
    <t>Equitrac Office 5: Enhanced Enterp License 25,000-49,999 users Ver Upgrade 1yrM&amp;S Renewal - EQ5EFEU3-1PB</t>
  </si>
  <si>
    <t>Equitrac Office 5: Enhanced Enterp License 50,000-99,999 users VerUpgrade 1yrM&amp;S Renewal - EQ5EFEU4-1PB</t>
  </si>
  <si>
    <t>Equitrac Office 5: Enhanced Enterprise License (100,000+ users) Vers Upgrade 1yr M&amp;S Renewal -EQ5EFEU5-1PB</t>
  </si>
  <si>
    <t>Equitrac Office 5: Enhanced Enterprise License 1,000-4,999 users Ver Upgrade 1yr M&amp;S Renewal - EQ5EFEUK-1PB</t>
  </si>
  <si>
    <t>Equitrac Office 5: Core Enterprise License (5,000-9,999 users) 1yr M&amp;Srenewal - EQ5EFNC1-1PB</t>
  </si>
  <si>
    <t>Equitrac Office 5: Core Enterprise License (10,000-24,999 users) 1yr M&amp;S Renewal - EQ5EFNC213PB</t>
  </si>
  <si>
    <t>Equitrac Office 5: Core Enterprise License (25,000-49,999 users) 1yr M&amp;S Renewal - EQ5EFNC3-1PB</t>
  </si>
  <si>
    <t>Equitrac Office 5: Core Enterprise License (100,000 and more users) 1yr M&amp;S Renewal - EQ5EFNC5-1PB</t>
  </si>
  <si>
    <t>Equitrac Office 5: Core Enterprise License (1,000-4,999 users) 1yr M&amp;S Renewal- EQ5EFNCK-1PB</t>
  </si>
  <si>
    <t>Equitrac Office 5: Enhanced Enterprise License (5,000-9,999 users) 1yr M&amp;S Renewal- EQ5EFNE1-1PB</t>
  </si>
  <si>
    <t>Equitrac Office 5: Enhanced Enterprise License (10,000-24,999 users) 1yr M&amp;S Renewal- EQ5EFNE2-1PB</t>
  </si>
  <si>
    <t>Equitrac Office 5: Enhanced Enterprise License (25,000-49,999 users) 1yr M&amp;S Renewal - EQ5EFNE3-1PB</t>
  </si>
  <si>
    <t>Equitrac Office 5: Enhanced Enterprise License (50,000-99,999 users) 1yr M&amp;S Renewal - EQ5EFNE4-1PB</t>
  </si>
  <si>
    <t>Equitrac Office 5: Enhanced Enterprise License (100,000 and more users) 1yr M&amp;S Renewal -EQ5EFNE5-1PB</t>
  </si>
  <si>
    <t>Equitrac Office 5: Enhanced Enterprise License (1,000-4,999 users) 1yr M&amp;S Renewal - EQ5EFNEK-1PB</t>
  </si>
  <si>
    <t>Equitrac Office 5: Core Enterprise License (5,000-9,999 users) Version Upgrade 3yr M&amp;S Renewal - EQ5EFNU1-1PB</t>
  </si>
  <si>
    <t>Equitrac Office 5: Core Enterprise License (10,000-24,999 users) Ver Upgrade 1yr M&amp;S Renewal - EQ5EFNU2-1PB</t>
  </si>
  <si>
    <t>Equitrac Office 5: Core Enterprise License (25,000-49,999 users) Ver Upgrade 1yr M&amp;S Renewal - EQ5EFNU3-1PB</t>
  </si>
  <si>
    <t>Equitrac Office 5: Core Enterprise License 50,000-99,999 users) Ver Upgrade 1yr M&amp;S Renewal - EQ5EFNU4-1PB</t>
  </si>
  <si>
    <t>Equitrac Office 5: Core Enterprise License (100,000+ users) Version Upgrade 1yr M&amp;S Renewal -EQ5EFNU5-1PB</t>
  </si>
  <si>
    <t>Equitrac Office 5: Core Enterprise License (1,000-4,999 users) Version Upgrade 1yr M&amp;S Renewal - EQ5EFNUK-1PB</t>
  </si>
  <si>
    <t>EO5/EE5: Embedded Device Loyalty 1yr M&amp;S Renewal - EQ5EL001-1PB</t>
  </si>
  <si>
    <t>EO5/EE5: Embedded Device (10) Loyalty 1yr M&amp;S Renewal - EQ5EL010-1PB</t>
  </si>
  <si>
    <t>EO5/EE5: Embedded Device Loyalty Version Upgrade -1yr M&amp;S Renewal- EQ5EL01U-1PB</t>
  </si>
  <si>
    <t>EO5/EE5: Embedded Device (100) Loyalty Version Upgrade - 1yr M&amp;S Renewal - EQ5EL0CU-1PB</t>
  </si>
  <si>
    <t>EO5/EE5: Embedded Device (10) Loyalty Version Upgrade- 1yr M&amp;S Renewal - EQ5EL0XU-1PB</t>
  </si>
  <si>
    <t>EO5/EE5: Embedded Device (100) Loyalty 1yr M&amp;S Renewal - EQ5EL100-1PB</t>
  </si>
  <si>
    <t>PrinterOn Enterprise Solution (10 devices) 1yrs M&amp;S Renewal - EQ5PO010-1PB</t>
  </si>
  <si>
    <t>PrinterOn Enterprise Solution (1000 devices) 1yrs M&amp;S Renewal -EQ5PO01K-1PB</t>
  </si>
  <si>
    <t>PrinterOn Enterprise Solution (25 devices) 1yrs M&amp;S Renewal - EQ5PO025-1PB</t>
  </si>
  <si>
    <t>PrinterOn Enterprise Solution (100 devices) 1yrs M&amp;S Renewal - EQ5PO100-1PB</t>
  </si>
  <si>
    <t>PrinterOn Enterprise Solution (500 devices) 1yrs M&amp;S Renewal - EQ5PO500-1PB</t>
  </si>
  <si>
    <t>EO5/EE5: Print Server 1yr M&amp;S Renewal - EQ5PS001-1PB</t>
  </si>
  <si>
    <t>EO5/EE5: Print Server (10) 1yr M&amp;S Renewal - EQ5PS010-1PB</t>
  </si>
  <si>
    <t>EO5/EE5: Print Server upgrade 1yr M&amp;S Renewal - EQ5PS01U-1PB</t>
  </si>
  <si>
    <t>EO5/EE5: Print Server (10) Upgrade 1yr M&amp;S Renewal - EQ5PSU10-1PB</t>
  </si>
  <si>
    <t>EO5/EE5: Release Station 1yr M&amp;S Renewal- EQ5RS001-1PB</t>
  </si>
  <si>
    <t>EO5/EE5: Release Station (10) 1yr M&amp;SRenewal - EQ5RS010-1PB</t>
  </si>
  <si>
    <t>EO5/EE5: Release Station upgrade 1yr M&amp;S Renewal- EQ5RS01U-1PB</t>
  </si>
  <si>
    <t>EO5/EE5: Release Station (10) upgrade 1yr M&amp;S Renual - EQ5RSU10-1PB</t>
  </si>
  <si>
    <t>EO5/EE5: Web-based Release 1yr M&amp;S Renewal - EQ5WR001-1PB</t>
  </si>
  <si>
    <t>EO5/EE5: Web-based Release (10) 3yr M&amp;S Renewal - EQ5WR010-1PB</t>
  </si>
  <si>
    <t>EO5/EE5: Web-based Release Vers Upgrade 1yr M&amp;S Renewal - EQ5WR01U-1PB</t>
  </si>
  <si>
    <t>EO5/EE5: Web-based Release (100) Version Upgrade 1yr M&amp;S Renewal - EQ5WR0CU-1PB</t>
  </si>
  <si>
    <t>EO5/EE5: Web-based Release (500) Version Upgrade 1yr M&amp;S Renewal - EQ5WR0DU-1PB</t>
  </si>
  <si>
    <t>EO5/EE5: Web-based Release (10) Version Upgrade 1yr M&amp;S Renewal - EQ5WR0XU-1PB</t>
  </si>
  <si>
    <t>EO5/EE5: Web-based Release (100) 1yr M&amp;S Renewal - EQ5WR100-1PB</t>
  </si>
  <si>
    <t>EO5/EE5: Web-based Release (500) 1yr M&amp;S Renewal - EQ5WR500-1PB</t>
  </si>
  <si>
    <t>EO5/EE5: Workstation Client (10) 1yr M&amp;S Renewal - EQ5WS010-1PB</t>
  </si>
  <si>
    <t>EO5/EE5: Workstation Client (1000) 1yr M&amp;S Renewal - EQ5WS01K-1PB</t>
  </si>
  <si>
    <t>EO5/EE5: Workstation Client (100) 1yr M&amp;S Renewal - EQ5WS100-1PB</t>
  </si>
  <si>
    <t>EO5/EE5: Workstation Client upgrade (10) 1yr M&amp;S Renewal - EQ5WU010-1PB</t>
  </si>
  <si>
    <t>EO5/EE5: Workstation Client upgrade (1000) 1yr M&amp;S Renewal - EQ5WU01K-1PB</t>
  </si>
  <si>
    <t>EO5/EE5: Workstation Client upgrade (100) 1yr M&amp;S Renewal- EQ5WU100-1PB</t>
  </si>
  <si>
    <t>PageCounter (base) 1yr M&amp;S Renewal- PC1CFE00-1PB</t>
  </si>
  <si>
    <t>PageCounter with Magstripe 1yr M&amp;S Renewal - PC1CFME0-1PB</t>
  </si>
  <si>
    <t>PageCounter with Mifare HID i-Class 1yr M&amp;S Renewal - PC1CFX00-1PB</t>
  </si>
  <si>
    <t>PageCounter with Legic 1yr M&amp;S Renewal - PC1CFY00-1PB</t>
  </si>
  <si>
    <t>PageCounter with HID 1yr M&amp;S Renewal - PC1CFZ00-1B</t>
  </si>
  <si>
    <t>PageCounter with Keyboard 1yr M&amp;S Renewal - PC3CFE00-1PB</t>
  </si>
  <si>
    <t>PageCounter with Keyboard &amp; Magstripe 1yr M&amp;S Renewal - PC3CFME0-1PB</t>
  </si>
  <si>
    <t>PageCounter with Keyboard &amp; Mifare/HID i-Class 1yr M&amp;S Renewal - PC3CFX00-1PB</t>
  </si>
  <si>
    <t>PageCounter with Keyboard &amp; Legic 1yr M&amp;S Renewal - PC3CFY00-1PB</t>
  </si>
  <si>
    <t>PageCounter with Keyboard &amp; HID 1yr M&amp;S Renewal - PC3CFZ00-1PB</t>
  </si>
  <si>
    <t>Equitrac Office 5   Equitrac Office 5</t>
  </si>
  <si>
    <t>Equitrac Office 5</t>
  </si>
  <si>
    <t>(a) Equitrac Office Software Suite</t>
  </si>
  <si>
    <t>Equitrac Office 5: SBE upgrade (FROM EQ4) 3yr M&amp;S - EQ5EFSBU-3PB</t>
  </si>
  <si>
    <t>Equitrac Office 5: SBE upgrade (FROM EQ4) 4yr M&amp;S - EQ5EFSBU-4PB</t>
  </si>
  <si>
    <t>Equitrac Office 5: SBE upgrade (FROM EQ4) 5yr M&amp;S - EQ5EFSBU-5PB</t>
  </si>
  <si>
    <t>EO SMB base license (incl. 25 users, 1 embedded) 3YR M&amp;S - EQ5EFSMB-3PB</t>
  </si>
  <si>
    <t>EO SMB base license (incl. 25 users, 1 embedded) 4YR M&amp;S - EQ5EFSMB-4PB</t>
  </si>
  <si>
    <t>EO SMB base license (incl. 25 users, 1 embedded) 5YR M&amp;S -EQ5EFSMB-5PB</t>
  </si>
  <si>
    <t>Equitrac Office 5: Suite 3yr M&amp;S - EQ5EFSU1-3PB</t>
  </si>
  <si>
    <t>Equitrac Office 5: Suite 4yr M&amp;S - EQ5EFSU1-4PB</t>
  </si>
  <si>
    <t>Equitrac Office 5: Suite 5yr M&amp;S - EQ5EFSU1-5PB</t>
  </si>
  <si>
    <t>EO SMB base license (incl. 25 users, 1 embedded) 3YR M&amp;S - EQ5EFSUB-3PB Version Upgrade</t>
  </si>
  <si>
    <t>EO SMB base license (incl. 25 users, 1 embedded) 4YR M&amp;S - EQ5EFSUB-4PB Version Upgrade</t>
  </si>
  <si>
    <t>EO SMB base license (incl. 25 users, 1 embedded) 5YR M&amp;S - EQ5EFSUB-5PB Version Upgrade</t>
  </si>
  <si>
    <t>Equitrac Office 5: Suite upgrade (FROM EQ4) 4yr M&amp;S - EQ5EFSUU-4PB</t>
  </si>
  <si>
    <t>Equitrac Office 5: Suite upgrade (FROM EQ4) 5yr M&amp;S - EQ5EFSUU-5PB</t>
  </si>
  <si>
    <t>Equitrac Office SMB user license (25) 3YR M&amp;S - EQ5SG025-3PB Version Upgrade</t>
  </si>
  <si>
    <t>Equitrac Office SMB user license (25) 4YR M&amp;S - EQ5SG025-4PB Version Upgrade</t>
  </si>
  <si>
    <t>Equitrac Office SMB user license (25) 5YR M&amp;S - EQ5SG025-5PB Version Upgrade</t>
  </si>
  <si>
    <t>Equitrac Office SMB user license (100) 3YR M&amp;S -EQ5SG100-3PB Version Upgrade</t>
  </si>
  <si>
    <t>Equitrac Office SMB user license (100) 4YR M&amp;S - EQ5SG100-4PB Version Upgrade</t>
  </si>
  <si>
    <t>Equitrac Office SMB user license (100) 5YR M&amp;S - EQ5SG100-4PB Version Upgrade</t>
  </si>
  <si>
    <t>Equitrac Office SMB user license (250) 3YR M&amp;S - EQ5SG250-3PB Version Upgrade</t>
  </si>
  <si>
    <t>Equitrac Office SMB user license (250) 4YR M&amp;S - EQ5SG250-4PB Version Upgrade</t>
  </si>
  <si>
    <t>Equitrac Office SMB user license (250) 5YR M&amp;S - EQ5SG250-5PB Version Upgrade</t>
  </si>
  <si>
    <t>Equitrac Office SMB user license (25) 3YR M&amp;S - EQ5SU025-3PB</t>
  </si>
  <si>
    <t>Equitrac Office SMB user license (25) 4YR M&amp;S - EQ5SU025-4PB</t>
  </si>
  <si>
    <t>Equitrac Office SMB user license (25) 5YR M&amp;S - EQ5SU025-5PB</t>
  </si>
  <si>
    <t>Equitrac Office SMB user license (100) 3YR M&amp;S - EQ5SU100-3PB</t>
  </si>
  <si>
    <t>Equitrac Office SMB user license (100) 4YR M&amp;S - EQ5SU100-4PB</t>
  </si>
  <si>
    <t>Equitrac Office SMB user license (100) 5YR M&amp;S - EQ5SU100-5PB</t>
  </si>
  <si>
    <t>Equitrac Office SMB user license (250) 3YR M&amp;S - EQ5SU250-3PB</t>
  </si>
  <si>
    <t>Equitrac Office SMB user license (250) 4YR M&amp;S - EQ5SU250-4PB</t>
  </si>
  <si>
    <t>Equitrac Office SMB user license (250) 5YR M&amp;S - EQ5SU250-5PB</t>
  </si>
  <si>
    <t>Equitrac Office 5: Enhanced Enterprise License (5,000-9,999 users) 3yr M&amp;S Ver Upgrade- EQ5EFEU1-3PB</t>
  </si>
  <si>
    <t>Equitrac Office 5: Enhanced Enterprise License (5,000-9,999 users) 4yr M&amp;S Ver Upgrade- EQ5EFEU1-4PB</t>
  </si>
  <si>
    <t>Equitrac Office 5: Enhanced Enterprise License (5,000-9,999 users) 5yr M&amp;Sver Upgrade - EQ5EFEU1-5PB</t>
  </si>
  <si>
    <t>Equitrac Office 5: Enhanced Enterprise License (10,000-24,999 users) 3yr M&amp;S Ver Upgrade - EQ5EFEU2-3PB</t>
  </si>
  <si>
    <t>Equitrac Office 5: Enhanced Enterprise License (10,000-24,999 users) 4yr M&amp;Sver Upgrade - EQ5EFEU2-4PB</t>
  </si>
  <si>
    <t>Equitrac Office 5: Enhanced Enterprise License (10,000-24,999 users) 5yr M&amp;S Ver Upgrade - EQ5EFEU2-5PB</t>
  </si>
  <si>
    <t>Equitrac Office 5: Enhanced Enterprise License (25,000-49,999 users) 3yr M&amp;S Ver Upgrade - EQ5EFEU3-3PB</t>
  </si>
  <si>
    <t>Equitrac Office 5: Enhanced Enterprise License (25,000-49,999 users) 4yr M&amp;S Ver Upgrade - EQ5EFEU3-4PB</t>
  </si>
  <si>
    <t>Equitrac Office 5: Enhanced Enterprise License (25,000-49,999 users) 5yr M&amp;S Ver Upgrade -EQ5EFEU3-5PB</t>
  </si>
  <si>
    <t>Equitrac Office 5: Enhanced Enterprise License (50,000-99,999 users) 3yr M&amp;S Ver Upgrade - EQ5EFEU4-3PB</t>
  </si>
  <si>
    <t>Equitrac Office 5: Enhanced Enterprise License (50,000-99,999 users) 4yr M&amp;S Ver Upgrade - EQ5EFEU4-4PB</t>
  </si>
  <si>
    <t>Equitrac Office 5: Enhanced Enterprise License (50,000-99,999 users) 5yr M&amp;S Ver Upgrade - EQ5EFEU4-5PB</t>
  </si>
  <si>
    <t>Equitrac Office 5: Enhanced Enterprise License (100,000 and more users) 3yr M&amp;S Vers Upgrade -EQ5EFEU5-3PB</t>
  </si>
  <si>
    <t>Equitrac Office 5: Enhanced Enterprise License (100,000 and more users) 4yr M&amp;S Vers Upgrade -EQ5EFEU5-4PB</t>
  </si>
  <si>
    <t>Equitrac Office 5: Enhanced Enterprise License (100,000 and more users) 5yr M&amp;S Vers Upgrade - EQ5EFEU5-5PB</t>
  </si>
  <si>
    <t>Equitrac Office 5: Enhanced Enterprise License (1,000-4,999 users) 3yr M&amp;S Ver Upgrade - EQ5EFEUK-3PB</t>
  </si>
  <si>
    <t>Equitrac Office 5: Enhanced Enterprise License (1,000-4,999 users) 4yr M&amp;S Ver Upgrade -EQ5EFEUK-4PB</t>
  </si>
  <si>
    <t>Equitrac Office 5: Enhanced Enterprise License (1,000-4,999 users) 5yr M&amp;S Ver Upgrade - EQ5EFEUK-5PB</t>
  </si>
  <si>
    <t>Equitrac Office 5: Core Enterprise License (5,000-9,999 users) 3yr M&amp;S - EQ5EFNC1-3PB</t>
  </si>
  <si>
    <t>Equitrac Office 5: Core Enterprise License (5,000-9,999 users) 4yr M&amp;S - EQ5EFNC1-4PB</t>
  </si>
  <si>
    <t>Equitrac Office 5: Core Enterprise License (5,000-9,999 users) 5yr M&amp;S - EQ5EFNC1-5PB</t>
  </si>
  <si>
    <t>Equitrac Office 5: Core Enterprise License (10,000-24,999 users) 3yr M&amp;S - EQ5EFNC2-3PB</t>
  </si>
  <si>
    <t>Equitrac Office 5: Core Enterprise License (10,000-24,999 users) 4yr M&amp;S - EQ5EFNC2-4PB</t>
  </si>
  <si>
    <t>Equitrac Office 5: Core Enterprise License (10,000-24,999 users) 5yr M&amp;S - EQ5EFNC2-5PB</t>
  </si>
  <si>
    <t>Equitrac Office 5: Core Enterprise License (25,000-49,999 users) 3yr M&amp;S - EQ5EFNC3-3PB</t>
  </si>
  <si>
    <t>Equitrac Office 5: Core Enterprise License (25,000-49,999 users) 4yr M&amp;S - EQ5EFNC3-4PB</t>
  </si>
  <si>
    <t>Equitrac Office 5: Core Enterprise License (25,000-49,999 users) 5yr M&amp;S - EQ5EFNC3-5PB</t>
  </si>
  <si>
    <t>Equitrac Office 5: Core Enterprise License (50,000-99,999 users) 3yr M&amp;S - EQ5EFNC4-3PB</t>
  </si>
  <si>
    <t>Equitrac Office 5: Core Enterprise License (50,000-99,999 users) 4yr M&amp;S - EQ5EFNC4-4PB</t>
  </si>
  <si>
    <t>Equitrac Office 5: Core Enterprise License (50,000-99,999 users) 5yr M&amp;S - EQ5EFNC4-5PB</t>
  </si>
  <si>
    <t>Equitrac Office 5: Core Enterprise License (100,000 and more users) 3yr M&amp;S - EQ5EFNC5-3PB</t>
  </si>
  <si>
    <t>Equitrac Office 5: Core Enterprise License (100,000 and more users) 4yr M&amp;S - EQ5EFNC5-4PB</t>
  </si>
  <si>
    <t>Equitrac Office 5: Core Enterprise License (100,000 and more users) 5yr M&amp;S - EQ5EFNC5-5PB</t>
  </si>
  <si>
    <t>Equitrac Office 5: Core Enterprise License (1,000-4,999 users) 3yr M&amp;S - EQ5EFNCK-3PB</t>
  </si>
  <si>
    <t>Equitrac Office 5: Core Enterprise License (1,000-4,999 users) 4yr M&amp;S - EQ5EFNCK-4PB</t>
  </si>
  <si>
    <t>Equitrac Office 5: Core Enterprise License (1,000-4,999 users) 5yr M&amp;S - EQ5EFNCK-5PB</t>
  </si>
  <si>
    <t>Equitrac Office 5: Enhanced Enterprise License (5,000-9,999 users) 3yr M&amp;S - EQ5EFNE1-3PB</t>
  </si>
  <si>
    <t>Equitrac Office 5: Enhanced Enterprise License (5,000-9,999 users) 4yr M&amp;S - EQ5EFNE1-4PB</t>
  </si>
  <si>
    <t>Equitrac Office 5: Enhanced Enterprise License (5,000-9,999 users) 5yr M&amp;S - EQ5EFNE1-5PB</t>
  </si>
  <si>
    <t>Equitrac Office 5: Enhanced Enterprise License (10,000-24,999 users) 3yr M&amp;S - EQ5EFNE2-3PB</t>
  </si>
  <si>
    <t>Equitrac Office 5: Enhanced Enterprise License (10,000-24,999 users) 4yr M&amp;S - EQ5EFNE2-4PB</t>
  </si>
  <si>
    <t>Equitrac Office 5: Enhanced Enterprise License (10,000-24,999 users) 5yr M&amp;S - EQ5EFNE2-5PB</t>
  </si>
  <si>
    <t>Equitrac Office 5: Enhanced Enterprise License (25,000-49,999 users) 3yr M&amp;S - EQ5EFNE3-3PB</t>
  </si>
  <si>
    <t>Equitrac Office 5: Enhanced Enterprise License (25,000-49,999 users) 4yr M&amp;S - EQ5EFNE3-4PB</t>
  </si>
  <si>
    <t>Equitrac Office 5: Enhanced Enterprise License (25,000-49,999 users) 5yr M&amp;S - EQ5EFNE3-5PB</t>
  </si>
  <si>
    <t>Equitrac Office 5: Enhanced Enterprise License (50,000-99,999 users) 3yr M&amp;S - EQ5EFNE4-3PB</t>
  </si>
  <si>
    <t>Equitrac Office 5: Enhanced Enterprise License (50,000-99,999 users) 4yr M&amp;S - EQ5EFNE4-4PB</t>
  </si>
  <si>
    <t>Equitrac Office 5: Enhanced Enterprise License (50,000-99,999 users) 5yr M&amp;S - EQ5EFNE4-5PB</t>
  </si>
  <si>
    <t>Equitrac Office 5: Enhanced Enterprise License (100,000 and more users) 3yr M&amp;S - EQ5EFNE5-3PB</t>
  </si>
  <si>
    <t>Equitrac Office 5: Enhanced Enterprise License (100,000 and more users) 4yr M&amp;S - EQ5EFNE5-4PB</t>
  </si>
  <si>
    <t>Equitrac Office 5: Enhanced Enterprise License (100,000 and more users) 5yr M&amp;S - EQ5EFNE5-5PB</t>
  </si>
  <si>
    <t>Equitrac Office 5: Enhanced Enterprise License (1,000-4,999 users) 3yr M&amp;S - EQ5EFNEK-3PB</t>
  </si>
  <si>
    <t>Equitrac Office 5: Enhanced Enterprise License (1,000-4,999 users) 4yr M&amp;S - EQ5EFNEK-4PB</t>
  </si>
  <si>
    <t>Equitrac Office 5: Enhanced Enterprise License (1,000-4,999 users) 5yr M&amp;S - EQ5EFNEK-5PB</t>
  </si>
  <si>
    <t>Equitrac Office 5: Core Enterprise License (5,000-9,999 users) 3yr M&amp;S Version Upgrade - EQ5EFNU1-3PB</t>
  </si>
  <si>
    <t>Equitrac Office 5: Core Enterprise License (5,000-9,999 users) 4yr M&amp;S Version Upgrade - EQ5EFNU1-4PB</t>
  </si>
  <si>
    <t>Equitrac Office 5: Core Enterprise License (5,000-9,999 users) 5yr M&amp;S Version Upgrade -EQ5EFNU1-5PB</t>
  </si>
  <si>
    <t>Equitrac Office 5: Core Enterprise License (10,000-24,999 users) 3yr M&amp;S Version Upgrade - EQ5EFNU2-3PB</t>
  </si>
  <si>
    <t>Equitrac Office 5: Core Enterprise License (10,000-24,999 users) 4yr M&amp;S Version Upgrade - EQ5EFNU2-4PB</t>
  </si>
  <si>
    <t>Equitrac Office 5: Core Enterprise License (10,000-24,999 users) 5yr M&amp;S Version Upgrade -EQ5EFNU2-5PB</t>
  </si>
  <si>
    <t>Equitrac Office 5: Core Enterprise License (25,000-49,999 users) 3yr M&amp;S Version Upgrade - EQ5EFNU3-3PB</t>
  </si>
  <si>
    <t>Equitrac Office 5: Core Enterprise License (25,000-49,999 users) 4yr M&amp;S Version Upgrade -EQ5EFNU3-4PB</t>
  </si>
  <si>
    <t>Equitrac Office 5: Core Enterprise License (25,000-49,999 users) 5yr M&amp;S Version Upgrade -EQ5EFNU3-5PB</t>
  </si>
  <si>
    <t>Equitrac Office 5: Core Enterprise License 50,000-99,999 users) 3yr M&amp;S Version Upgrade - EQ5EFNU4-3PB</t>
  </si>
  <si>
    <t>Equitrac Office 5: Core Enterprise License (50,000-99,999 users) 4yr M&amp;S Version Upgrade -EQ5EFNU4-4PB</t>
  </si>
  <si>
    <t>Equitrac Office 5: Core Enterprise License (50,000-99,999 users) 5yr M&amp;S Version Upgrade -EQ5EFNU4-5PB</t>
  </si>
  <si>
    <t>Equitrac Office 5: Core Enterprise License (100,000+ users) 3yr M&amp;S Vers Upgrade -EQ5EFNU5-3PB</t>
  </si>
  <si>
    <t>Equitrac Office 5: Core Enterprise License (100,000+users) 4yr M&amp;S Vers Upgrade - EQ5EFNU5-4PB</t>
  </si>
  <si>
    <t>Equitrac Office 5: Core Enterprise License (100,000+ users) 5yr M&amp;S Vers Upgrade - EQ5EFNU5-5PB</t>
  </si>
  <si>
    <t>Equitrac Office 5: Core Enterprise License (1,000-4,999 users) 3yr M&amp;S Version Upgrade - EQ5EFNUK-3PB</t>
  </si>
  <si>
    <t>Equitrac Office 5: Core Enterprise License (1,000-4,999 users) 4yr M&amp;S Version Upgrade - EQ5EFNUK-4PB</t>
  </si>
  <si>
    <t>Equitrac Office 5: Core Enterprise License (1,000-4,999 users) 5yr M&amp;S Version Upgrade - EQ5EFNUK-5PB</t>
  </si>
  <si>
    <t>Equitrac Office 5: Small Business Edition 3yr M&amp;S - EQ5EFSB1-3PB</t>
  </si>
  <si>
    <t>Equitrac Office 5: Small Business Edition 4yr M&amp;S - EQ5EFSB1-4PB</t>
  </si>
  <si>
    <t>Equitrac Office 5: Small Business Edition 5yr M&amp;S - EQ5EFSB1-5PB</t>
  </si>
  <si>
    <t>Equitrac Office 5: Small Business Edition 1yr M&amp;S Renewal - EQ5EFSB1-1PB</t>
  </si>
  <si>
    <t>Equitrac Office 5: SBE upgrade (FROM EQ4) 1yr M&amp;S Renewal - EQ5EFSBU-1PB</t>
  </si>
  <si>
    <t>EO SMB base license (incl. 25 users, 1 embedded) 1YR M&amp;S Renewal - EQ5EFSMB-1PB</t>
  </si>
  <si>
    <t>Equitrac Office 5: Suite 1yr M&amp;S Renewal - EQ5EFSU1-1PB</t>
  </si>
  <si>
    <t>EO SMB base license (incl. 25 users, 1 embedded) Version Upgrade -1YR M&amp;S Renewal - EQ5EFSUB-1PB</t>
  </si>
  <si>
    <t>Equitrac Office 5: Suite upgrade (From EQ4) 1yr M&amp;S Renewal -EQ5EFSUU-1PB</t>
  </si>
  <si>
    <t>Equitrac Office SMB user license (25) Version Upgrade- 1YR M&amp;S Renewal - EQ5SG025-1PB</t>
  </si>
  <si>
    <t>Equitrac Office SMB user license (100) Version Upgrade -1YR M&amp;S Renewal -EQ5SG100-1PB</t>
  </si>
  <si>
    <t>Equitrac Office SMB user license (250) Version Upgrade 1YR M&amp;S Renewal- EQ5SG250-1PB</t>
  </si>
  <si>
    <t>Equitrac Office SMB user license (25) 1YR M&amp;S Renewal - EQ5SU025-1PB</t>
  </si>
  <si>
    <t>Equitrac Office SMB user license (100) 1YR M&amp;S Renewal- EQ5SU100-1PB</t>
  </si>
  <si>
    <t>Equitrac Office SMB user license (250) 1YR M&amp;S Renewal - EQ5SU250-1PB</t>
  </si>
  <si>
    <t>Equitrac Professional 5  </t>
  </si>
  <si>
    <t>Equitrac Professional 5</t>
  </si>
  <si>
    <t>Equitrac Professional 5: Small Firm Edition</t>
  </si>
  <si>
    <t>Equitrac Professional 5:Small Firm Edition (Vendor Part #EP5SFE01)</t>
  </si>
  <si>
    <t>Equitrac Professional 5: Server</t>
  </si>
  <si>
    <t>Equitrac Professional 5: Server (Vendor Part #EP5SE001)</t>
  </si>
  <si>
    <t>Equitrac Professional 5: Enterprise Server</t>
  </si>
  <si>
    <t>Equitrac Professional 5: Enterprise Server (Vendor Part #EP5ES001)</t>
  </si>
  <si>
    <t>Equitrac Installation Professional Services - MANDATORY - EQDRINST</t>
  </si>
  <si>
    <t>Equitrac Subcontracted Installation Services (per unit)</t>
  </si>
  <si>
    <t>Equitrac Subcontracted Installation Services (per unit) (Vendor Part #EQSCINST)</t>
  </si>
  <si>
    <t>Equitrac Direct Support Services</t>
  </si>
  <si>
    <t>Equitrac Direct Support Services (per unit) (Vendor Part #EQDRSUPT)</t>
  </si>
  <si>
    <t>Equitrac Partner Support Services (per unit)</t>
  </si>
  <si>
    <t>Equitrac Partner Support Services (per unit) (Vendor Part #EQPASUPT)</t>
  </si>
  <si>
    <t>Equitrac professional Services</t>
  </si>
  <si>
    <t>Equitrac professional Services (per hour, plus travel for onsite, after hours premium) (Vendor Part #EQONSITE)</t>
  </si>
  <si>
    <t>Equitrac Project Management Services (per day)</t>
  </si>
  <si>
    <t>Equitrac Project Management Services (per day) (Vendor Part #EQPRMGT1)</t>
  </si>
  <si>
    <t>Equitrac Client Software Deployment (per seat)</t>
  </si>
  <si>
    <t>Equitrac Client Software Deployment (per seat) (Vendor Part #EQCLSD01)</t>
  </si>
  <si>
    <t>Equitrac Customer Training (per hour)</t>
  </si>
  <si>
    <t>Equitrac Customer Training (per hour) (Vendor Part #EQCTRAIN)</t>
  </si>
  <si>
    <t>Equitrac Other Parts</t>
  </si>
  <si>
    <t>Equitrac Professional 5: Equitrac Remote Access - Application Sharing Access Via Internet</t>
  </si>
  <si>
    <t>Equitrac Remote Access - Application Sharing Access Via Internet (Vendor Part #SYRD0001)</t>
  </si>
  <si>
    <t>Equitrac Professional 5: Equitrac Custom Programming</t>
  </si>
  <si>
    <t>Equitrac Professional 5: Equitrac Custom Programming (Vendor Part #ZZCP001)</t>
  </si>
  <si>
    <t>Equitrac Professional 5: Equitrac Custom Special Report</t>
  </si>
  <si>
    <t>Equitrac Professional 5: Equitrac Custom Special Report (Vendor Part #ZZCSR01)</t>
  </si>
  <si>
    <t>Equitrac Professional 5: Equitrac Custom Upgrade</t>
  </si>
  <si>
    <t>Equitrac Professional 5: Equitrac Custom Upgrade (Vendor Part #ZZCU001)</t>
  </si>
  <si>
    <t>EP5: OmniPage OCR add-on</t>
  </si>
  <si>
    <t>Equitrac Print Tracking</t>
  </si>
  <si>
    <t>Equitrac Print Tracking: Base, Includes 10 Workstation Licenses</t>
  </si>
  <si>
    <t>Equitrac Print Tracking: Base, Includes 10 Workstation Licenses (Vendor Part #EP40PTB1)</t>
  </si>
  <si>
    <t>Equitrac Print Tracking: Workstation Client 10 license pack</t>
  </si>
  <si>
    <t>Equitrac Print Tracking: Workstation Client 10 license pack (Vendor Part #EP40PT10)</t>
  </si>
  <si>
    <t>Equitrac Print Tracking: Workstation Client 50 license pack</t>
  </si>
  <si>
    <t>Equitrac Print Tracking: Workstation Client 50 license pack (Vendor Part #EP40PT50)</t>
  </si>
  <si>
    <t>Equitrac Print Tracking: Workstation Client 100 license pack</t>
  </si>
  <si>
    <t>Equitrac Print Tracking: Workstation Client 100 license pack Vendor Part #EP4PT100)</t>
  </si>
  <si>
    <t>Equitrac Print Tracking: Workstation Client 500 license pack</t>
  </si>
  <si>
    <t>Equitrac Print Tracking: Workstation Client 500 license pack (Vendor Part #EP4PT500)</t>
  </si>
  <si>
    <t>Equitrac Print Tracking: Additional Print Server license</t>
  </si>
  <si>
    <t>Equitrac Print Tracking: Additional Print Server license (Vendor Part #EP40PTAS)</t>
  </si>
  <si>
    <t>Equitrac Print Tracking: New Customer Trial</t>
  </si>
  <si>
    <t>Equitrac Print Tracking: New Customer Trial (Vendor Part #EP40DM02)</t>
  </si>
  <si>
    <t>Equitrac Print Tracking: Release Station</t>
  </si>
  <si>
    <t>Equitrac Print Tracking: Release Station (Vendor Part #EP40RS00)</t>
  </si>
  <si>
    <t>Equitrac Print Tracking: Uplink License</t>
  </si>
  <si>
    <t>Equitrac Print Tracking: (Vendor Part #EP4UPLNK)</t>
  </si>
  <si>
    <t>Equitrack Professional 5: Equitrac Print Tracking Worksation Client 25 License Pack</t>
  </si>
  <si>
    <t>Equitrac Print Tracking Worksation Client 25 License Pack (Vendor Part #EP40PT25)</t>
  </si>
  <si>
    <t>Equitrac Professional 3.52 Suite</t>
  </si>
  <si>
    <t>Equitrac Professional:1 Device Pack</t>
  </si>
  <si>
    <t>Equitrac Professional:1 Device Pack (Vendor Part #ICGP3S30)</t>
  </si>
  <si>
    <t>Equitrac Professional:5 Device Pack</t>
  </si>
  <si>
    <t>Equitrac Professional:5 Device Pack (Vendor Part #ICGP3S35)</t>
  </si>
  <si>
    <t>Equitrac Professional:10 Device Pack</t>
  </si>
  <si>
    <t>Equitrac Professional:10 Device Pack (Vendor Part #ICGP3S40)</t>
  </si>
  <si>
    <t>Equitrac Professional:25 Device Pack</t>
  </si>
  <si>
    <t>Equitrac Professional:25 Device Pack (Vendor Part #ICGP3S45)</t>
  </si>
  <si>
    <t>Equitrac Professional:50 Device Pack</t>
  </si>
  <si>
    <t>Equitrac Professional:50 Device Pack (Vendor Part #ICGP3S50)</t>
  </si>
  <si>
    <t>Equitrac Professional - Professional Service Pack</t>
  </si>
  <si>
    <t>Equitrac Professional - Professional Service Pack (Includes Remotes and T&amp;B Interface) (Vendor Part #EPSPSP01)</t>
  </si>
  <si>
    <t>Equitrac Professional - Advanced Features Pack</t>
  </si>
  <si>
    <t>Equitrac Professional - Advanced Feature Pack (Fax Costing &amp; Options, Scan Capabilities, External Transaction Imports) (Vendor Part #EPSAFP01)</t>
  </si>
  <si>
    <t>Equitrac Professional - Remote LAN/WAN Polling</t>
  </si>
  <si>
    <t>Equitrac Professional - Remote LAN/WAN Polling (per remote)(Vendor Part #ICGPZM20)</t>
  </si>
  <si>
    <t>Equitrac Professional - Additional Office</t>
  </si>
  <si>
    <t>Equitrac Professional - Additional Office (per office) (Vendor Part #ICGP3S25)</t>
  </si>
  <si>
    <t>Equitrac Professional - Validation File Integration</t>
  </si>
  <si>
    <t>Equitrac Professional - Validation File Integration (Vendor Part #ICGPZM35)</t>
  </si>
  <si>
    <t>Equitrac Professional - Billing File Export Integration</t>
  </si>
  <si>
    <t>Equitrac Professional - Billing File Export Integration (Vendor Part #ICGPZM40)</t>
  </si>
  <si>
    <t>Equitrac Professional - Fax Call Costing</t>
  </si>
  <si>
    <t>Equitrac Professional - Fax Call Costing (Fax Control Plus) (Vendor Part #ICGP3S15)</t>
  </si>
  <si>
    <t>Equitrac Professional - Incoming Fax Allocation System Option</t>
  </si>
  <si>
    <t>Equitrac Professional - Incoming Fax Allocation System Option (Vendor Part #ICGP3S20</t>
  </si>
  <si>
    <t>Equitrac Professional - FaxPost or External Transaction Import Integration</t>
  </si>
  <si>
    <t>Equitrac Professional - FaxPost or External Transaction Import Integration (Vendor Part #ICGPZM50)</t>
  </si>
  <si>
    <t>Equitrac Professional - ScanPost Terminal or Import Scan Integration</t>
  </si>
  <si>
    <t>Equitrac Professional - ScanPost Terminal or Import Scan Integration (Vendor Part #EPSSTISI)</t>
  </si>
  <si>
    <t>Equitrac Professional: Suite Demo CD</t>
  </si>
  <si>
    <t>Equitrac Professional: Suite Demo CD (Vendor Part #ICGPZM65)</t>
  </si>
  <si>
    <t>Equitrac Professional Base - No PC</t>
  </si>
  <si>
    <t>Equitrac Professional 5 - Call Accounting Options</t>
  </si>
  <si>
    <t>Small Firm Edition w/Call Accounting (100 ext)</t>
  </si>
  <si>
    <t>Small Firm Edition w/Call Accounting (100 ext) (Vendor Part #EP5SFCA1)</t>
  </si>
  <si>
    <t>Extension Pack 100</t>
  </si>
  <si>
    <t>Extension Pack 100 (Vendor Part #EP5CA100)</t>
  </si>
  <si>
    <t>Extension Pack 500</t>
  </si>
  <si>
    <t>Extension Pack 500 (Vendor Part #EP5CA500)</t>
  </si>
  <si>
    <t>Extension Pack 1000</t>
  </si>
  <si>
    <t>Extension Pack 1000 (Vendor Part #EP5CA01K)</t>
  </si>
  <si>
    <t>Call Accounting VoIP Server/ File Import Integration</t>
  </si>
  <si>
    <t>Call Accounting VoIP Server/ File Import Integration (Vendor Part #EP5DVOIP)</t>
  </si>
  <si>
    <t>Call Accounting with PageCounter CDR</t>
  </si>
  <si>
    <t>Call Accounting with PageCounter CDR (Vendor Part #EP5CACDR)</t>
  </si>
  <si>
    <t>Rate Table - 1 Year</t>
  </si>
  <si>
    <t>Rate Table - 1 Year (Vendor Part #EP5RT001)</t>
  </si>
  <si>
    <t>Rate Table Multi-Year (per month)</t>
  </si>
  <si>
    <t>Rate Table Multi-Year (per month) (Vendor Part #EP5RTMY1)</t>
  </si>
  <si>
    <t>International Rate Table - 1 Year</t>
  </si>
  <si>
    <t>International Rate Table - 1 Year (Vendor Part #EP5RT002)</t>
  </si>
  <si>
    <t>International Rate Table Multi-Year (per month)</t>
  </si>
  <si>
    <t>International Rate Table Multi-Year (per month) (Vendor Part #EP5RTMY2)</t>
  </si>
  <si>
    <t>Equitrac Professional 5 - Options</t>
  </si>
  <si>
    <t>Server Expansion Pack</t>
  </si>
  <si>
    <t>Server Expansion Pack (Vendor Part #EP5SE2ES)</t>
  </si>
  <si>
    <t>SFE Expansion Pack</t>
  </si>
  <si>
    <t>SFE Expansion Pack (Vendor Part #EP5SF2S1)</t>
  </si>
  <si>
    <t>Cluster Enabler</t>
  </si>
  <si>
    <t>Cluster Enabler (Vendor Part #EP5CLS01)</t>
  </si>
  <si>
    <t>T&amp;B Transaction/Validation Integration</t>
  </si>
  <si>
    <t>T&amp;B Transaction/Validation Integration (Vendor Part #EP5TBVAL)</t>
  </si>
  <si>
    <t>Third Party Transaction Integration</t>
  </si>
  <si>
    <t>Third Party Transaction Integration (Vendor Part #EP5TPT00)</t>
  </si>
  <si>
    <t>Third Party Validation Integration</t>
  </si>
  <si>
    <t>Third Party Validation Integration (Vendor Part # P5TPV00)</t>
  </si>
  <si>
    <t>Professional Services Pack</t>
  </si>
  <si>
    <t>Professional Services Pack (Vendor Part #EP5PSP05)</t>
  </si>
  <si>
    <t>New Custom Crystal Report</t>
  </si>
  <si>
    <t>New Custom Crystal Report (Vendor Part #EP5NCR00)</t>
  </si>
  <si>
    <t>Configuration Change Fee</t>
  </si>
  <si>
    <t>Configuration Change Fee (Vendor Part #EP5CCF00)</t>
  </si>
  <si>
    <t>NFR Edition - Channel Only</t>
  </si>
  <si>
    <t>NFR Edition - Channel Only (Vendor Part #EP5NFR01)</t>
  </si>
  <si>
    <t>New Customer Trial - Channel Only</t>
  </si>
  <si>
    <t>New Customer Trial - Channel Only (Vendor Part #EP5NCT01)</t>
  </si>
  <si>
    <t>Equitrac Professional 5 - Print Tracking Options</t>
  </si>
  <si>
    <t>Workstation Print Client (1)</t>
  </si>
  <si>
    <t>Equitrac Professional 5: Workstation Print Client (1) (Vendor Part #EP5WPC01)</t>
  </si>
  <si>
    <t>Workstation Print Client 10</t>
  </si>
  <si>
    <t>Workstation Print Client 10 (Vendor Part #EP5WPC10)</t>
  </si>
  <si>
    <t>Equitrac Professional 5: Workstation Print Client 50</t>
  </si>
  <si>
    <t>Equitrac Professional 5: Workstation Print Client 50 (Vendor Part #EP5WPC50)</t>
  </si>
  <si>
    <t>Workstation Print Client 100</t>
  </si>
  <si>
    <t>Workstation Print Client 100 (Vendor Part #EP5WP100)</t>
  </si>
  <si>
    <t>Workstation Print Client 500</t>
  </si>
  <si>
    <t>Workstation Print Client 500 (Vendor Part #EP5WP500)</t>
  </si>
  <si>
    <t>Workstation Print Client 1000</t>
  </si>
  <si>
    <t>Workstation Print Client 1000 (Vendor Part #EP5WP01K)</t>
  </si>
  <si>
    <t>Additional Print Server</t>
  </si>
  <si>
    <t>Additional Print Server (Vendor Part #EP5APSL1)</t>
  </si>
  <si>
    <t>Release Station</t>
  </si>
  <si>
    <t>Release Station (Vendor Part #EP5RS001)</t>
  </si>
  <si>
    <t>Equitrac Professional and Enterprise Edition Licensable Options</t>
  </si>
  <si>
    <t>Equitrac Professional: Call Accounting 100 Extension Pack</t>
  </si>
  <si>
    <t>Equitrac Professional: Call Accounting 100 Extension Pack (Vendor Part #ICGP3T10)</t>
  </si>
  <si>
    <t>Equitrac Professional: Call Accounting 250 Extension Pack</t>
  </si>
  <si>
    <t>Equitrac Professional: Call Accounting 250 Extension Pack (Vendor Part #ICGP3T15)</t>
  </si>
  <si>
    <t>Equitrac Professional: Call Accounting 500 Extension Pack</t>
  </si>
  <si>
    <t>Equitrac Professional: Call Accounting 500 Extension Pack Vendor Part #ICGP3T20)</t>
  </si>
  <si>
    <t>Equitrac Professional: Call Accounting 1000 Extension Pack</t>
  </si>
  <si>
    <t>Equitrac Professional: Call Accounting 1000 Extension Pack (Vendor Part #ICGP3T25)</t>
  </si>
  <si>
    <t>Equitrac Professional: Call Accounting 2500 Extension Pack</t>
  </si>
  <si>
    <t>Equitrac Professional: Call Accounting 2500 Extension Pack (Vendor Part #ICGP3T30)</t>
  </si>
  <si>
    <t>Equitrac Professional: Call Accounting Rate Table (One Year)</t>
  </si>
  <si>
    <t>Equitrac Professional: Call Accounting Rate Table (One Year) (Vendor Part #ICGTZR15)</t>
  </si>
  <si>
    <t>Equitrac Professional: Call Accounting International Rate Table (One Year)</t>
  </si>
  <si>
    <t>Equitrac Professional: Call Accounting International Rate Table (One Year) (Vendor Part #ICGTZR25)</t>
  </si>
  <si>
    <t>Equitrac Professional: Call Accounting VoIP Server Integration</t>
  </si>
  <si>
    <t>Equitrac Professional: Call Accounting VoIP Server Integration (per VoIP application server) (Vendor Part #ICGIZ905)</t>
  </si>
  <si>
    <t>NETBuffer - 1MB Ethernet/IP SMDR Buffer</t>
  </si>
  <si>
    <t>NETBuffer - 1MB Ethernet/IP SMDR Buffer (Vendor Part #CGI3A20)</t>
  </si>
  <si>
    <t>Equitrac Professional: Desktop Client 1 Workstation Pack</t>
  </si>
  <si>
    <t>Equitrac Professional: Desktop Client 1 Workstation Pack (Vendor Part #ICGP3D10)</t>
  </si>
  <si>
    <t>Equitrac Professional: Desktop Client 25 Workstation Pack</t>
  </si>
  <si>
    <t>Equitrac Professional: Desktop Client 25 Workstation Pack (Vendor Part #ICGP3D12)</t>
  </si>
  <si>
    <t>Equitrac Professional: Desktop Client 100 Workstation Pack</t>
  </si>
  <si>
    <t>Equitrac Professional: Desktop Client 100 Workstation Pack (Vendor Part #ICGP3D15)</t>
  </si>
  <si>
    <t>Equitrac Professional: Desktop Client 250 Workstation Pack</t>
  </si>
  <si>
    <t>Equitrac Professional: Desktop Client 250 Workstation Pack (Vendor Part #ICGP3D20)</t>
  </si>
  <si>
    <t>Equitrac Professional: Desktop Client 500 Workstation Pack</t>
  </si>
  <si>
    <t>Equitrac Professional: Desktop Client 500 Workstation Pack (Vendor Part #ICGP3D25)</t>
  </si>
  <si>
    <t>Equitrac Professional: Desktop Client 1000 Workstation Pack</t>
  </si>
  <si>
    <t>Equitrac Professional: Desktop Client 1000 Workstation Pack (Vendor Part #ICGP3D30)</t>
  </si>
  <si>
    <t>Equitrac Professional: Configuration Change Fee</t>
  </si>
  <si>
    <t>Equitrac Professional: Configuration Change Fee (Vendor Part #OPHC000)</t>
  </si>
  <si>
    <t>Equitrac Professional: Call Accounting Rate Table (Multi-Year)</t>
  </si>
  <si>
    <t>Equitrac Professional: Call Accounting Rate Table (Multi-Year) (Vendor Part #ICGTZR10)</t>
  </si>
  <si>
    <t>Equitrac Professional: Call Accounting International Rate Table (Multi-Year)</t>
  </si>
  <si>
    <t>Equitrac Professional: Call Accounting International Rate Table (Multi-Year) (Vendor Part #ICGTZR20)</t>
  </si>
  <si>
    <t>Equitrac Professional: Call Accounting Rate Table Upgrade</t>
  </si>
  <si>
    <t>Equitrac Professional: Call Accounting Rate Table Upgrade (Vendor Part #ICGTZRU1)</t>
  </si>
  <si>
    <t>Equitrac Professional 5: Scan to DMS Device License</t>
  </si>
  <si>
    <t>Equitrac Professional 5: Scan to Searchable PDF Device License</t>
  </si>
  <si>
    <t>Equitrac Professional Enterprise Edition 4.63 Suite</t>
  </si>
  <si>
    <t>Equitrac Professional EE: 1 Device Pack</t>
  </si>
  <si>
    <t>Equitrac Professional EE: 1 Device Pack (Vendor Part #EPEEDP01)</t>
  </si>
  <si>
    <t>Equitrac Professional EE: 5 Device Pack</t>
  </si>
  <si>
    <t>Equitrac Professional EE: 5 Device Pack (Vendor Part #EPEEDP05)</t>
  </si>
  <si>
    <t>Equitrac Professional EE: 10 Device Pack</t>
  </si>
  <si>
    <t>Equitrac Professional EE: 10 Device Pack (Vendor Part #EPEEDP10)</t>
  </si>
  <si>
    <t>Equitrac Professional EE: 25 Device Pack</t>
  </si>
  <si>
    <t>Equitrac Professional EE: 25 Device Pack (Vendor Part # EPEEDP25)</t>
  </si>
  <si>
    <t>Equitrac Professional EE: 50 Device Pack</t>
  </si>
  <si>
    <t>Equitrac Professional EE: 50 Device Pack (Vendor Part #EPEEDP50)</t>
  </si>
  <si>
    <t>Equitrac Professional EE: Professional Services Pack</t>
  </si>
  <si>
    <t>Equitrac Professional EE: Professional Services Pack(includes Customs &amp; T&amp;B Interface) (Vendor Part #EPEEPSP1)</t>
  </si>
  <si>
    <t>Equitrac Professional EE: Advanced Features Pack (Fax Costing &amp; Options, Scan Capabilities, 3rd Party Import)</t>
  </si>
  <si>
    <t>Equitrac Professional EE: Advanced Features Pack (Vendor Part #EPEEAFP1)</t>
  </si>
  <si>
    <t>Equitrac Professional EE: Additional Office</t>
  </si>
  <si>
    <t>Equitrac Professional EE: Additional Office (per office) (Vendor Part #EPEEAS01)</t>
  </si>
  <si>
    <t>Equitrac Professional EE: New Custom Report</t>
  </si>
  <si>
    <t>Equitrac Professional EE: New Custom Report (Vendor Part #SOMCR01)</t>
  </si>
  <si>
    <t>Equitrac Professional EE: Custom Validation/PAS/PrintLog Accounting Server Data Import</t>
  </si>
  <si>
    <t>Equitrac Professional EE: Custom Validation/PAS/PrintLog Accounting Server Data Import Vendor Part #SOMCR02)</t>
  </si>
  <si>
    <t>Equitrac Professional EE: Custom or Summary Exports</t>
  </si>
  <si>
    <t>Equitrac Professional EE: Custom or Summary Exports (Vendor Part #SOMCR04)</t>
  </si>
  <si>
    <t>Equitrac Professional EE: Custom Costing Definitions</t>
  </si>
  <si>
    <t>Equitrac Professional EE: Custom Costing Definitions (Vendor Part #SOMCR05)</t>
  </si>
  <si>
    <t>Equitrac Professional EE: Custom Look-Ups</t>
  </si>
  <si>
    <t>Equitrac Professional EE: Custom Look-Ups (Vendor Part #SOMCR06)</t>
  </si>
  <si>
    <t>Equitrac Professional EE: Custom Replication Fee</t>
  </si>
  <si>
    <t>Equitrac Professional EE Custom Replication Fee Vendor Part #SOMCR07)</t>
  </si>
  <si>
    <t>Equitrac Professional EE: Custom Third Party Import</t>
  </si>
  <si>
    <t>Equitrac Professional EE: Custom Third Party Import (Vendor Part #SOMCR03)</t>
  </si>
  <si>
    <t>Equitrac Professional EE: Fax Control Plus Fax Call Costing</t>
  </si>
  <si>
    <t>Equitrac Professional EE: Fax Control Plus Fax Call Costing (Vendor Part #AP40011)</t>
  </si>
  <si>
    <t>Equtirac Professional EE: FaxPost Network Fax Integration</t>
  </si>
  <si>
    <t>Equtirac Professional EE: FaxPost Network Fax Integration (Vendor Part #FXAAS01)</t>
  </si>
  <si>
    <t>Equitrac Professional EE: ScanPost Terminal or Import Scan Integration</t>
  </si>
  <si>
    <t>Equitrac Professional EE: ScanPost Terminal or Import Scan Integration (Vendor Part #AP40016)</t>
  </si>
  <si>
    <t>Equitrac Professional Enterprise Edition Base: No PC</t>
  </si>
  <si>
    <t>PageCounter CDR for Call Accounting</t>
  </si>
  <si>
    <t>Equitrac Professional 5: PageCounter CDR</t>
  </si>
  <si>
    <t>Equitrac Professional 5: PageCounter CDR (Vendor Part #PC1P0000)</t>
  </si>
  <si>
    <t>PageCounter Terminals and Accessories</t>
  </si>
  <si>
    <t>Programmed Magnetic Card</t>
  </si>
  <si>
    <t>Programmed Magnetic Card Track 2 (Vendor Part #MSCCRDPR)</t>
  </si>
  <si>
    <t>PageCounter Professional Wallmount</t>
  </si>
  <si>
    <t>PageCounter Professional Wallmount (Vendor Part #TRUBB10)</t>
  </si>
  <si>
    <t>PageCounter Professional Floor Stand</t>
  </si>
  <si>
    <t>PageCounter Professional Floor Stand (Vendor Part #TRUBB11)</t>
  </si>
  <si>
    <t>Power Interrupt Interface W/Cable</t>
  </si>
  <si>
    <t>Power Interrupt Interface W/Cable (Vendor Part #INAPI00M)</t>
  </si>
  <si>
    <t>Equitrac Copier Cable (Standard Length 12')</t>
  </si>
  <si>
    <t>Equitrac Copier Cable (Standard Length 12') (Vendor Part #COPCABLE)</t>
  </si>
  <si>
    <t>Equitrac Professional 5: Page Counter Terminal w/Keyboard, Fax &amp; CR Options</t>
  </si>
  <si>
    <t>Equitrac Professional 5: Page Counter Terminal w/Keyboard, Fax &amp; CR Options (Vendor Part #PCD3FFEC5)</t>
  </si>
  <si>
    <t>Equitrac Professional 5: PageCounter profesional Terminal</t>
  </si>
  <si>
    <t>Equitrac Professional 5: PageCounter profesional Terminal (Vendor Part #PC7C00E5)</t>
  </si>
  <si>
    <t>Equitrac Professional 5: PageCounter Professional Terminal w/Magstripe Option</t>
  </si>
  <si>
    <t>Equitrac Professional 5: PageCounter Professional Terminal w/Magstripe Option (Vendor Part #PC7C0ME5)</t>
  </si>
  <si>
    <t>Equitrac Professional 5: PageCounter Professional Terminal w/Fax Option</t>
  </si>
  <si>
    <t>Equitrac Professional 5: PageCounter Professional Terminal w/Fax Option (Vendor Part #PC7F00E5)</t>
  </si>
  <si>
    <t>Equitrac Professional 5: PageCounter Professional Terminal w/Fax and Magstripe Option</t>
  </si>
  <si>
    <t>Equitrac Professional 5: PageCounter Professional Terminal w/Fax and Magstripe Option (Vendor Part #PC7V0ME5)</t>
  </si>
  <si>
    <t>Equitrac Professional 5: PageCounter Professional Terminal w/Dual Fax Option</t>
  </si>
  <si>
    <t>Equitrac Professional 5: PageCounter Professional Terminal w/Dual Fax Option (Vendor Part #PC7FF0E5)</t>
  </si>
  <si>
    <t>Equitrac Professional 5: PageCounter Professional Terminal w/Dual Fax &amp; Magstripe Option</t>
  </si>
  <si>
    <t>Equitrac Professional 5: PageCounter Professional Terminal w/Dual Fax &amp; Magstripe Option (Vendor Part #PC7FFME5)</t>
  </si>
  <si>
    <t>TouchPoint Console</t>
  </si>
  <si>
    <t>TouchPoint Console with Fax</t>
  </si>
  <si>
    <t>TouchPoint Console with dual Fax</t>
  </si>
  <si>
    <t>TouchPoint Console Desktop Stand</t>
  </si>
  <si>
    <t>TouchPoint Console Wall Mount</t>
  </si>
  <si>
    <t>TouchPoint Console Floor Stand</t>
  </si>
  <si>
    <t>TouchPoint Card Reader - HID</t>
  </si>
  <si>
    <t>TouchPoint Card Reader -Mifare</t>
  </si>
  <si>
    <t>TouchPoint Card Reader -Legic</t>
  </si>
  <si>
    <t>TouchPoint Card Reader - Track 2 Magstripe</t>
  </si>
  <si>
    <t>Embedded eCopy with the Mini PageCounter</t>
  </si>
  <si>
    <t>TouchPoint Console Keyboard</t>
  </si>
  <si>
    <t>TouchPoint card reader - Indala/EM Marin/Hitag</t>
  </si>
  <si>
    <t>TouchPoint card reader - EM Marin</t>
  </si>
  <si>
    <t>TouchPoint card reader - Hitag</t>
  </si>
  <si>
    <t>Equitrac Smart Print  </t>
  </si>
  <si>
    <t>Equitrac Smart Print</t>
  </si>
  <si>
    <t>Equitrac Express 5: Small Campus Edition 3YR M&amp;S - EQ5EESC1-3PB</t>
  </si>
  <si>
    <t>Equitrac Express 5: Small Campus Edition 4YR M&amp;S - EQ5EESC1-4PB</t>
  </si>
  <si>
    <t>Equitrac Express 5: Small Campus Edition 5YR M&amp;S - EQ5EESC1-5PB</t>
  </si>
  <si>
    <t>EO5/EE5: EmbDevice Promo 3yr M&amp;S - EQ5EFSMP-3PB</t>
  </si>
  <si>
    <t>EO5/EE5: EmbDevice Promo 4yr M&amp;S - EQ5EFSMP-4PB</t>
  </si>
  <si>
    <t>EO5/EE5: EmbDevice Promo 5yr M&amp;S - EQ5EFSMP-5PB</t>
  </si>
  <si>
    <t>Equitrac Express 5: Small Campus Edition 1YR M&amp;S Renewal - EQ5EESC1-1PB</t>
  </si>
  <si>
    <t>EQ5EFSMP1PR</t>
  </si>
  <si>
    <t>EO5/EE5: EmbDevice Promo 1yr M&amp;S Renewal - EQ5EFSMP-1PR</t>
  </si>
  <si>
    <t>Fiery Central v2.0   Fiery Central v2.0</t>
  </si>
  <si>
    <t>Fiery Central v2.0</t>
  </si>
  <si>
    <t>Fiery Central v2 Solo server</t>
  </si>
  <si>
    <t>Includes hardware and printer license for one KM bizhub B/W PRO or PRESS. Supports a maximum of 3 printer licenses</t>
  </si>
  <si>
    <t>Fiery Central Integrated Server</t>
  </si>
  <si>
    <t>Includes hardware and printer licenses for 3 Fiery driven engines Supports a maximum of 12 printer licenses</t>
  </si>
  <si>
    <t>Fiery Central v2 Software only</t>
  </si>
  <si>
    <t>Includes printer licenses for 3 Fiery driven engines Supports a maximum of 12 printer licenses</t>
  </si>
  <si>
    <t>Maintenance/Warranty</t>
  </si>
  <si>
    <t>FIERY CENTRAL BASE CONFIGURATION PRODUCTS ANNUAL S/W SUPPORT &amp; MAINTENANCE **</t>
  </si>
  <si>
    <t>FIERY JOBFLOW ANNUAL SUPPORT &amp; MAINTENANCE</t>
  </si>
  <si>
    <t>FIERY JOBMASTER ANNUAL SUPPORT &amp; MAINTENANCE</t>
  </si>
  <si>
    <t>FIERY JOBMASTER-IMPOSE ANNUAL SUPPORT &amp; MAINTENANCE</t>
  </si>
  <si>
    <t>Monitor and Stand Option</t>
  </si>
  <si>
    <t>FURNITURE FOR FIERY CENTRAL SOLO</t>
  </si>
  <si>
    <t>FURNITURE FOR FIERY CENTRAL SOLO INCLUDES STAND, KEYBOARD, MONITOR, AND MOUSE</t>
  </si>
  <si>
    <t>FURNITURE FOR FIERY CENTRAL INTERATED SERVER</t>
  </si>
  <si>
    <t>PRINTER LICENSE FOR ONE ADDITIONAL FIERY DRIVEN ENGINE</t>
  </si>
  <si>
    <t>FIERY JOBMASTER*</t>
  </si>
  <si>
    <t>FIERY JOBMASTER-IMPOSE BUNDLE*</t>
  </si>
  <si>
    <t>KM ONLY: PRINTER LICENSE FOR ONE KM BIZHUB B/W PRO OR PRESS OR 1600P/2000P/2500P</t>
  </si>
  <si>
    <t>PRINTER LICENSE FOR ONE OCE VARIOPRINT OR XEROX NUVERA printer</t>
  </si>
  <si>
    <t>FIERY JOBFLOW*</t>
  </si>
  <si>
    <t>Services</t>
  </si>
  <si>
    <t>Fiery Central Basic Implementation Package - 2 day onsite implementation (includes all T&amp;E)</t>
  </si>
  <si>
    <t>EFI Fiery Central Demo Room Package</t>
  </si>
  <si>
    <t>EFI Fiery Central Demo Room Package - includes Solo product, one Fiery Driven connector, Impose and Compose bundle and 1 year of M&amp;S - dealers may not sell this system for a period of 12 months</t>
  </si>
  <si>
    <t>Fiery Central Standard Implementation Package 3 day onsite implementation (includes all T&amp;E)</t>
  </si>
  <si>
    <t>Fiery Central Premium Implementation Package 4 day onsite implementation (includes all T&amp;E)</t>
  </si>
  <si>
    <t>EFI Professional Services Daily Rate - Includes all T&amp;E</t>
  </si>
  <si>
    <t>FIERY CENTRAL 1.8.X SOFTWARE TO FIERY CENTRAL 2.0 SOFTWARE --REQUIRES CUSTOMER HAVE A CURRENT SUPPORT &amp; MAINTENANCE CONTRACT.</t>
  </si>
  <si>
    <t>FIERY CENTRAL 1.8.X SOFTWARE TO FIERY CENTRAL SOLO FOR KM BIZHUB B/W PRO OR PRESS--INCLUDES SAME HARDWARE AS PN 45112726.</t>
  </si>
  <si>
    <t>Hyland Connect to OnBase App  </t>
  </si>
  <si>
    <t>Hyland Connect to OnBase App</t>
  </si>
  <si>
    <t>Connect to OnBase App w/ 1 Year Annual Maintenance</t>
  </si>
  <si>
    <t>bizhub MarketPlace CONNECT TO ONBASE APP Includes 1 year of Annual Maintenance</t>
  </si>
  <si>
    <t>Connect to OnBase App w/ 3 Year Annual Maintenance</t>
  </si>
  <si>
    <t>bizhub MarketPlace CONNECT TO ONBASE APP Includes 3 year of Annual Maintenance</t>
  </si>
  <si>
    <t>Connect to OnBase App w/ 4 Year Annual Maintenance</t>
  </si>
  <si>
    <t>bizhub MarketPlace CONNECT TO ONBASE APP Includes 4 year of Annual Maintenance</t>
  </si>
  <si>
    <t>Connect to OnBase App w/ 5 Year Annual Maintenance</t>
  </si>
  <si>
    <t>bizhub MarketPlace CONNECT TO ONBASE APP Includes 5 year of Annual Maintenance</t>
  </si>
  <si>
    <t>iPro   iPro</t>
  </si>
  <si>
    <t>iPro</t>
  </si>
  <si>
    <t>IPRO Copy+ 1 year Subscription</t>
  </si>
  <si>
    <t>IPRO Copy+ Subscription - Additional Years - per yr</t>
  </si>
  <si>
    <t>eScanIT 1 year Subscription</t>
  </si>
  <si>
    <t>eScanIT Subscription - Additional Years - per yr</t>
  </si>
  <si>
    <t>IPRO Classic Suite - 1 year subcription - includes - View, Build, iPublish, Print, OCR (Server), OCR (Client), Reports and Utilities</t>
  </si>
  <si>
    <t>IPRO Classic Suite - Additional Years - per yr</t>
  </si>
  <si>
    <t>Professional Services and Training - Telephone Support (after hours, holidays, and weekends) - billed in hourly increments</t>
  </si>
  <si>
    <t>Professional Services and Training - ON SITE (INCLUDES travel expenses) - travel must be scheduled at least 21 days in advance.</t>
  </si>
  <si>
    <t>Professional Services and Training - web based - Billed in hourly increments</t>
  </si>
  <si>
    <t>ITC Systems  </t>
  </si>
  <si>
    <t>ITC Systems</t>
  </si>
  <si>
    <t>Accessories</t>
  </si>
  <si>
    <t>ITC 1500/54X0 CABLE FOR KONICA MINOLTA COLOR BIZHUB COPIERS</t>
  </si>
  <si>
    <t>ITC COIN AND MAG CARD CABLE FOR KONICA MINOLTA</t>
  </si>
  <si>
    <t>GENERIC MAGNETIC CARD WITH ITC LOGO (EACH)</t>
  </si>
  <si>
    <t>CUSTOM COPIER CABLE</t>
  </si>
  <si>
    <t>RS-232 SERIAL CABLE: CARD &amp; COIN PRODS</t>
  </si>
  <si>
    <t>ITC WEB REVALUE SOFTWARE MAINTENANCE (PER YEAR)</t>
  </si>
  <si>
    <t>ITC CUSTOM CABLE TO CONNECT 1500-02 TO KONICA MINOLTA BIZHUB C451</t>
  </si>
  <si>
    <t>ITC HARDWARE IS WARRANTED FOR 1 YEAY. ANNUAL RETURN TO DEPOT SERVICE DEPOT FOR 2 YEAR IS 15% OF TOTAL HARDWARE COST</t>
  </si>
  <si>
    <t>ANNAUL ITC MAINTENANCE CONTRACT FOR SOFTWARE PURCHACED - 20% OF SOFTWARE PURCHACED</t>
  </si>
  <si>
    <t>ITC ONSITE HARDWARE INSTALLATION</t>
  </si>
  <si>
    <t>ITC ONSITE SOFTWARE INSTALLATION</t>
  </si>
  <si>
    <t>ITC PROGRAMMING KEYPAD - 500, 1085, 5400, 7020, 2020, 2010.(REQUIRED FOR ITC 1500 SERIES CARD READERS)</t>
  </si>
  <si>
    <t>ITC 4414-DPU Report Printer</t>
  </si>
  <si>
    <t>ITC 4414 DPU REPORT PRINTER</t>
  </si>
  <si>
    <t>ITC 4414-DPU-B Report Printer with Battery</t>
  </si>
  <si>
    <t>ITC 4414 DPU-B REPORT PRINTER W/BATTERY</t>
  </si>
  <si>
    <t>ITC 5400-USBBKT USB Bracket</t>
  </si>
  <si>
    <t>5400-USBBKT USB BRACKET</t>
  </si>
  <si>
    <t>ITC REMOTE SOFTWARE INSTALLATION</t>
  </si>
  <si>
    <t>Serial Printer for Retail Business Center (6035) Cable incl</t>
  </si>
  <si>
    <t>Blank cards white/white CR-80 R-50 size</t>
  </si>
  <si>
    <t>Sequential number on front or back</t>
  </si>
  <si>
    <t>Add print color (per side of card)</t>
  </si>
  <si>
    <t>Add mag stripe (Track 3,Track 2/4/5)</t>
  </si>
  <si>
    <t>Add Signature Panel to front or back</t>
  </si>
  <si>
    <t>Add barcode to front or back of card</t>
  </si>
  <si>
    <t>Encoding of magnetic stripe</t>
  </si>
  <si>
    <t>One-Time Plate Fee, per color per side</t>
  </si>
  <si>
    <t>DataCap Single Lane Credit Card IP based modem (no phone line backup)</t>
  </si>
  <si>
    <t>(G) Stored-Value Card System Accessories.</t>
  </si>
  <si>
    <t>ITC 1080-10 Base for Cash Card Loader</t>
  </si>
  <si>
    <t>ITC 1080-10 BASE FOR CASH CARD LOADER</t>
  </si>
  <si>
    <t>ITC 1500RF Mag Card Series Reader (Charge for Copy, Fax, Scan). For use with the Business Center Software Solution.</t>
  </si>
  <si>
    <t>ITC MAG CARD SERIES READER</t>
  </si>
  <si>
    <t>ITC 1085U Low Cost Loader, add value only. Requires 4035 Programmer. IMPORTANT: For applications with existing cards, please contact ITC for configuration and format.</t>
  </si>
  <si>
    <t>1085U LOW COST LDR: ADD VAL ONLY</t>
  </si>
  <si>
    <t>ITC 1085U-D Low Cost Loader with dispense and add value. Requires 4035 Programmer. IMPORTANT: For applications with existing cards, please contact ITC for configuration and format.</t>
  </si>
  <si>
    <t>1085U-D LOW COST LDR W/DISP &amp; ADD VAL</t>
  </si>
  <si>
    <t>ITC 1500 Mag Card Series Advanced - RS-232, USB, TTL, Copier I/O</t>
  </si>
  <si>
    <t>1500 MAG STRIPE RDR ADV: RS-232: USB:TTL</t>
  </si>
  <si>
    <t>ITC 1535 Mag Card Series Advanced Mini Till</t>
  </si>
  <si>
    <t>1535 MAG CARD SERIES ADV MINI TILL</t>
  </si>
  <si>
    <t>ITC 1580U-D Cash Card Loader with dispense and add value</t>
  </si>
  <si>
    <t>1580U CASH CARD LOADER</t>
  </si>
  <si>
    <t>1580-D CARD LOADER W/DISP</t>
  </si>
  <si>
    <t>ITC 1580U-DP Cash Card Loader with dispense, add value, and receipt printer</t>
  </si>
  <si>
    <t>1580U-DP CSH CRD LDR W/DSP/RCT PRT</t>
  </si>
  <si>
    <t>ITC 1580U-DPC Cash Card Loader with dispense, add value, receipt printer, and credit card Acceptance</t>
  </si>
  <si>
    <t>1580U-DPC CSH CRD LDR W/DSP/RCT PRT/CN</t>
  </si>
  <si>
    <t>MC100 Bill Changer - accepts $5, $10, $20</t>
  </si>
  <si>
    <t>Base for MC100 Bill Changer</t>
  </si>
  <si>
    <t>Card Readers</t>
  </si>
  <si>
    <t>ITC 7010 NetLink terminal: TCP/IP, copier/fax/network print applications</t>
  </si>
  <si>
    <t>7010 NETLINK TERMINAL: TCP/IP</t>
  </si>
  <si>
    <t>ITC 7010-BC NetLink terminal: TCP/IP, copier/fax/network print applications with barcode scanner</t>
  </si>
  <si>
    <t>7210-BC Netlink Terminal: TCP/IP, Copier/fax,network print applications with barcode scanner</t>
  </si>
  <si>
    <t>ITC 7010-SW Netlink terminal: TCP/IP, copier/fax/network print applications with mag swipe</t>
  </si>
  <si>
    <t>7210-SW NetLink Terminal: TCP/IP, copier/fax/network print applications with magnetic swipe.</t>
  </si>
  <si>
    <t>ITC 7020-SW NetLink terminal for MDB vending: TCP/IP with swipe card</t>
  </si>
  <si>
    <t>7020-SW SW CRD NTLNK TRM MDB VND: TCP/IP</t>
  </si>
  <si>
    <t>ITC 7035-SW NetLink POS terminal with mag card swipe: TCP/IP</t>
  </si>
  <si>
    <t>7035-SW NETLINK POS TRM W/MAG SW: TCP/IP</t>
  </si>
  <si>
    <t>ITC 7080U-BC-DP NetLink loader: TCP/IP, adds to accounts, bar code, currency based, receipt printer, dispenser</t>
  </si>
  <si>
    <t>7080U-BC-DP NETLINK LD W/BC PRT DS: IP</t>
  </si>
  <si>
    <t>ITC 7080U-BC-P NetLink loader: TCP/IP, adds to accounts, bar code, currency baced, receipt printer</t>
  </si>
  <si>
    <t>7080U-BC-P NETLINK LD W/BC PRT: TCP/IP</t>
  </si>
  <si>
    <t>ITC 7080U-P NetLink Loader: TCP/IP, adds to accounts, currency based, receipt printer</t>
  </si>
  <si>
    <t>7080U-P NETLINK LDR: TCP/IP: RCPT PRT</t>
  </si>
  <si>
    <t>ITC 7080U-SW-D NetLink loader: TCP/IP, adds to accounts, mag swipe, currency-based dispenser</t>
  </si>
  <si>
    <t>7080U-SW-D NTLK LD MG SW CR DSP: TCP/IP</t>
  </si>
  <si>
    <t>ITC 7080U-SW-DP NetLink Loader: TCP/IP, adds to accounts, mag swipe, currency based, dispenser, receipt printer</t>
  </si>
  <si>
    <t>7080U-SW-DP NTLK LD MG SW CR DSP PR: IP</t>
  </si>
  <si>
    <t>ITC 7080U-SW-P NetLink loader: TCP/IP, Adds to Accounts, Mag Swipe, Currency based, receipt printer with mag swipe</t>
  </si>
  <si>
    <t>7080U-SW-P NETLINK LD W/MG SW: TCP/IP</t>
  </si>
  <si>
    <t>7510 NETLINK ACCOUNT TERMINAL</t>
  </si>
  <si>
    <t>ITC 5420U-720-F Coin, Bill, Card Reader</t>
  </si>
  <si>
    <t>Kiosk, touch screen, w/ BV</t>
  </si>
  <si>
    <t>Add Card Reader (Stored Value)</t>
  </si>
  <si>
    <t>Add Card Reader (Mag Swipe)</t>
  </si>
  <si>
    <t>Add Card Reader (HID)</t>
  </si>
  <si>
    <t>Add Card Reader (MiFare)</t>
  </si>
  <si>
    <t>Add Card Dispenser</t>
  </si>
  <si>
    <t>Add Receipt Printer</t>
  </si>
  <si>
    <t>Add Coin Acceptance</t>
  </si>
  <si>
    <t>Add Credit Card Swipe</t>
  </si>
  <si>
    <t>Symbol Barcode Scanner with Stand, USB, 5V</t>
  </si>
  <si>
    <t>Symbol Barcode Scanner w/ Stand, USB, 5V</t>
  </si>
  <si>
    <t>NetLink Terminal TCP/IP, Copier/Fax/Network Print Applications w/ Bar Code and Stand</t>
  </si>
  <si>
    <t>NetLink Term TCP, Cop/Fax/Prt w/BC &amp; Std</t>
  </si>
  <si>
    <t>7210-BC Netlink Term w Contactless Rdr</t>
  </si>
  <si>
    <t>7210-BC Netlink Terminal: TCP/IP, Copier/fax,network print applications with Contactless Reader</t>
  </si>
  <si>
    <t>ITC 7080U-PRX-P NetLink loader</t>
  </si>
  <si>
    <t>ITC 7080U-PRX-P NetLink loader: TCP/IP, adds to accounts, Contactless Reader, currency based, receipt printer</t>
  </si>
  <si>
    <t>ITC 7080U-BC-DP NetLink loader</t>
  </si>
  <si>
    <t>ITC 7080U-BC-DP NetLink loader: TCP/IP, adds to accounts, Contactless Reader, currency based, receipt printer, dispenser</t>
  </si>
  <si>
    <t>Itc 5410u-F - Coin Operated Fusion -Fully Featured. Interface Cable Included. Itc 5410u-F - Coin Operated Fussion- Fully Featured</t>
  </si>
  <si>
    <t>Itc 5410u-105-F - Coin, Card Operated Fussion, - Fully Featured. Foot Stand Or Roller Wheel Included. Interface Cable Included.</t>
  </si>
  <si>
    <t>Itc 5420u-F Fussion, Coin, Bill Operated-Fully Featured. Foot Stand Or Roller Wheel Included, Interface Cable Included</t>
  </si>
  <si>
    <t>Itc 5420u-105-F Coin-Bill-Card Operated Fusion- Fully Featured. Foot Stand Or Roller Wheel Included, Interface Cable Included</t>
  </si>
  <si>
    <t>itc 5300-CSH Security Housing for mounting the Coin-Op and securing the paper trays on the copier.</t>
  </si>
  <si>
    <t>Itc 5300-CSH Security Housing for mounting the Coin-Op and securing the paper trays on the copier.</t>
  </si>
  <si>
    <t>GS-4 Print Release Station</t>
  </si>
  <si>
    <t>Wireless Mobile Print Connector (Annual Fee - Mandatory with -SL and -S)</t>
  </si>
  <si>
    <t>ITC 6030-WR WEB PURCHACE SOFTWARE WITH 6030 SOFTWARE</t>
  </si>
  <si>
    <t>6030-WR Web Purcashe Software (incl. 6030)</t>
  </si>
  <si>
    <t>ITC 6040 PAY PC PATRON (CHARGE TIME ON PN AND PRINT THROUGH 1500 READER)</t>
  </si>
  <si>
    <t>ITC 6040 PAY PC PATRON (CHARGE TIME ON PN AND PRINT THROUGH 1500 READER)¹</t>
  </si>
  <si>
    <t>ITC 6040-SA PRINT MANAGER-STAN ALONE MODULE (PER PC)</t>
  </si>
  <si>
    <t>6040-PU Print Manager Pop-Up (per Workstation)</t>
  </si>
  <si>
    <t>ITC 6040-C PRINT MANAGER - CLIENT RELEASE STATION</t>
  </si>
  <si>
    <t>ITC 6040-S PRINT MANAGER - SERVER</t>
  </si>
  <si>
    <t>ITC 6035-POS SOFT TILL (RETAIL BUSINESS CENTER SOFTWARE)</t>
  </si>
  <si>
    <t>ITC 6030 Credit card processing software utility</t>
  </si>
  <si>
    <t>6030 CREDIT CARD PROC SW UTILITY</t>
  </si>
  <si>
    <t>ITC 6030-CCM Credit card module per terminal. Note: You may not need one for one; please check with ITC before ordering.</t>
  </si>
  <si>
    <t>6030-CCM CREDIT CARD MODULE PER TERMINAL</t>
  </si>
  <si>
    <t>ITC 6030-CF Connection fee per terminal</t>
  </si>
  <si>
    <t>6030-CF CONNECTION FEE PER TERMINAL</t>
  </si>
  <si>
    <t>ITC 6035-TILL POS Till: Used to make, add to, or subtract from cash cards.</t>
  </si>
  <si>
    <t>6035-TILL ( Add or subtract from Cash Cards)</t>
  </si>
  <si>
    <t>6080-7000 IND CONN LIC (PER NETLINK LIC)</t>
  </si>
  <si>
    <t>6080-7000-50 BUNDLE OF 50 CONN LIC</t>
  </si>
  <si>
    <t>ITC 6080-C Multiplan corporate copy/print: main database for up to 2500 users (up to 4 NetLink terminals)</t>
  </si>
  <si>
    <t>6080-C MULTIPLAN CPY/PRT DB (2500 USERS)</t>
  </si>
  <si>
    <t>Remote and wireless Print Module (minimum 5 printers - Addl. @ each price)</t>
  </si>
  <si>
    <t>Remote &amp; Wireless Print (min 5 printers)</t>
  </si>
  <si>
    <t>GS-4 Windows Transaction Server - GoPrint</t>
  </si>
  <si>
    <t>GS-4 Win Transaction Server - GoPrint</t>
  </si>
  <si>
    <t>GS-4 Agents (per print server)</t>
  </si>
  <si>
    <t>Concurrent Web Executable Pop-Up - GoPrint (sold in groups of 100)</t>
  </si>
  <si>
    <t>Concur Web Execute Pop-Up (GRPS of 100)</t>
  </si>
  <si>
    <t>PrinterOn Remote and Wireless Print Module - Library Market- First Printer - Hosted - Annual Cost</t>
  </si>
  <si>
    <t>PrinterOn Remote and Wireless Print Module - Library Market- additional cost per printer - Hosted - Annual Cost</t>
  </si>
  <si>
    <t>PrinterOn Remote and Wireless Print Module - Library Market - Annual Subsciption - First Printer at a Customer - beyond the first year.</t>
  </si>
  <si>
    <t>PrinterOn Remote and Wireless Print Module - Library Market - Annual Subsciption - additional printers at a customer - beyond the first year.</t>
  </si>
  <si>
    <t>6030-MMM - Multiplan Matrix Manager, Web Based Multiplan Administration and Reporting Software - 3 client admin/operator seats incl</t>
  </si>
  <si>
    <t>6030-MMM-SR - Multiplan Matrix Manager, add for Scheduled Reporting</t>
  </si>
  <si>
    <t>6030-MMM-C - Multiplan Matrix Manager, add per client admin/operator seat over 3</t>
  </si>
  <si>
    <t>6030-MMM-B- Multiplan Matrix Manager, add for custom Branding</t>
  </si>
  <si>
    <t>Jamex LPT One  </t>
  </si>
  <si>
    <t>Jamex LPT One</t>
  </si>
  <si>
    <t>(A) LPT:One - Building Packages</t>
  </si>
  <si>
    <t>LPT:ONE FIRST BUILDING</t>
  </si>
  <si>
    <t>Model: LPT1-First Building First Building Package for LPT:One. Includes job queue database and administrator interface for one building. Requires at least one Print Release Terminal. (Windows Only)</t>
  </si>
  <si>
    <t>LPT:ONE ADDL BUILDING</t>
  </si>
  <si>
    <t>Model: LPT1-Addl Building Additional building packages for larger installations.</t>
  </si>
  <si>
    <t>(B) LPT:One - Print Release Terminals</t>
  </si>
  <si>
    <t>LPT:ONE PRT 1-24</t>
  </si>
  <si>
    <t>Model:LPT1-PRT Print Release Terminal is the user interface to select and pay for print jobs. (Windows Only) Qty: 1-24</t>
  </si>
  <si>
    <t>LPT:ONE PRT SITE LICENSE</t>
  </si>
  <si>
    <t>Model: LPT1-PRT Print Release Terminal is the user interface to select and pay for print jobs. (Windows Only) Qty: Site License</t>
  </si>
  <si>
    <t>(C) LPT:One - Client Module</t>
  </si>
  <si>
    <t>LPT:One 1-8 Client</t>
  </si>
  <si>
    <t>Module:LPT1-Client One required for any computer that will be tracked by the print management system, including patron or student owned equipment. (Windows or Mac) Qty: 1-8</t>
  </si>
  <si>
    <t>LPT:One 10-17 Client Module (PC)</t>
  </si>
  <si>
    <t>Module:LPT1-Client One required for any computer that will be tracked by the print management system, including patron or student owned equipment. (Windows or Mac) Qty: 10-17</t>
  </si>
  <si>
    <t>LPT:One 20-39 Client Module (PC)</t>
  </si>
  <si>
    <t>Module:LPT1-Client One required for any computer that will be tracked by the print management system, including patron or student owned equipment. (Windows or Mac) Qty: 20-39</t>
  </si>
  <si>
    <t>LPT:One 50-81 Client Module (PC)</t>
  </si>
  <si>
    <t>Module:LPT1-Client One required for any computer that will be tracked by the print management system, including patron or student owned equipment. (Windows or Mac) Qty: 50-81</t>
  </si>
  <si>
    <t>LPT:One 100-160 Client Module (PC)</t>
  </si>
  <si>
    <t>Module:LPT1-Client One required for any computer that will be tracked by the print management system, including patron or student owned equipment. (Windows or Mac) Qty: 100-160</t>
  </si>
  <si>
    <t>(D) LPT:One - Client Vending Interface Module</t>
  </si>
  <si>
    <t>Jamex LPT:One 1 Vending Interface Module</t>
  </si>
  <si>
    <t>1 Vending Interface Module</t>
  </si>
  <si>
    <t>(E) LPT:One - Authentication &amp; Accounting Module</t>
  </si>
  <si>
    <t>LPT: One Authentictn &amp; Acctg Module</t>
  </si>
  <si>
    <t>Module:LPT1-AAM Authentication and accounting module.</t>
  </si>
  <si>
    <t>(F) Maintenance/Warranty</t>
  </si>
  <si>
    <t>2SS-01</t>
  </si>
  <si>
    <t>Model: 2SS-01 Annual software maintenance, support and upgrades. Contact Jamex Customer Service for assistance in identifying quantity (a.k.a. real price) for this item.</t>
  </si>
  <si>
    <t>(G) Professional Services</t>
  </si>
  <si>
    <t>Jamex Software Installation Day 1</t>
  </si>
  <si>
    <t>Model: Install-First Day On-Site Software Installation. Requires T/E Below.</t>
  </si>
  <si>
    <t>Jamex Installation Day 2</t>
  </si>
  <si>
    <t>Model: Install-Addl Day On-Site Software Installation. Requires T/E Below.</t>
  </si>
  <si>
    <t>Jamex Travel &amp; Expenses</t>
  </si>
  <si>
    <t>Model: T/E Per Diem Travel &amp; Expenses</t>
  </si>
  <si>
    <t>REMOTE SOFTWARE INSTALLATION</t>
  </si>
  <si>
    <t>Model: Install-Remote Daily Remote Software Installation.</t>
  </si>
  <si>
    <t>Jamex PC Reservation  </t>
  </si>
  <si>
    <t>Jamex PC Reservation</t>
  </si>
  <si>
    <t>(A) PC Reservation - Building Packages</t>
  </si>
  <si>
    <t>PCRES-FIRST BUILDING</t>
  </si>
  <si>
    <t>Model: PCRES-First Building Includes management console and unlimited remote reservation stations.</t>
  </si>
  <si>
    <t>PCRES-ADDL BUILDING</t>
  </si>
  <si>
    <t>Model: PCRES-Addl Building Additional building packages for larger installations.</t>
  </si>
  <si>
    <t>(B) PC Reservation - Client Modules</t>
  </si>
  <si>
    <t>PCReservation Client Module</t>
  </si>
  <si>
    <t>Model: PCRES-Client One required for any computer that needs to have time management and access control (Windows Only). Qty: 1-8</t>
  </si>
  <si>
    <t>PCReservation Client Module, 10-17</t>
  </si>
  <si>
    <t>Model: PCRES-Client One required for any computer that needs to have time management and access control (Windows Only). Qty: 10-17</t>
  </si>
  <si>
    <t>PCReservation Client Module, 20-39</t>
  </si>
  <si>
    <t>Model: PCRES-Client One required for any computer that needs to have time management and access control (Windows Only). Qty: 20-39</t>
  </si>
  <si>
    <t>PCReservation Client Module, 50-81</t>
  </si>
  <si>
    <t>Model: PCRES-Client One required for any computer that needs to have time management and access control (Windows Only). Qty: 50-81</t>
  </si>
  <si>
    <t>PCReservation Client Module, 100-160</t>
  </si>
  <si>
    <t>Model: PCRES-Client One required for any computer that needs to have time management and access control (Windows Only). Qty: 100-160</t>
  </si>
  <si>
    <t>Jamex Vending Systems  </t>
  </si>
  <si>
    <t>Jamex Vending Systems</t>
  </si>
  <si>
    <t>VK-501</t>
  </si>
  <si>
    <t>Vendor I/F Kit Required to Connect a Jamex Unit to the bizhub C250, C252, C300, C351, C352 and C450.</t>
  </si>
  <si>
    <t>(A) Integrated Vending Units</t>
  </si>
  <si>
    <t>Jamex Multi-Copy, Bill &amp; Coin Unit</t>
  </si>
  <si>
    <t>Model #6557 Accepts coins and bills up to $20, $34 in self-replenishing change capacity. Can be connected to either a PC or a copier.</t>
  </si>
  <si>
    <t>Jamex Multi-copy Coin Only Unit</t>
  </si>
  <si>
    <t>Model #6552 Multi-Copy Only Unit, $34 in self-replenishing change capacity. Can be connected to either a PC or a copier.</t>
  </si>
  <si>
    <t>Jamex Multi-Copy Bill, Coin &amp; Card Unit</t>
  </si>
  <si>
    <t>Model #6557-70 Multi-Copy, Bill, coin &amp; Card Unit, Accepts coins and bills up to $20 and 7001 Stored-Value Cards. $34 in self-replenishing change capacity. Can be connected to either a PC or a copier.</t>
  </si>
  <si>
    <t>Jamex Multi-Copy, Coin &amp; Card Unit</t>
  </si>
  <si>
    <t>Model #6552-70 Multi-Copy, Coin &amp; Card Unit, Accepts coins and 7001 Stored-Value Cards. $34 in self-replenishing change capacity. Can be connected either to a PC or a copier.</t>
  </si>
  <si>
    <t>Jamex Multi-Copy &amp; PC: Coin Only Unit</t>
  </si>
  <si>
    <t>6552-JPC-I/O Same description as above but for a 6552 vend unit.</t>
  </si>
  <si>
    <t>Model: 6557-JPC-I/O Multi-Copy. Bill &amp; Coin Unit, Accepts coins and bills up to $20, $34 in self-replenishing change capacity. This unit connects to both a PC and a copier simultaneously.</t>
  </si>
  <si>
    <t>NetPad Touch</t>
  </si>
  <si>
    <t>NetPad w/ mag</t>
  </si>
  <si>
    <t>Initial Merch Setup</t>
  </si>
  <si>
    <t>Initial Merchant Setup</t>
  </si>
  <si>
    <t>Month Processing Subscription (1K Trans)</t>
  </si>
  <si>
    <t>Month Proces Subscription (Unlimt trans)</t>
  </si>
  <si>
    <t>Additional Credential set for Web Reporting</t>
  </si>
  <si>
    <t>TermActivate aft 1st Merch Setup(1-9)</t>
  </si>
  <si>
    <t>TermActivate aft 1st Merch Setup 10+</t>
  </si>
  <si>
    <t>(B) Mounting Systems for Integrated Vending Systems</t>
  </si>
  <si>
    <t>CS-1</t>
  </si>
  <si>
    <t>Model: CS-1 Support for Front Loading Copiers. Secures front paper trays and supports a multi-copy Integrated Vending System.</t>
  </si>
  <si>
    <t>Free Standing Base</t>
  </si>
  <si>
    <t>Model: 57BASE Free-Standing Base for a multi-copy Integrated Vending System.</t>
  </si>
  <si>
    <t>Wall Mount Bracket</t>
  </si>
  <si>
    <t>Bracket for use with 65xx vend station</t>
  </si>
  <si>
    <t>Pedestal for NetPad Touch</t>
  </si>
  <si>
    <t>(C) Accessories for Integrated Vending Systems</t>
  </si>
  <si>
    <t>MDB Stored Value Card Reader</t>
  </si>
  <si>
    <t>Model: 7800 Sotred value card reader for an existing multi-copy Integrated Vending System.</t>
  </si>
  <si>
    <t>DPU H245 Thermal Printer for printing vend totals</t>
  </si>
  <si>
    <t>Model: 200396 External hand held printer for collecting vending system data.</t>
  </si>
  <si>
    <t>4-Tube UPGRADE (New System Only)</t>
  </si>
  <si>
    <t>Model: 4-TUBE UPGRADE (new system only) Optional four tube coin changer with over $100 in change storage. This part for purchase with new vending systems only.</t>
  </si>
  <si>
    <t>Jamex Receipt Printer</t>
  </si>
  <si>
    <t>Model: 8157 Internal receipt printer for patron receipts and collecting vending system data.</t>
  </si>
  <si>
    <t>Main Board</t>
  </si>
  <si>
    <t>Model: VARIES (main board) Main control board for an integrated vening system and Konica Minolta MFP. This part may only be used when replacing an existing Konica Minolta MFP and continuing to use an existing Jamex vending system.</t>
  </si>
  <si>
    <t>Interface Solution</t>
  </si>
  <si>
    <t>Model: VARIES (interface solution) Interface solution for an integrated vening system and Konica Minolta MFP. This part may only be used when replacing an existing Konica Minolta MFP and continuing to use an existing Jamex vending system.</t>
  </si>
  <si>
    <t>4-TUBE CHANGER (Existing Systems Only)</t>
  </si>
  <si>
    <t>Model: 4-TUBE CHANGER (existing system only) Optional four tube coin changer with over $100 in change storage. This part for purchase for existing vending systems only.</t>
  </si>
  <si>
    <t>(E) Stand-Alone Stored-Value Card Readers</t>
  </si>
  <si>
    <t>Jamex Multi-Copy Stored Value Card Reader</t>
  </si>
  <si>
    <t>Model #7110 Multi-Copy Stored-Value Card Reader. Single price interface only. Available for all monochrome engines.</t>
  </si>
  <si>
    <t>Jamex Enhanced Reader</t>
  </si>
  <si>
    <t>Model: 7112 Multi-Copy Stored-Value Reader. Multiple price interface and "Set Card Value" functionality.</t>
  </si>
  <si>
    <t>Jamex Management Reader</t>
  </si>
  <si>
    <t>Model:7120 Management card reader with terminal interface. Used to manage multiple large card installations.</t>
  </si>
  <si>
    <t>Jamex 7114 JPC Reader-Print Vending Appl</t>
  </si>
  <si>
    <t>Model: 7114 PC Peripheral Stored-Value Card Reader. Used with print release stations or 10mil Software.</t>
  </si>
  <si>
    <t>(F) Stored-Value Card Dispensers and Revalue Stations</t>
  </si>
  <si>
    <t>Jamex Card Dispenser</t>
  </si>
  <si>
    <t>Model: 7210 Self Service Stored-Value Card Dispenser.</t>
  </si>
  <si>
    <t>Jamex Card Dispenser &amp; Revalue Station</t>
  </si>
  <si>
    <t>Model: 7220 Self Service Card Dispenser &amp; Revalue Station.</t>
  </si>
  <si>
    <t>Jamex Card Disp&amp;Revalue Stat w/Rcpt Prt</t>
  </si>
  <si>
    <t>Model # 7225 Card Dispenser &amp; Re-Value Station with 8157 internal receipt printer.</t>
  </si>
  <si>
    <t>Stored Value Cards</t>
  </si>
  <si>
    <t>Model: 7001 Propietary Stored-Value Cards.CR80, 10 mil.</t>
  </si>
  <si>
    <t>PD-7</t>
  </si>
  <si>
    <t>Model: PD-7 Mounting Pedestal for Stand-Alone Stored-Value Card Readers.</t>
  </si>
  <si>
    <t>10MIL-Revalue</t>
  </si>
  <si>
    <t>Model: 10MIL REVALUE PC software used in conjunction with 7114 to add, deduct, and set value on stored-value cards.</t>
  </si>
  <si>
    <t>STORED-VALUE CARDS: 100 PACK</t>
  </si>
  <si>
    <t>Model: 7001 - 100 pack Proprietary Stored-Value Cards. CR80, 10 mil.</t>
  </si>
  <si>
    <t>CLEANING CARDS: 50 PACK</t>
  </si>
  <si>
    <t>Model: 301391 Preventative maintenance cleaning cards for all Stored-Value Card Readers. (50/box)</t>
  </si>
  <si>
    <t>(H) Remote Copy Counter</t>
  </si>
  <si>
    <t>True-Count Remote Digital Copy Counter</t>
  </si>
  <si>
    <t>True-Count 25' extension</t>
  </si>
  <si>
    <t>(I) Engine Accessories</t>
  </si>
  <si>
    <t>ROSETTA FOREIGN INTERFACE</t>
  </si>
  <si>
    <t>Model: Jamex Foreign Interface (Rosetta) Replacement for VK-501. Used for multi-price interface with stand-alone card readers, JPC-I/O integrated vending systems, or other third party controllers.</t>
  </si>
  <si>
    <t>Jamex Extended Warranty</t>
  </si>
  <si>
    <t>Konica Minolta Canvas   Visual Workflow builder software</t>
  </si>
  <si>
    <t>Konica Minolta Canvas</t>
  </si>
  <si>
    <t>Visual Workflow builder software</t>
  </si>
  <si>
    <t>KM CANVAS PRINTGROOVE VALUE PACKAGE</t>
  </si>
  <si>
    <t>KM Canvas - Standard - non transferable license and Printgroove Connector</t>
  </si>
  <si>
    <t>KM CANVAS PRINTGROOVE CONNECTOR</t>
  </si>
  <si>
    <t>Download/Upload workflows to Printgroove Guide</t>
  </si>
  <si>
    <t>LinkCom   by MPI Technologies</t>
  </si>
  <si>
    <t>LinkCom</t>
  </si>
  <si>
    <t>by MPI Technologies</t>
  </si>
  <si>
    <t>LinkCom IV 10/100</t>
  </si>
  <si>
    <t>Multi-Port/External Ethernet Interface for MFP's up to 55PPM.</t>
  </si>
  <si>
    <t>LinkCom IV 10/100+SCS</t>
  </si>
  <si>
    <t>Multi-Port/External Ethernet Interface for MFP's up to 55PPM</t>
  </si>
  <si>
    <t>LinkCom IV 10/100+IPDS+SCS+AS/400 +S/390</t>
  </si>
  <si>
    <t>LinkCom IV 10/100+IPDS+SCS (HS 85)(FC-30)</t>
  </si>
  <si>
    <t>Multi-Port/External Ethernet Interface for MFP's from 56PPM to 85PPM and Full Color Support to 30PPM</t>
  </si>
  <si>
    <t>LinkCom IV 10/100+IPDS+SCS (HS 120)(FC-45)</t>
  </si>
  <si>
    <t>Multi-Port/External Ethernet Interface for MFP's from 86PPM to 120PPM and Full Color Support to 45PPM</t>
  </si>
  <si>
    <t>LinkCom IV 10/100 IPDS (FC 60PPM)</t>
  </si>
  <si>
    <t>AFP Full Color Support on LinkCom III (FC 60PPM)</t>
  </si>
  <si>
    <t>EasyCom 10/100</t>
  </si>
  <si>
    <t>LAN/Single-port</t>
  </si>
  <si>
    <t>LinkCom IV 10/100 + IPDS + SCS FULL Color 16 PPP</t>
  </si>
  <si>
    <t>Multi-Port/External Ethernet Interface for MFP's up to 55 PPM and up to 16 PPM Full Color</t>
  </si>
  <si>
    <t>LinkCom IV 10/100 + SCS with H2N - 3 Sessions</t>
  </si>
  <si>
    <t>Multi-Port/External (Ethernet IN Ethernet OUT) MFP's up to 55 PPM; Outputs 3 (2-Host Networks; 1 Network output)</t>
  </si>
  <si>
    <t>LinkCom IV 10/100 + IPDS with H2N 3 sessions</t>
  </si>
  <si>
    <t>LinkCom III S 10/100</t>
  </si>
  <si>
    <t>One Port External Ethernet Interface for MFP's up to 55PPM.</t>
  </si>
  <si>
    <t>LinkCom III S 10/100 +SCS</t>
  </si>
  <si>
    <t>LinkCom III S +IPDS+SCS+AS/400 +S/390</t>
  </si>
  <si>
    <t>LinkCom III S +IPDS+SCS (HS 85) (FC30)</t>
  </si>
  <si>
    <t>One-Port/External Ethernet Interface for MFP's from 56PPM to 85PPM and up to 30 PPM Full color</t>
  </si>
  <si>
    <t>LinkCom III S +IPDS+SCS (HS 120) (FC45)</t>
  </si>
  <si>
    <t>LinkCom III S +IPDS+SCS (HS 120) (FC45) One-Port/External Ethernet Interface for MFP's from 86PPM to 120PPM and up to 45 PPM Full color</t>
  </si>
  <si>
    <t>LinkCom III 10/100 IPDS (FC 60PPM)</t>
  </si>
  <si>
    <t>LinkCom III 10/100 IPDS (FC 60PPM) AFP Full Color Support on LinkCom IIIS (Full Color 60PPM)</t>
  </si>
  <si>
    <t>LinkCom III S + IPDS + SCS FULL Color 16 PPP</t>
  </si>
  <si>
    <t>One-Port/External Ethernet Interface for MFP's up to 55 PPM and up to 16 PPM Full Color</t>
  </si>
  <si>
    <t>Software Maintenance</t>
  </si>
  <si>
    <t>LinkCom IV 10/100 Annual Maintenance</t>
  </si>
  <si>
    <t>1 Year Annual Software Maintenance</t>
  </si>
  <si>
    <t>LinkCom IV 10/100 + SCS - Annual Maintenance</t>
  </si>
  <si>
    <t>LinkCom IV 10/100 + IPDS</t>
  </si>
  <si>
    <t>LinkCom IV 10/100 + IPDS + SCS + AS/400 + S/390</t>
  </si>
  <si>
    <t>LinkCom lV 10/100 + IPDS +SCS FULL Color 16PPP</t>
  </si>
  <si>
    <t>LinkCom IV 10/100 + SCS with H2N - 3 sessions</t>
  </si>
  <si>
    <t>LinComm IV 10/100 + IPDS with H2N - 3 session</t>
  </si>
  <si>
    <t>LinkCom IV 10/100 + IPDS + SCS (HS 85) (FC 30)</t>
  </si>
  <si>
    <t>LinkCom IV 10/100 + IPDS + SCS + (HS 120)(FC 45)</t>
  </si>
  <si>
    <t>LinkComm IV 10/100 IPDS (FC 60 ppm)</t>
  </si>
  <si>
    <t>LinkCom III S</t>
  </si>
  <si>
    <t>LinkCom lll S + SCS</t>
  </si>
  <si>
    <t>LinkCom lll S + IPDS + SCS + AS/400 + S/390</t>
  </si>
  <si>
    <t>LinkCom lll S + IPDS +SCS FULL Color 16PPP</t>
  </si>
  <si>
    <t>LinkCom III S + IPDS + SCS (HS 85) (FC 30)</t>
  </si>
  <si>
    <t>LinkCom III S + IPDS + SCS + (HS 120)(FC 45)</t>
  </si>
  <si>
    <t>LinkCom III S IPDS +SCS (FC 60 ppm)</t>
  </si>
  <si>
    <t>MicroPress Max 8   MicroPress Max Server. Workflow for up to 12 engines, connectivity not included. Includes 22" LCD Monitor.</t>
  </si>
  <si>
    <t>MicroPress Max 8</t>
  </si>
  <si>
    <t>MicroPress Max Server. Workflow for up to 12 engines, connectivity not included. Includes 22" LCD Monitor.</t>
  </si>
  <si>
    <t>Connectivity Kits</t>
  </si>
  <si>
    <t>Konica Minolta 1050 Connectivity Kit</t>
  </si>
  <si>
    <t>Includes enabler; order one per print device.</t>
  </si>
  <si>
    <t>Konica Minolta bizhub PRO 920 Connectivity Kit</t>
  </si>
  <si>
    <t>Konica Minolta C500 Connectivity Kit for IC-405</t>
  </si>
  <si>
    <t>Certificate of entitlement to one C500 connectivity license. Requires IC-405 controller (20FG) sold separately.</t>
  </si>
  <si>
    <t>C6500/C6501 SERIES CONNECTIVITY KIT</t>
  </si>
  <si>
    <t>Certificate of entitlement to one C6500/C6500P/C6501/C6501P/C5500/C5501 connectivity license. Requires IC-408 controller (A0360Y0) sold separately.</t>
  </si>
  <si>
    <t>OPC-VE</t>
  </si>
  <si>
    <t>Allows users to seamlessly interface between MicroPress and 600-dpi network devices with PCL support (software only)</t>
  </si>
  <si>
    <t>Konica Minolta bizhub PRO 950 Connectivity Kit</t>
  </si>
  <si>
    <t>Konica Minolta bizhub PRO 1200/1200P/1051 Connectivity Kit</t>
  </si>
  <si>
    <t>C6000/C7000 SERIES MP CONNECTIVITY KIT</t>
  </si>
  <si>
    <t>MicroPress connectivity kit for the bizhub PRESS C7000/C6000. Includes the license enabler. Requires the purchase of the IC-413 Controller.</t>
  </si>
  <si>
    <t>MAX 2-YR HARDWARE WARR EXT: YEARS 4&amp;5</t>
  </si>
  <si>
    <t>Max 2 Year Hardware Warranty Extension- Years 4 &amp; 5</t>
  </si>
  <si>
    <t>SCANSTATION 2-YR HRDWR WARR EXT: YRS 4&amp;5</t>
  </si>
  <si>
    <t>ScanStation 2 Year Hardware Warranty Extension - Years 4 &amp; 5</t>
  </si>
  <si>
    <t>Furniture to House the MicroPress</t>
  </si>
  <si>
    <t>Furniture to house the MicroPress</t>
  </si>
  <si>
    <t>Print Option</t>
  </si>
  <si>
    <t>Color Profiler Suite V2.0</t>
  </si>
  <si>
    <t>Color Profiler Suite V2.0 w/ES-1000 (for IC-303/IC-305, IC-412, MP v7.5)</t>
  </si>
  <si>
    <t>Scanning Solutions</t>
  </si>
  <si>
    <t>MICROIMAGER 2.7 STANDALONE</t>
  </si>
  <si>
    <t>MicroImager 2.7 Standalone. Provides ability to manipulate scanned input and define workflows (software plus dongle); Order when wishing to run MicroImager software on a server other than the main MicroPress; Recommended for optimized scanning. SCSI scanner connection to MicroPress is not recommended.</t>
  </si>
  <si>
    <t>SCANSTATION FOR MICROPRESS 8</t>
  </si>
  <si>
    <t>ScanStation for MicroPress 8. Standalone server with MicroImager software and dongle.</t>
  </si>
  <si>
    <t>REMOTE POWER RIP FOR MP8</t>
  </si>
  <si>
    <t>Remote PowerRIP License for MicroPress 8. License for installation of one MicroPress RIP on a non-MicroPress server. Includes MultiRIP utility and dongle.</t>
  </si>
  <si>
    <t>POWER RIP</t>
  </si>
  <si>
    <t>Additional instance of PostScript Interpreter (Software Only). Up to 2 RIPs may be used on a MicroPress Plus. Up to 4 RIPs may be used on a MicroPress Max.</t>
  </si>
  <si>
    <t>1000 MBPS 16-PORT SWITCH</t>
  </si>
  <si>
    <t>A 1000 Mbps Switch is required for more than 2 units on a Production (B&amp;W or Color). It is recommended for 2 or more color devices or 4 or more B&amp;W devices on a Plus; do not order a Switch for units that take a Host Adapter. 30 day limited warranty.</t>
  </si>
  <si>
    <t>SINGLE PORT NIC CARD: PCI: 10/1000 MBPS</t>
  </si>
  <si>
    <t>Single Port NIC Card, PCI, 10/1000 Mbps. For Plus, Max , and Max Enterprise models only: OptiPlex 960, Precision T7400, PowerEdge 1800/2900. Recommended when additional 1GB Ethernet ports are required for connectivity of additional devices. 30 day limited warranty. Each Color device requires a dedicated 1GB Ethernet port.</t>
  </si>
  <si>
    <t>DUAL PORT NIC CARD: PCI: 10/1000 MBPS</t>
  </si>
  <si>
    <t>Dual Port NIC Card, PCI, 10/1000 Mbps. For Plus, Max , and Max Enterprise models only: OptiPlex 960, Precision T7400, PowerEdge 1800/2900. Recommended when additional 1GB Ethernet ports are required for connectivity of additional devices. 30 day limited warranty. Each Color device requires a dedicated 1GB Ethernet port.</t>
  </si>
  <si>
    <t>REMOTE TRUEEDIT: 10 LIC FOR PLUS &amp; MAX</t>
  </si>
  <si>
    <t>Upgrade to 10 Licenses: Client based Graphical User Interface for job and page level make-ready and print options.</t>
  </si>
  <si>
    <t>REMOTE TRUEEDIT: 25 LIC FOR PLUS &amp; MAX</t>
  </si>
  <si>
    <t>Upgrade to 25 Licenses: Client based Graphical User Interface for job and page level make-ready and print options.</t>
  </si>
  <si>
    <t>REMOTE POWER RIP ADD-ON LICENSE</t>
  </si>
  <si>
    <t>License for one additional installation of MicroPress RIP on a non-MicroPress server. Includes MultiRIP utility.</t>
  </si>
  <si>
    <t>DUAL PORT NIC: MP MAX T7500 ONLY</t>
  </si>
  <si>
    <t>Dual Port NIC Card, PCIe, 10/1000 Mbps. For Max models only with Dell Precision T7500 hardware. Recommended when additional 1GB Ethernet ports are required for connectivity of additional devices. 30 day limited warranty. Each Color device requires a dedicated 1GB Ethernet port.</t>
  </si>
  <si>
    <t>MP TIER 2 MAX PHONE SUPPORT 1-YEAR</t>
  </si>
  <si>
    <t>Tier 2* Max Phone Support - 1 year</t>
  </si>
  <si>
    <t>MP TIER 2 MAX PHONE SUPPORT 2-YEARS</t>
  </si>
  <si>
    <t>Tier 2* Max Phone Support - 2 years</t>
  </si>
  <si>
    <t>MP TIER 2 MAX PHONE SUPPORT 3-YEARS</t>
  </si>
  <si>
    <t>Tier 2* Max Phone Support - 3 years</t>
  </si>
  <si>
    <t>MP TIER 2 MAX PHONE SUPPORT 4-YEARS</t>
  </si>
  <si>
    <t>Tier 2* Max Phone Support - 4 years</t>
  </si>
  <si>
    <t>MP TIER 2 MAX PHONE SUPPORT 5-YEARS</t>
  </si>
  <si>
    <t>Tier 2* Max Phone Support - 5 years</t>
  </si>
  <si>
    <t>MICROPRESS LICENSE ADMIN FEE</t>
  </si>
  <si>
    <t>MicroPress License Admin Fee</t>
  </si>
  <si>
    <t>MicroPress Max 8 Enterprise Server   Micropress Max Enterprise Server. Windows Server platform. Workflow for up to 12 engines. All engine connectivity is optional. Includes 22" LCD Monitor.</t>
  </si>
  <si>
    <t>MicroPress Max 8 Enterprise Server</t>
  </si>
  <si>
    <t>Micropress Max Enterprise Server. Windows Server platform. Workflow for up to 12 engines. All engine connectivity is optional. Includes 22" LCD Monitor.</t>
  </si>
  <si>
    <t>MAX ENTRPRS 2-YR HRDWR WARR EXT: YRS 4&amp;5</t>
  </si>
  <si>
    <t>Max Enterprise 2 Year Hardware Warranty Extension - Years 4 &amp; 5</t>
  </si>
  <si>
    <t>MicroPress Plus 8   MicroPress Plus Server. Workflow for up to 4 engines, connectivity not included. Includes 22" LCD Monitor.</t>
  </si>
  <si>
    <t>MicroPress Plus 8</t>
  </si>
  <si>
    <t>MicroPress Plus Server. Workflow for up to 4 engines, connectivity not included. Includes 22" LCD Monitor.</t>
  </si>
  <si>
    <t>PLUS 2-YR HARDWARE WARR EXT: YEARS 4&amp;5</t>
  </si>
  <si>
    <t>Plus 2 Year Hardware Warranty Extension- Years 4 &amp; 5</t>
  </si>
  <si>
    <t>MICROIMAGER 2.7 FOR SOLO/PLUS</t>
  </si>
  <si>
    <t>MicroImager 2.7 for Solo/Plus. Provides ability to manipulate scanned input and define workflows (software only); SCSI Scanner connection to MicroPress is not recommended.</t>
  </si>
  <si>
    <t>TRUEPCL FOR SOLO/PLUS</t>
  </si>
  <si>
    <t>PCL page description interpreter (Software)</t>
  </si>
  <si>
    <t>OCR FOR MP SOLO/PLUS</t>
  </si>
  <si>
    <t>Allows user to modify document contents and create editable files regardless of source (software only)</t>
  </si>
  <si>
    <t>TRUESCRIPT FOR SOLO &amp; PLUS</t>
  </si>
  <si>
    <t>Allows user to define automated workflows through the use of Visual Basic scripts; Same as product previously known as Job Scripting (software only)</t>
  </si>
  <si>
    <t>MP TIER 2 PLUS PHONE SUPPORT 1-YEAR</t>
  </si>
  <si>
    <t>Tier 2* Plus Phone Support - 1 year</t>
  </si>
  <si>
    <t>MP TIER 2 PLUS PHONE SUPPORT 2-YEARS</t>
  </si>
  <si>
    <t>Tier 2* Plus Phone Support - 2 years</t>
  </si>
  <si>
    <t>MP TIER 2 PLUS PHONE SUPPORT 3-YEARS</t>
  </si>
  <si>
    <t>Tier 2* Plus Phone Support - 3 years</t>
  </si>
  <si>
    <t>MP TIER 2 PLUS PHONE SUPPORT 4-YEARS</t>
  </si>
  <si>
    <t>Tier 2* Plus Phone Support - 4 years</t>
  </si>
  <si>
    <t>MP TIER 2 PLUS PHONE SUPPORT 5-YEARS</t>
  </si>
  <si>
    <t>Tier 2* Plus Phone Support - 5 years</t>
  </si>
  <si>
    <t>MicroPress Solo 8  </t>
  </si>
  <si>
    <t>MicroPress Solo 8</t>
  </si>
  <si>
    <t>MP SOLO FOR PRO C6500/C6501/C5500/C5501</t>
  </si>
  <si>
    <t>MicroPress Solo for bizhub PRO C6500, C6501, C5500 and C5501. Workflow for single engine connectivity. Requires purchase of IC-408 controller and interface kits. Includes 22" LCD Monitor.</t>
  </si>
  <si>
    <t>MP SOLO FOR PRO C500</t>
  </si>
  <si>
    <t>MicroPress Solo for bizhub PRO C500. Workflow for single engine connectivity. Requires purchase of IC-405 controller and interface kits. Includes 22" LCD Monitor.</t>
  </si>
  <si>
    <t>MP SOLO FOR PRO 920</t>
  </si>
  <si>
    <t>MicroPress Solo for bizhub PRO 920. Workflow for single engine connectivity. Includes 22" LCD Monitor.</t>
  </si>
  <si>
    <t>MP SOLO FOR PRO 1050/1050E</t>
  </si>
  <si>
    <t>MicroPress Solo for bizhub PRO 1050 and 1050e. Workflow for single engine connectivity. Includes 22" LCD Monitor.</t>
  </si>
  <si>
    <t>MP SOLO FOR PRO 950</t>
  </si>
  <si>
    <t>MicroPress Solo for bizhub PRO 950. Workflow for single engine connectivity. Includes 22" LCD Monitor.</t>
  </si>
  <si>
    <t>MP SOLO FOR PRO 1200/1200P/1051</t>
  </si>
  <si>
    <t>MicroPress Solo for bizhub PRO 1200/1200P/1051. Workflow for single engine connectivity. Includes 22" LCD Monitor.</t>
  </si>
  <si>
    <t>MP SOLO FOR C6000/C7000</t>
  </si>
  <si>
    <t>MicroPress Solo for bizhub PRESS C7000/C6000. Workflow for single engine connectivity. Requires the purchase of the IC-413 Controller.</t>
  </si>
  <si>
    <t>SOLO 2-YR HARDWARE WARR EXT: YEARS 4&amp;5</t>
  </si>
  <si>
    <t>Solo 2 Year Hardware Warranty Extension- Years 4 &amp; 5</t>
  </si>
  <si>
    <t>MICROSPOOL FOR SOLO</t>
  </si>
  <si>
    <t>MicroSpool for Solo. Open Prepress Interface spooler.</t>
  </si>
  <si>
    <t>REMOTE TRUEEDIT: 3 LICENSE FOR SOLO</t>
  </si>
  <si>
    <t>Remote TrueEdit- 3 License for Solo. Client based Graphical User Interface for job and page level make-ready and print options.</t>
  </si>
  <si>
    <t>REMOTE TRUEEDIT: 10 LICENSE FOR SOLO</t>
  </si>
  <si>
    <t>Remote TrueEdit- 10 License for Solo. Client based Graphical User Interface for job and page level make-ready and print options.</t>
  </si>
  <si>
    <t>REMOTE TRUEEDIT: 25 LICENSE FOR SOLO</t>
  </si>
  <si>
    <t>Remote TrueEdit- 25 License for Solo. Client based Graphical User Interface for job and page level make-ready and print options.</t>
  </si>
  <si>
    <t>MP TIER 2 SOLO PHONE SUPPORT 1-YEAR</t>
  </si>
  <si>
    <t>Tier 2* Solo Phone Support - 1 year</t>
  </si>
  <si>
    <t>MP TIER 2 SOLO PHONE SUPPORT 2-YEARS</t>
  </si>
  <si>
    <t>Tier 2* Solo Phone Support - 2 years</t>
  </si>
  <si>
    <t>MP TIER 2 SOLO PHONE SUPPORT 3-YEARS</t>
  </si>
  <si>
    <t>Tier 2* Solo Phone Support - 3 years</t>
  </si>
  <si>
    <t>MP TIER 2 SOLO PHONE SUPPORT 4-YEARS</t>
  </si>
  <si>
    <t>Tier 2* Solo Phone Support - 4 years</t>
  </si>
  <si>
    <t>MP TIER 2 SOLO PHONE SUPPORT 5-YEARS</t>
  </si>
  <si>
    <t>Tier 2* Solo Phone Support - 5 years</t>
  </si>
  <si>
    <t>MICROPRESS SOLO TO PLUS SERVER UPGRADE</t>
  </si>
  <si>
    <t>MicroPress Solo to Plus Server Upgrade. Includes license enabler. Order one per server. Hardware requirement: Dell OptiPlex 960. Third party hardware is not supported by EFI.</t>
  </si>
  <si>
    <t>Nuance  </t>
  </si>
  <si>
    <t>Nuance</t>
  </si>
  <si>
    <t>Omnipage</t>
  </si>
  <si>
    <t>OmniPage Professional 18, Single User License</t>
  </si>
  <si>
    <t>Omnipage Pro Macintosh</t>
  </si>
  <si>
    <t>Nuance Omnipage Pro X V10.0 MAC</t>
  </si>
  <si>
    <t>MAC, Single User License</t>
  </si>
  <si>
    <t>MAC, 5 User License</t>
  </si>
  <si>
    <t>Upgrade, MAC, Single User License</t>
  </si>
  <si>
    <t>Nuance Omnipage Pro X V10.0 MAC Upgrade</t>
  </si>
  <si>
    <t>Upgrade 5 User License</t>
  </si>
  <si>
    <t>PaperPort</t>
  </si>
  <si>
    <t>Nuance PaperPort Pro Office V14</t>
  </si>
  <si>
    <t>PaperPort Professional 14, Single User</t>
  </si>
  <si>
    <t>PDF Converter Professional</t>
  </si>
  <si>
    <t>PDF Converter Professional 7.0 Single User</t>
  </si>
  <si>
    <t>PDF Converter Professional 7.0 5 User</t>
  </si>
  <si>
    <t>PDF Converter Professional 7.0 Enterprise 5 User</t>
  </si>
  <si>
    <t>PDF Converter Professional 7.0 Enterprise 25 User</t>
  </si>
  <si>
    <t>PDF Converter Professional 7.0 Enterprise 100 User</t>
  </si>
  <si>
    <t>PDF Converter Professional 7.0 Enterprise 250 User</t>
  </si>
  <si>
    <t>Open Text FaxPress Enterprise Edition  </t>
  </si>
  <si>
    <t>Open Text FaxPress Enterprise Edition</t>
  </si>
  <si>
    <t>OT ENTERPRISE RDNT FRACT T1 8 CHANNEL</t>
  </si>
  <si>
    <t>FaxPress Enterprise Redundant Fractional T1 8 Channel</t>
  </si>
  <si>
    <t>OT ENTERPRISE RDNT FRACT T1 16 CHANNEL</t>
  </si>
  <si>
    <t>FaxPress Enterprise Redundant Dual Fractional T1 16 Channel</t>
  </si>
  <si>
    <t>OT ENTERPRISE REDUNDANT T1 24 CHANNELS</t>
  </si>
  <si>
    <t>FaxPress Enterprise Fax Appliance Redundant T1 24 Channels</t>
  </si>
  <si>
    <t>OT ENTERPRISE REDUNDANT T1 48 CHANNELS</t>
  </si>
  <si>
    <t>FaxPress Enterprise Fax Appliance Redundant T1 48 Channels</t>
  </si>
  <si>
    <t>Hardware Options</t>
  </si>
  <si>
    <t>OT ENTERPRISE FAX APPLIANCE T1 UPGRADE</t>
  </si>
  <si>
    <t>Enterprise Fax Appliance T1 Upgrade</t>
  </si>
  <si>
    <t>Maintenance Options</t>
  </si>
  <si>
    <t>OT ENT RDN 8CH: ADV RPL SPT NEW-1 YR</t>
  </si>
  <si>
    <t>Advanced Replacement Support New - Enterprise Fax Appliance Redundant 8 Channel - 1 Year</t>
  </si>
  <si>
    <t>OT ENT RDN T1 16: ADV RPL SPT REN-1 YR</t>
  </si>
  <si>
    <t>Advanced Replacement Support New-Enterprise Fax Appliance Redundant Dual Fractional T1 16 Channel - 1 Year</t>
  </si>
  <si>
    <t>OT ENT RDN 24CH: ADV RPL SPT NEW-1 YR</t>
  </si>
  <si>
    <t>Advanced Replacement Support New - Enterprise Fax Appliance Redundant 24 Channel - 1 Year</t>
  </si>
  <si>
    <t>OT ENT RDN 48CH: ADV RPL SPT NEW-1 YR</t>
  </si>
  <si>
    <t>Advanced Replacement Support New - Enterprise Fax Appliance Redundant 48 Channel - 1 Year</t>
  </si>
  <si>
    <t>Maintenance Renewals</t>
  </si>
  <si>
    <t>OT ENT RDN 8CH: ADV RPL SPT REN-1 YR</t>
  </si>
  <si>
    <t>Advanced Replacement Support Renewal - Enterprise Fax Appliance Redundant 8 Channel - 1 Year</t>
  </si>
  <si>
    <t>OT ENT RDN 8CH: STD SPT REN-1 YR</t>
  </si>
  <si>
    <t>Standard Support - Enterprise Fax Appliance Redundant 8 Channel - 1 Year</t>
  </si>
  <si>
    <t>Advanced Replacement Support Renewal - Enterprise Fax Appliance Redundant Dual Fractional T1 16 Channel - 1 Year</t>
  </si>
  <si>
    <t>OT ENT RDN T1 16: STD SPT REN-1 YR</t>
  </si>
  <si>
    <t>Standard Support - Enterprise Fax Appliance Redundant Dual Fractional T1 16 Channel - 1 Year</t>
  </si>
  <si>
    <t>OT ENT RDN 24CH: ADV RPL SPT REN-1 YR</t>
  </si>
  <si>
    <t>Advanced Replacement Support Renewal - Enterprise Fax Appliance Redundant 24 Channel - 1 Year</t>
  </si>
  <si>
    <t>OT ENT RDN 72CH: STD SUPT REN-1 YR</t>
  </si>
  <si>
    <t>Standard Support - Enterprise Fax Appliance Redundant 24 Channel - 1 Year</t>
  </si>
  <si>
    <t>OT ENT RDN 48CH: ADV RPL SPT REN-1 YR</t>
  </si>
  <si>
    <t>Advanced Replacement Support Renewal - Enterprise Fax Appliance Redundant 48 Channel - 1 Year</t>
  </si>
  <si>
    <t>OT ENT RDN 48CH: STD SUPT REN-1 YR</t>
  </si>
  <si>
    <t>Standard Support - Enterprise Fax Appliance Redundant 48 Channel - 1 Year</t>
  </si>
  <si>
    <t>OT ADD-ON: ACTIVE DIRECTORY INTEGRATION</t>
  </si>
  <si>
    <t>Add On Modules (Active Directory Integration) Configure Fax Appliance to synchronize with Active Directory for creating and managing user accounts.</t>
  </si>
  <si>
    <t>OT AFTER HOURS REMOTE INSTALL SERVICES</t>
  </si>
  <si>
    <t>Add On Modules (After Hours). Services after normal business hours (after 5:00 PM local time on a weekday, or on a Saturday or Sunday).</t>
  </si>
  <si>
    <t>OT FAXPRESS: BASE INSTALLATION</t>
  </si>
  <si>
    <t>Open Text Fax Appliance Essentials – Base Installation</t>
  </si>
  <si>
    <t>OT ADD-ON: EMAIL INTEGRATION</t>
  </si>
  <si>
    <t>Add On Modules (Email Integration). Configure Fax Appliance to integrate either with existing Exchange e-mail server or SMTP Mail Server.</t>
  </si>
  <si>
    <t>OT ADD-ON: MFP INTEGRATION</t>
  </si>
  <si>
    <t>Add On Modules (MFP Module). Configure Fax Appliance MFP Module for connection to one brand of supported MFP device.</t>
  </si>
  <si>
    <t>OT ADD-ON: FAX ARCHIVING</t>
  </si>
  <si>
    <t>Add On Modules (Fax Archiving). Configure Fax Appliance to archive faxes off appliance to a shared network location and connect to a Microsoft Access or Microsoft SQL database to store fax metadata.</t>
  </si>
  <si>
    <t>OT ADD-ON: DROP DIRECTORY/DROP FAX</t>
  </si>
  <si>
    <t>Add On Modules (Drop Directory/Drop Fax). Configure Fax Appliance to monitor a Windows shared folder and automate outbound faxing via a text control file.</t>
  </si>
  <si>
    <t>OT FAX UNIT/HW SHIPPING FEE: GROUND</t>
  </si>
  <si>
    <t>OT FAX UNIT/HW SHIPPING FEE: OVERNIGHT</t>
  </si>
  <si>
    <t>Shipping Fee for Fax Unit/Hardware: Overnight</t>
  </si>
  <si>
    <t>OT HW ACCY/SW SHIPPING FEE: GROUND</t>
  </si>
  <si>
    <t>Shipping Fee for Hardware Accessory/Software: Ground</t>
  </si>
  <si>
    <t>OT HW ACCY/SW SHIPPING FEE: OVERNIGHT</t>
  </si>
  <si>
    <t>Shipping Fee for Hardware Accessory/Software: Overnight</t>
  </si>
  <si>
    <t>Open Text FaxPress Premier Edition  </t>
  </si>
  <si>
    <t>Open Text FaxPress Premier Edition</t>
  </si>
  <si>
    <t>OT PREMIER 4L: 4 ANALOG PHONE LINES</t>
  </si>
  <si>
    <t>Premier Fax Appliance 4L - North American Edition</t>
  </si>
  <si>
    <t>OT PREMIER 8L: 8 ANALOG PHONE LINES</t>
  </si>
  <si>
    <t>Premier Fax Appliance 8L - North American Edition</t>
  </si>
  <si>
    <t>OT PREMIER 12L: 12 ANALOG PHONE LINES</t>
  </si>
  <si>
    <t>Premier Fax Appliance 12L - North American Edition</t>
  </si>
  <si>
    <t>OT PREMIER 16L: 16 ANALOG PHONE LINES</t>
  </si>
  <si>
    <t>Premier Fax Appliance 16L - North American Edition</t>
  </si>
  <si>
    <t>OT PREMIER ANALOG 8-LINE UPGRADE KIT</t>
  </si>
  <si>
    <t>Premier Fax Appliance Analog 4-line Upgrade Kit</t>
  </si>
  <si>
    <t>OT PREMIER ANALOG 4-LINE UPGRADE KIT</t>
  </si>
  <si>
    <t>Premier Fax Appliance Analog 8-line Upgrade Kit</t>
  </si>
  <si>
    <t>OT PREMIER REDUNDANT UPGRADE KIT</t>
  </si>
  <si>
    <t>Open Text Fax Appliance FaxPress Premier Edition Redundant Upgrade Kit</t>
  </si>
  <si>
    <t>OT PREMIER 4L: ADV RPL SPT NEW-1 YR</t>
  </si>
  <si>
    <t>Advanced Replacement Support New - Premier Fax Appliance 4L - North American Edition - 1 Year</t>
  </si>
  <si>
    <t>OT PREMIER 8L: ADV RPL SPT NEW-1 YR</t>
  </si>
  <si>
    <t>Advanced Replacement Support New - Premier Fax Appliance 8L - North American Edition - 1 Year</t>
  </si>
  <si>
    <t>OT PREMIER 16L: ADV REPL SUPT NEW-1 YR</t>
  </si>
  <si>
    <t>Advanced Replacement Support New - Premier Fax Appliance 16L - North American Edition - 1 Year</t>
  </si>
  <si>
    <t>OT PREMIER 4L: ADV RPL SPT REN-1 YR</t>
  </si>
  <si>
    <t>Advanced Replacement Support Renewal - Premier Fax Appliance 4L - North American Edition - 1 Year</t>
  </si>
  <si>
    <t>OT PREMIER 4L: STD SPT REN-1 YR</t>
  </si>
  <si>
    <t>Standard Support - Premier Fax Appliance 4L - North American Edition - 1 Year</t>
  </si>
  <si>
    <t>OT PREMIER 8L: ADV RPL SPT REN-1 YR</t>
  </si>
  <si>
    <t>Advanced Replacement Support Renewal - Premier Fax Appliance 8L - North American Edition - 1 Year</t>
  </si>
  <si>
    <t>OT PREMIER 8L: STD SPT REN-1 YR</t>
  </si>
  <si>
    <t>Standard Support - Premier Fax Appliance 8L - North American Edition - 1 Year</t>
  </si>
  <si>
    <t>OT PREMIER 12L: ADV RPL SPT REN-1 YR</t>
  </si>
  <si>
    <t>Advanced Replacement Support Renewal - Premier Fax Appliance 12L - North American Edition- 1 Year</t>
  </si>
  <si>
    <t>OT PREMIER 12L: STD SPT REN-1 YR</t>
  </si>
  <si>
    <t>Standard Support - Premier Fax Appliance 12L - North American Edition-1 Year</t>
  </si>
  <si>
    <t>OT PREMIER 16L: ADV RPL SPT REN-1 YR</t>
  </si>
  <si>
    <t>Advanced Replacement Support Renewal - Premier Fax Appliance 16L - North American Edition - 1 Year</t>
  </si>
  <si>
    <t>OT PREMIER 16L: STD SPT REN-1 YR</t>
  </si>
  <si>
    <t>Standard Support - Premier Fax Appliance 16L - North American Edition - 1 Year</t>
  </si>
  <si>
    <t>OpenText Fax Appliance  </t>
  </si>
  <si>
    <t>OpenText Fax Appliance</t>
  </si>
  <si>
    <t>FAX APPLIANCE A102 2-LINE</t>
  </si>
  <si>
    <t>Fax Appliance, Analog Edition A102 (2 Line)</t>
  </si>
  <si>
    <t>FAX APPLIANCE A104 4-LINE</t>
  </si>
  <si>
    <t>Fax Appliance, Analog Edition A104 (4 Line)</t>
  </si>
  <si>
    <t>Hardware Maintenance</t>
  </si>
  <si>
    <t>FAX APPLNC A102 2LN - STD SUPT: NEW</t>
  </si>
  <si>
    <t>Fax Appliance, Analog Edition A102 (2 Line) - Standard Support - New System</t>
  </si>
  <si>
    <t>FAX APPLNC A104 4LN - STD SUPT: NEW SALE</t>
  </si>
  <si>
    <t>Fax Appliance, Analog Edition A104 (4 Line) - Standard Support - New Sale</t>
  </si>
  <si>
    <t>FAX APPLNC A102 2LN - ADV REPL SUPT</t>
  </si>
  <si>
    <t>Fax Appliance, Analog Edition A102 (2 Line) - Advanced Replacement Support</t>
  </si>
  <si>
    <t>FAX APPLNC A104 4LN - ADV REPL SUPT</t>
  </si>
  <si>
    <t>Fax Appliance, Analog Edition A104 (4 Line) - Advanced Replacement Support</t>
  </si>
  <si>
    <t>FAX APPLNC A102 2LN - ADV REPL SUPT REN</t>
  </si>
  <si>
    <t>Fax Appliance, Analog Edition A102 (2 Line) - Advanced Replacement Support Renewal</t>
  </si>
  <si>
    <t>FAX APPLNC A102 2LN - STD SUPT - REN</t>
  </si>
  <si>
    <t>Fax Appliance, Analog Edition A102 (2 Line) - Standard Support - Renewal</t>
  </si>
  <si>
    <t>FAX APPLNC A104 4LN - ADV REPL SUPT REN</t>
  </si>
  <si>
    <t>Fax Appliance, Analog Edition A104 (4 Line) - Advanced Replacement Support Renewal</t>
  </si>
  <si>
    <t>FAX APPLNC A104 4LN - STD SUPT - REN</t>
  </si>
  <si>
    <t>Fax Appliance, Analog Edition A104 (4 Line) - Standard Support - Renewal</t>
  </si>
  <si>
    <t>OPENTEXT FAX APPLIANCE ESSENTIALS</t>
  </si>
  <si>
    <t>OpenText Fax Appliance Essentials</t>
  </si>
  <si>
    <t>OpenText FaxPress Desktop Edition  </t>
  </si>
  <si>
    <t>OT DESKTOP 2L: ADV RPL SPT REN-1 YR</t>
  </si>
  <si>
    <t>Desktop Fax Appliance 2L Advanced Replacement Support Renewal - 1 Year</t>
  </si>
  <si>
    <t>OT DESKTOP 4L: ADV RPL SPT REN-1 YR</t>
  </si>
  <si>
    <t>Desktop Fax Appliance 4L Advanced Replacement Support Renewal - 1 Year</t>
  </si>
  <si>
    <t>OT DESKTOP 2L: STD SPT REN-1 YR</t>
  </si>
  <si>
    <t>Standard Support Renewal/Reconnect for Fax Appliance, Desktop Edition 2L - 1 Year</t>
  </si>
  <si>
    <t>OT DESKTOP 4L: STD SPT REN-1 YR</t>
  </si>
  <si>
    <t>Standard Support Renewal/Reconnect for Fax Appliance, Desktop Edition 4L - 1 Year</t>
  </si>
  <si>
    <t>OpenText RightFax System Advanced Items   OpenText RightFax System: Advanced Items</t>
  </si>
  <si>
    <t>OpenText RightFax System Advanced Items</t>
  </si>
  <si>
    <t>OpenText RightFax System: Advanced Items</t>
  </si>
  <si>
    <t>00 RightFax Server</t>
  </si>
  <si>
    <t>RF ENT SVR TO RF ENT STE</t>
  </si>
  <si>
    <t>RightFax Enterprise Server to RightFax Enterprise Suite</t>
  </si>
  <si>
    <t>RF ENT SVR TO RF ENT INTG</t>
  </si>
  <si>
    <t>RightFax Enterprise Server to RightFax Enterprise Integration</t>
  </si>
  <si>
    <t>RF ENT STE TO RF ENT INTG</t>
  </si>
  <si>
    <t>RightFax Enterprise Suite to RightFax Enterprise Integration</t>
  </si>
  <si>
    <t>RF 10.5 ENTERPRISE INTG SVR</t>
  </si>
  <si>
    <t>RightFax 10.5 Enterprise Integration Server</t>
  </si>
  <si>
    <t>RF 10.5 ENTERPRISE SUITE</t>
  </si>
  <si>
    <t>RightFax 10.5 Enterprise Suite</t>
  </si>
  <si>
    <t>01 RightFax Server Redundant - Advanced</t>
  </si>
  <si>
    <t>RF BUS SVR TO RF ENT SVR - RDN</t>
  </si>
  <si>
    <t>RightFax Business Server to RightFax Enterprise Server - Redundant</t>
  </si>
  <si>
    <t>RF BUS SVR TO RF ENT STE - RDN</t>
  </si>
  <si>
    <t>RightFax Business Server to RightFax Enterprise Suite - Redundant</t>
  </si>
  <si>
    <t>RF BUS SVR TO RF ENT INTG SVR - RDN</t>
  </si>
  <si>
    <t>RightFax Business Server to RightFax Enterprise Integration Server - Redundant</t>
  </si>
  <si>
    <t>RF 10.5 BUSINESS SVR - RDN</t>
  </si>
  <si>
    <t>RightFax 10.5 Business Server - Redundant</t>
  </si>
  <si>
    <t>RF 10.5 ENTERPRISE INTG SVR - RDN</t>
  </si>
  <si>
    <t>RightFax 10.5 Enterprise Integration Server - Redundant</t>
  </si>
  <si>
    <t>RF 10.5 ENTERPRISE SVR - RDN</t>
  </si>
  <si>
    <t>RightFax 10.5 Enterprise Server - Redundant</t>
  </si>
  <si>
    <t>RF 10.5 ENTERPRISE SUITE - RDN</t>
  </si>
  <si>
    <t>RightFax 10.5 Enterprise Suite - Redundant</t>
  </si>
  <si>
    <t>02 RightFax Server Modules - Advanced</t>
  </si>
  <si>
    <t>RF INTEGRATION MODULE</t>
  </si>
  <si>
    <t>RightFax Integration Module</t>
  </si>
  <si>
    <t>RF CONNECTOR FOR SAP</t>
  </si>
  <si>
    <t>RightFax Connector for SAP</t>
  </si>
  <si>
    <t>RF BUSINESS INTEGRATION MODULE</t>
  </si>
  <si>
    <t>RightFax Business Integration Module</t>
  </si>
  <si>
    <t>RF SHARED SERVICES MODULE</t>
  </si>
  <si>
    <t>RightFax Shared Services Module</t>
  </si>
  <si>
    <t>RF XML GENERATOR MODULE</t>
  </si>
  <si>
    <t>RightFax XML Generator Module</t>
  </si>
  <si>
    <t>RF PDF MOD &amp; SEARCH PDF MODULE</t>
  </si>
  <si>
    <t>RightFax PDF Module and Searchable PDF Module</t>
  </si>
  <si>
    <t>RF SMTP CONNECTOR FOR MFPS: 10-49 MFPS</t>
  </si>
  <si>
    <t>RightFax SMTP Connector for MFPs, 1-9 MFPs</t>
  </si>
  <si>
    <t>RF SMTP CONNECTOR FOR MFPS: 1-9 MFPS</t>
  </si>
  <si>
    <t>RightFax SMTP Connector for MFPs, 10-49 MFPs</t>
  </si>
  <si>
    <t>RF SMTP CONNECTOR FOR MFPS: 500+ MFPS</t>
  </si>
  <si>
    <t>RightFax SMTP Connector for MFPs, 50-499 MFPs</t>
  </si>
  <si>
    <t>RF SMTP CONNECTOR FOR MFPS: 50-499 MFPS</t>
  </si>
  <si>
    <t>RightFax SMTP Connector for MFPs, 500+ MFPs</t>
  </si>
  <si>
    <t>RF FILENET CONN</t>
  </si>
  <si>
    <t>RightFax FileNet Connector</t>
  </si>
  <si>
    <t>RF SEARCHABLE PDF MDL</t>
  </si>
  <si>
    <t>RightFax Searchable PDF Module</t>
  </si>
  <si>
    <t>RF BAR CODE ROUTING MDL</t>
  </si>
  <si>
    <t>RightFax Bar Code Routing Module</t>
  </si>
  <si>
    <t>RF EDOCS CONN</t>
  </si>
  <si>
    <t>RightFax eDocs Connector</t>
  </si>
  <si>
    <t>FILENET FAX SVR MIGRATION PROGRAM</t>
  </si>
  <si>
    <t>FileNet Fax Server Migration Program</t>
  </si>
  <si>
    <t>RF SECUREDOCS MDL</t>
  </si>
  <si>
    <t>RightFax SecureDocs Module</t>
  </si>
  <si>
    <t>03 RightFax Server Modules Redundant - Advanced</t>
  </si>
  <si>
    <t>OT KM RF CONN: REDUNDANT</t>
  </si>
  <si>
    <t>RightFax Connector for KM MFPs-Redundant</t>
  </si>
  <si>
    <t>ADDL DOC DELIVERY CHANNEL: RDNT</t>
  </si>
  <si>
    <t>Additional Document Delivery Channel - Redundant</t>
  </si>
  <si>
    <t>RF CONNECTOR FOR LOTUS NOTES: RDNT</t>
  </si>
  <si>
    <t>RightFax Connector for Lotus Notes - Redundant</t>
  </si>
  <si>
    <t>RF CONNECTOR FOR MS EXCHANGE: RDNT</t>
  </si>
  <si>
    <t>RightFax Connector for Microsoft Exchange - Redundant</t>
  </si>
  <si>
    <t>RF PDF MODULE: RDNT</t>
  </si>
  <si>
    <t>RightFax PDF Module - Redundant</t>
  </si>
  <si>
    <t>RF WEB ACCESS MODULE: RDNT</t>
  </si>
  <si>
    <t>RightFax Web Access Module - Redundant</t>
  </si>
  <si>
    <t>RF INTEGRATION MODULE: RDNT</t>
  </si>
  <si>
    <t>RightFax Integration Module - Redundant</t>
  </si>
  <si>
    <t>RF CONNECTOR FOR SAP: RDNT</t>
  </si>
  <si>
    <t>RightFax Connector for SAP - Redundant</t>
  </si>
  <si>
    <t>RF BUSINESS INTGR MODULE: RDNT</t>
  </si>
  <si>
    <t>RightFax Business Integration Module - Redundant</t>
  </si>
  <si>
    <t>RF SHARED SERVICES MODULE: RDNT</t>
  </si>
  <si>
    <t>RightFax Shared Services Module - Redundant</t>
  </si>
  <si>
    <t>RF XML GENERATOR: RDNT</t>
  </si>
  <si>
    <t>RightFax XML Generator - Redundant</t>
  </si>
  <si>
    <t>RF ADDL DOC DLVR CH: FOIP ENABLED RDNT</t>
  </si>
  <si>
    <t>RightFax Additional Document Delivery Channel - FoIP Enabled - Redundant</t>
  </si>
  <si>
    <t>FOIP ENABLE: EXIST RF DOC DLVR CH: RDNT</t>
  </si>
  <si>
    <t>FoIP Enable an Existing RightFax Document Delivery Channel - Redundant</t>
  </si>
  <si>
    <t>RF PDF MOD &amp; SEARCH PDF MODE: RDNT</t>
  </si>
  <si>
    <t>RightFax PDF Module and Searchable PDF Module - Redundant</t>
  </si>
  <si>
    <t>RF SMTP CONNECTOR FOR MFPS: RDNT</t>
  </si>
  <si>
    <t>RightFax SMTP Connector for MFPs, Redundant Edition</t>
  </si>
  <si>
    <t>RF FILENET CONN - RDN</t>
  </si>
  <si>
    <t>RightFax FileNet Connector - Redundant</t>
  </si>
  <si>
    <t>RF SEARCHABLE PDF MDL - RDN</t>
  </si>
  <si>
    <t>RightFax Searchable PDF Module - Redundant</t>
  </si>
  <si>
    <t>RF BAR CODE ROUTING MDL - RDN</t>
  </si>
  <si>
    <t>RightFax Bar Code Routing Module - Redundant</t>
  </si>
  <si>
    <t>RF EDOCS CONN - RDN</t>
  </si>
  <si>
    <t>RightFax eDocs Connector - Redundant</t>
  </si>
  <si>
    <t>RF SECUREDOCS MDL - RDN</t>
  </si>
  <si>
    <t>RightFax SecureDocs Module - Redundant</t>
  </si>
  <si>
    <t>04 RightFax Server Upgrade - Advanced</t>
  </si>
  <si>
    <t>UPGD FROM RDN TO PRD SYSTEM</t>
  </si>
  <si>
    <t>Upgrade from Redundant to Production System</t>
  </si>
  <si>
    <t>05 RightFax Boardless Fax Solutions - Advanced</t>
  </si>
  <si>
    <t>BT SR-140-30F - 30 CH FOIP</t>
  </si>
  <si>
    <t>Brooktrout SR-140-30F - 30 Channel FoIP Boardless Fax Solution</t>
  </si>
  <si>
    <t>BT SR-140-48F - 48 CH FOIP</t>
  </si>
  <si>
    <t>Brooktrout SR-140-48F - 48 Channel FoIP Boardless Fax Solution</t>
  </si>
  <si>
    <t>06 RightFax Boardless Fax Solutions Redundant - Advanced</t>
  </si>
  <si>
    <t>BT SR-140-2F - 2 CH FOIP RDN</t>
  </si>
  <si>
    <t>Brooktrout SR-140-2F - 2 Channel FoIP Boardless Fax Solution - Redundant</t>
  </si>
  <si>
    <t>BT SR-140-4F - 4 CH FOIP RDN</t>
  </si>
  <si>
    <t>Brooktrout SR-140-4F - 4 Channel FoIP Boardless Fax Solution - Redundant</t>
  </si>
  <si>
    <t>BT SR-140-8F - 8 CH FOIP RDN</t>
  </si>
  <si>
    <t>Brooktrout SR-140-8F - 8 Channel FoIP Boardless Fax Solution - Redundant</t>
  </si>
  <si>
    <t>BT SR-140-12F - 12 CH FOIP RDN</t>
  </si>
  <si>
    <t>Brooktrout SR-140-12F - 12 Channel FoIP Boardless Fax Solution - Redundant</t>
  </si>
  <si>
    <t>BT SR-140-24F - 24 CH FOIP RDN</t>
  </si>
  <si>
    <t>Brooktrout SR-140-24F - 24 Channel FoIP Boardless Fax Solution - Redundant</t>
  </si>
  <si>
    <t>BT SR-140-30F - 30 CH FOIP RDN</t>
  </si>
  <si>
    <t>Brooktrout SR-140-30F - 30 Channel FoIP Boardless Fax Solution - Redundant</t>
  </si>
  <si>
    <t>BT SR-140-48F - 48 CH FOIP RDN</t>
  </si>
  <si>
    <t>Brooktrout SR-140-48F - 48 Channel FoIP Boardless Fax Solution - Redundant</t>
  </si>
  <si>
    <t>BT SR-140-60F - 60 CH FOIP RDN</t>
  </si>
  <si>
    <t>Brooktrout SR-140-60F - 60 Channel FoIP Boardless Fax Solution - Redundant</t>
  </si>
  <si>
    <t>07 RightFax Boardless Fax Solutions Upgrade - Advanced</t>
  </si>
  <si>
    <t>UPGD SR-140-2F - RDN TO PRD</t>
  </si>
  <si>
    <t>Upgrade SR-140-2F - Redundant to Production</t>
  </si>
  <si>
    <t>UPGD SR-140-4F - RDN TO PRD</t>
  </si>
  <si>
    <t>Upgrade SR-140-4F - Redundant to Production</t>
  </si>
  <si>
    <t>UPGD SR-140-8F - RDN TO PRD</t>
  </si>
  <si>
    <t>Upgrade SR-140-8F - Redundant to Production</t>
  </si>
  <si>
    <t>UPGD SR-140-12F - RDN TO PRD</t>
  </si>
  <si>
    <t>Upgrade SR-140-12F - Redundant to Production</t>
  </si>
  <si>
    <t>UPGD SR-140-24F - RDN TO PRD</t>
  </si>
  <si>
    <t>Upgrade SR-140-24F - Redundant to Production</t>
  </si>
  <si>
    <t>UPGD SR-140-30F - RDN TO PRD</t>
  </si>
  <si>
    <t>Upgrade SR-140-30F - Redundant to Production</t>
  </si>
  <si>
    <t>UPGD SR-140-48F - RDN TO PRD</t>
  </si>
  <si>
    <t>Upgrade SR-140-48F - Redundant to Production</t>
  </si>
  <si>
    <t>UPGD SR-140-60F - RDN TO PRD</t>
  </si>
  <si>
    <t>Upgrade SR-140-60F - Redundant to Production</t>
  </si>
  <si>
    <t>08 RightFax Gateway Standard Support Renewal</t>
  </si>
  <si>
    <t>FAX GW 2100 MDLR AN QUAD FXO 1YR SS REN</t>
  </si>
  <si>
    <t>Fax Gateway 2100, Modular Fax Gateway Analog Voice Module - Quad FXO - 1 Year Standard Support Renewal</t>
  </si>
  <si>
    <t>08 RightFax Gateways - Advanced</t>
  </si>
  <si>
    <t>FAX GATEWAY 2100 2 T1/E1/J1 SIP/T.38</t>
  </si>
  <si>
    <t>Fax Gateway 2100, Modular Fax Gateway, 2 T1/E1/J1 SIP/T.38 - North America Edition</t>
  </si>
  <si>
    <t>FAX GW MODEL 304 AND 308 RACK MNT SHELF</t>
  </si>
  <si>
    <t>Fax Gateway Model 304 and 308 Rack Mount Shelf</t>
  </si>
  <si>
    <t>FAX GW 2100 4 NA EDN</t>
  </si>
  <si>
    <t>Fax Gateway 2100, Modular Fax Gateway, 4 T1/E1/J1 SIP/T.38 - North America Edition</t>
  </si>
  <si>
    <t>FAX GW 2100 MDLR ANLG V MOD QUAD FXS</t>
  </si>
  <si>
    <t>Fax Gateway 2100, Modular Fax Gateway Analog Voice Module - Quad FXS</t>
  </si>
  <si>
    <t>FAX GW 2100 MDLR ADDL SINGLE T1/E1/J1</t>
  </si>
  <si>
    <t>Fax Gateway 2100, Modular Fax Gateway Digital Voice Module - Additional Single T1/E1/J1</t>
  </si>
  <si>
    <t>FAX GW 2100 MDLR ADDL DUAL T1/E1/J1</t>
  </si>
  <si>
    <t>Fax Gateway 2100, Modular Fax Gateway Digital Voice Module - Additional Dual T1/E1/J1</t>
  </si>
  <si>
    <t>FAX GW 2100 MDLR ANLG VOICE MDL QUAD FXO</t>
  </si>
  <si>
    <t>Fax Gateway 2100, Modular Fax Gateway Analog Voice Module - Quad FXO</t>
  </si>
  <si>
    <t>09 RightFax Gateway Standard Support - Advanced</t>
  </si>
  <si>
    <t>FAX GW 2100 4 T1: STD SUPPORT</t>
  </si>
  <si>
    <t>Fax Gateway 2100, Modular Fax Gateway, 4 T1/E1/J1 SIP/T.38 - Standard Support New Sale</t>
  </si>
  <si>
    <t>FAX GW 2100 2 STD SPT NEW</t>
  </si>
  <si>
    <t>Fax Gateway 2100, Modular Fax Gateway, 2 T1/E1/J1 - Standard Support New Sale</t>
  </si>
  <si>
    <t>FAX GW 2100 MDLR 1YR STD SPT</t>
  </si>
  <si>
    <t>Fax Gateway 2100, Modular Fax Gateway Analog Voice Module - Quad FXS - 1 Year Standard Support</t>
  </si>
  <si>
    <t>FAX GW 2100 MDLR 1 T1/E1/J1 1YR STD SPT</t>
  </si>
  <si>
    <t>Fax Gateway 2100, Modular Fax Gateway Digital Voice Module - Additional Single T1/E1/J1- 1 Year Standard Support</t>
  </si>
  <si>
    <t>FAX GW 2100 MDLR 2 T1/E1/J1 1YR STD SPT</t>
  </si>
  <si>
    <t>Fax Gateway 2100, Modular Fax Gateway Digital Voice Module - Additional Dual T1/E1/J1 - 1 Year Standard Support</t>
  </si>
  <si>
    <t>FAX GW 2100 MDLR AN QUAD FXO 1YR SS</t>
  </si>
  <si>
    <t>Fax Gateway 2100, Modular Fax Gateway Analog Voice Module - Quad FXO - 1 Year Standard Support</t>
  </si>
  <si>
    <t>10 RightFax Gateway Advanced Replacement Support - Advanced</t>
  </si>
  <si>
    <t>FAX GW 2100 4 T1: ADV REPL NEW SALE 1YR</t>
  </si>
  <si>
    <t>Fax Gateway 2100, Modular Fax Gateway, 4 T1/E1/J1 SIP/T.38 - Advanced Replacement New Sale- 1 Year</t>
  </si>
  <si>
    <t>FAX GW 2100 2 ADV REPL NEW 1YR</t>
  </si>
  <si>
    <t>Fax Gateway 2100, Modular Fax Gateway, 2 T1/E1/J1 SIP/T.38 - Advanced Replacement New Sale - 1 Year</t>
  </si>
  <si>
    <t>FAX GW 2100 MDLR 1YR ADV REPL SPT</t>
  </si>
  <si>
    <t>Fax Gateway 2100, Modular Fax Gateway Analog Voice Module - Quad FXS - 1 Year Advanced Replacement Support</t>
  </si>
  <si>
    <t>FAX GW 2100 MDLR 1 T1/E1/J1 1YR ARS</t>
  </si>
  <si>
    <t>Fax Gateway 2100, Modular Fax Gateway Digital Voice Module - Additional Single T1/E1/J1 - 1 Year Advanced Replacement Support</t>
  </si>
  <si>
    <t>Fax Gateway 2100, Modular Fax Gateway Digital Voice Module - Additional Dual T1/E1/J1 - 1 Year Advanced Replacement Support</t>
  </si>
  <si>
    <t>FAX GW 2100 MDLR AN QUAD FXO 1YR ARS</t>
  </si>
  <si>
    <t>Fax Gateway 2100, Modular Fax Gateway Analog Voice Module - Quad FXO - 1 Year Advanced Replacement Support</t>
  </si>
  <si>
    <t>11 RightFax Gateway Standard Support Renewal - Advanced</t>
  </si>
  <si>
    <t>FAX GW 2100 2 STD SPT REN</t>
  </si>
  <si>
    <t>Fax Gateway 2100, Modular Fax Gateway, 2 T1/E1/J1 - Standard Support Renewal</t>
  </si>
  <si>
    <t>FAX GW 2100 4 STD SPT REN</t>
  </si>
  <si>
    <t>Fax Gateway 2100, Modular Fax Gateway, 4 T1/E1/J1 SIP/T.38 - Standard Support Renewal</t>
  </si>
  <si>
    <t>FAX GW 2100 MDLR 1YR STD SPT REN</t>
  </si>
  <si>
    <t>Fax Gateway 2100, Modular Fax Gateway Analog Voice Module - Quad FXS - 1 Year Standard Support Renewal</t>
  </si>
  <si>
    <t>FAX GW 2100 MDLR 1 T1/E1/J1 1YR SS REN</t>
  </si>
  <si>
    <t>Fax Gateway 2100, Modular Fax Gateway Digital Voice Module - Additional Single T1/E1/J1- 1 Year Standard Support - Renewal</t>
  </si>
  <si>
    <t>FAX GW 2100 MDLR 2 T1/E1/J1 1YR SS REN</t>
  </si>
  <si>
    <t>Fax Gateway 2100, Modular Fax Gateway Digital Voice Module - Additional Dual T1/E1/J1 - 1 Year Standard Support Renewal</t>
  </si>
  <si>
    <t>12 RightFax Gateway Advanced Replacement Renewal - Advanced</t>
  </si>
  <si>
    <t>FAX GW 2100 2 ADV REPL REN - 1YR</t>
  </si>
  <si>
    <t>Fax Gateway 2100, Modular Fax Gateway, 2 T1/E1/J1 SIP/T.38 - Advanced Replacement Renewal - 1 Year</t>
  </si>
  <si>
    <t>FAX GW 2100 4 ADV REPL REN 1YR</t>
  </si>
  <si>
    <t>Fax Gateway 2100, Modular Fax Gateway, 4 T1/E1/J1 SIP/T.38 - Advanced Replacement Renewal - 1 Year</t>
  </si>
  <si>
    <t>FAX GW 2100 MDLR 1YR ADV REPL SPT REN</t>
  </si>
  <si>
    <t>Fax Gateway 2100, Modular Fax Gateway Analog Voice Module - Quad FXS - 1 Year Advanced Replacement Support Renewal</t>
  </si>
  <si>
    <t>FAX GW 2100 MDLR 1 T1/E1/J1 1YR ARS REN</t>
  </si>
  <si>
    <t>Fax Gateway 2100, Modular Fax Gateway Digital Voice Module - Additional Single T1/E1/J1 - 1 Year Advanced Replacement Support Renewal</t>
  </si>
  <si>
    <t>FAX GW 2100 MDLR 2 T1/E1/J1 1YR ARS REN</t>
  </si>
  <si>
    <t>Fax Gateway 2100, Modular Fax Gateway Digital Voice Module - Additional Dual T1/E1/J1 - 1 Year Advanced Replacement Support Renewal</t>
  </si>
  <si>
    <t>FAX GW 2100 MDLR AN QUAD FXO 1YR ARS REN</t>
  </si>
  <si>
    <t>Fax Gateway 2100, Modular Fax Gateway Analog Voice Module - Quad FXO - 1 Year Advanced Replacement Support Renewal</t>
  </si>
  <si>
    <t>13 RightFax Server Reconnect - Advanced</t>
  </si>
  <si>
    <t>RECONNECT FOR RF ENT EDN</t>
  </si>
  <si>
    <t>Reconnect for RightFax, Enterprise Edition</t>
  </si>
  <si>
    <t>RECONNECT FOR RF ENT STE</t>
  </si>
  <si>
    <t>Reconnect for RightFax Enterprise Suite</t>
  </si>
  <si>
    <t>RECONNECT FOR RF ENT INTG EDN</t>
  </si>
  <si>
    <t>Reconnect for RightFax Enterprise Integration Edition</t>
  </si>
  <si>
    <t>14 RightFax Support - Advanced</t>
  </si>
  <si>
    <t>PREMIER BASIC SUPPORT FOR RF: 1YR</t>
  </si>
  <si>
    <t>Premier Basic Support for RightFax - 1 Year</t>
  </si>
  <si>
    <t>EXTENDED 24X7 SUPPORT FOR RF: 1YR</t>
  </si>
  <si>
    <t>Extended 24X7 Support for RightFax - 1 Year</t>
  </si>
  <si>
    <t>IMPLMNT/CNSLTNG RF: AFTER HOURS</t>
  </si>
  <si>
    <t>Implementation/Consulting - RightFax After Hours</t>
  </si>
  <si>
    <t>IMPLMNT/CNSLTNG - RF: INCLD TRAVEL</t>
  </si>
  <si>
    <t>Implementation/Consulting - RightFax - Including Travel</t>
  </si>
  <si>
    <t>CUSTOM SOLS DEVELOPMENT RF</t>
  </si>
  <si>
    <t>Custom Solutions Development- RightFax</t>
  </si>
  <si>
    <t>RF PREPAID CNSLTNG: AFTER HOURS</t>
  </si>
  <si>
    <t>RightFax Prepaid Consulting - After Hours</t>
  </si>
  <si>
    <t>CONTENT SVR CON/INTGRTN SRVC</t>
  </si>
  <si>
    <t>Content Server Connector/Integration Service</t>
  </si>
  <si>
    <t>RF SYSTEM REVIEW &amp; INFR ASSESSMENT</t>
  </si>
  <si>
    <t>RightFax System Review and Infrastructure Assessment</t>
  </si>
  <si>
    <t>IMPLMNT/CNSLTNG/CST SOL RF W/TRV AFT HRS</t>
  </si>
  <si>
    <t>Implementation/Consulting/Custom Solutions -RightFax - Including Travel - Outside Business Hours</t>
  </si>
  <si>
    <t>BILLABLE TRAVEL AND EXPENSES - RF EDN</t>
  </si>
  <si>
    <t>Billable Travel and Expenses - RightFax Edition</t>
  </si>
  <si>
    <t>OpenText RightFax System Common Items   OpenText RightFax System: Common Items</t>
  </si>
  <si>
    <t>OpenText RightFax System Common Items</t>
  </si>
  <si>
    <t>OpenText RightFax System: Common Items</t>
  </si>
  <si>
    <t>RF 10.5 BUSINESS SVR</t>
  </si>
  <si>
    <t>RightFax 10.5 Business Server</t>
  </si>
  <si>
    <t>RF 10.5 ENTERPRISE SVR</t>
  </si>
  <si>
    <t>RightFax 10.5 Enterprise Server</t>
  </si>
  <si>
    <t>01 RightFax Channels</t>
  </si>
  <si>
    <t>RF ADDL DOCUMENT DELIVERY CHANNEL</t>
  </si>
  <si>
    <t>RightFax Additional Document Delivery Channel</t>
  </si>
  <si>
    <t>RF ADDL DOC DLVR CH: FOIP ENABLED</t>
  </si>
  <si>
    <t>RightFax Additional Document Delivery Channel - FoIP Enabled</t>
  </si>
  <si>
    <t>FOIP ENABLE: EXIST RF DOC DLVR CHANNEL</t>
  </si>
  <si>
    <t>FoIP Enable an Existing RightFax Document Delivery Channel</t>
  </si>
  <si>
    <t>02 RightFax Software Modules</t>
  </si>
  <si>
    <t>RF CONNECTOR FOR LOTUS NOTES</t>
  </si>
  <si>
    <t>RightFax Connector for Lotus Notes</t>
  </si>
  <si>
    <t>RF CONNECTOR FOR MICROSOFT EXCHANGE</t>
  </si>
  <si>
    <t>RightFax Connector for Microsoft Exchange</t>
  </si>
  <si>
    <t>RF PDF MODULE</t>
  </si>
  <si>
    <t>RightFax PDF Module</t>
  </si>
  <si>
    <t>RF WEB ACCESS MODULE</t>
  </si>
  <si>
    <t>RightFax Web Access Module</t>
  </si>
  <si>
    <t>03 RightFax MFP Connectivity Kits</t>
  </si>
  <si>
    <t>RightFax MFP 3.0 Connector KM (1-9)</t>
  </si>
  <si>
    <t>Konica Minolta Universal MFP Connector License RightFax. Price is per Connector, 1-9 Connectors</t>
  </si>
  <si>
    <t>RightFax MFP Connector KM (10-49)</t>
  </si>
  <si>
    <t>Konica Minolta Universal MFP Connector License RightFax. Price is per Connector, 10-49 Connectors</t>
  </si>
  <si>
    <t>RightFax MFP 3.0 Connector KM (50-499)</t>
  </si>
  <si>
    <t>Konica Minolta Universal MFP Connector License RightFax. Price is per Connector, 50-499 Connectors</t>
  </si>
  <si>
    <t>RightFax MFP 3.0 Connector KM (500-5000)</t>
  </si>
  <si>
    <t>Konica Minolta Universal MFP Connector License RightFax. Price is per Connector, 500-5000 Connectors</t>
  </si>
  <si>
    <t>04 RightFax Boardless Fax Options</t>
  </si>
  <si>
    <t>BROOKTROUT SR-140-2F - 2 CH FOIP BRDLS</t>
  </si>
  <si>
    <t>Brooktrout SR-140-2F - 2 Channel FoIP Boardless Fax Solution</t>
  </si>
  <si>
    <t>BT SR-140-4F - 4 CH FOIP BRDLS FAX SOL</t>
  </si>
  <si>
    <t>Brooktrout SR-140-4F - 4 Channel FoIP Boardless Fax Solution</t>
  </si>
  <si>
    <t>BT SR-140-8F - 8 CH FOIP</t>
  </si>
  <si>
    <t>Brooktrout SR-140-8F - 8 Channel FoIP Boardless Fax Solution</t>
  </si>
  <si>
    <t>BT SR-140-12F - 12 CH FOIP</t>
  </si>
  <si>
    <t>Brooktrout SR-140-12F - 12 Channel FoIP Boardless Fax Solution</t>
  </si>
  <si>
    <t>BT SR-140-24F - 24 CH FOIP</t>
  </si>
  <si>
    <t>Brooktrout SR-140-24F - 24 Channel FoIP Boardless Fax Solution</t>
  </si>
  <si>
    <t>05 RightFax Gateways</t>
  </si>
  <si>
    <t>FAX GATEWAY 2100 1 T1/E1/J1 SIP/T.38</t>
  </si>
  <si>
    <t>Fax Gateway 2100, Modular Fax Gateway, 1 T1/E1/J1 SIP/T.38 - North America Edition</t>
  </si>
  <si>
    <t>FAX GATEWAY 304 ANALOG 4 FXO SIP/T.38</t>
  </si>
  <si>
    <t>Fax Gateway 304, Analog Fax Gateway, 4 FXO SIP/T.38 - North America Edition</t>
  </si>
  <si>
    <t>FAX GATEWAY 308 ANALOG 8 FXO SIP/T.38</t>
  </si>
  <si>
    <t>Fax Gateway 308, Analog Fax Gateway, 8 FXO SIP/T.38 - North America Edition</t>
  </si>
  <si>
    <t>FAX GW 2100 MDLR RDN AC PS</t>
  </si>
  <si>
    <t>Fax Gateway 2100, Modular Fax Gateway - Redundant AC power supply</t>
  </si>
  <si>
    <t>06 RightFax Gateway Standard Support</t>
  </si>
  <si>
    <t>FAX GW 2100 1 T1: STD SUPPORT</t>
  </si>
  <si>
    <t>Fax Gateway 2100, Modular Fax Gateway, 1 T1/E1/J1 - Standard Support</t>
  </si>
  <si>
    <t>FAX GW 304 4 FXO: STD SUPT NEW SALE 1YR</t>
  </si>
  <si>
    <t>Fax Gateway 304, Analog Fax Gateway, 4 FXO SIP/T.38 - Standard Support New Sale</t>
  </si>
  <si>
    <t>FAX GW 308 8 FXO: STD SUPT NEW SALE 1YR</t>
  </si>
  <si>
    <t>Fax Gateway 308, Analog Fax Gateway, 8 FXO SIP/T.38 - Standard Support New Sale</t>
  </si>
  <si>
    <t>FAX GW 2100 MDLR RDN AC 1YR STD SPT</t>
  </si>
  <si>
    <t>Fax Gateway 2100, Modular Fax Gateway - Redundant AC power supply - 1 Year Standard Support</t>
  </si>
  <si>
    <t>07 RightFax Gateway Advanced Replacement Support</t>
  </si>
  <si>
    <t>FAX GW 2100 1 T1: ADV REPL NEW SALE 1YR</t>
  </si>
  <si>
    <t>Fax Gateway 2100, Modular Fax Gateway, 1 T1/E1/J1 SIP/T.38 - Advanced Replacement New Sale- 1 Year</t>
  </si>
  <si>
    <t>FAX GW 304 4 FXO: ADV REPL NEW SALE 1YR</t>
  </si>
  <si>
    <t>Fax Gateway 304, Analog Fax Gateway, 4 FXO SIP/T.38 - Advanced Replacement New Sale- 1 Year</t>
  </si>
  <si>
    <t>FAX GW 308 8 FXO: ADV REPL NEW SALE 1YR</t>
  </si>
  <si>
    <t>Fax Gateway 308, Analog Fax Gateway, 8 FXO SIP/T.38 - Advanced Replacement New Sale- 1 Year</t>
  </si>
  <si>
    <t>NEXT DAY ADV REPL: 1YR NEW</t>
  </si>
  <si>
    <t>Next Day Advanced Replacement - 1 year - New Sale</t>
  </si>
  <si>
    <t>FAX GW 2100 MDLR RDN AC 1YR A/R SPT</t>
  </si>
  <si>
    <t>Fax Gateway 2100, Modular Fax Gateway - Redundant AC power supply - 1 Year Advanced Replacement Support</t>
  </si>
  <si>
    <t>FAX GW 2100 1 STD SPT REN</t>
  </si>
  <si>
    <t>Fax Gateway 2100, Modular Fax Gateway, 1 T1/E1/J1 - Standard Support Renewal</t>
  </si>
  <si>
    <t>FAX GW 304 4 STD SPT REN</t>
  </si>
  <si>
    <t>Fax Gateway 304, Analog Fax Gateway, 4 FXO SIP/T.38 - Standard Support Renewal</t>
  </si>
  <si>
    <t>FAX GW 308 8 FXO SIP/T.38 - STD SPT REN</t>
  </si>
  <si>
    <t>Fax Gateway 308, Analog Fax Gateway, 8 FXO SIP/T.38 - Standard Support Renewal</t>
  </si>
  <si>
    <t>FAX GW 2100 MDLR RDN AC 1YR STD SPT REN</t>
  </si>
  <si>
    <t>Fax Gateway 2100, Modular Fax Gateway - Redundant AC power supply - 1 Year Standard Support Renewal</t>
  </si>
  <si>
    <t>09 RightFax Gateway Advenced Replacement Support Renewal</t>
  </si>
  <si>
    <t>FAX GW 2100 1 A/R REN 1YR</t>
  </si>
  <si>
    <t>Fax Gateway 2100, Modular Fax Gateway, 1 T1/E1/J1 SIP/T.38 - Advanced Replacement Renewal - 1 Year</t>
  </si>
  <si>
    <t>FAX GW 304 4 ADV REPL REN 1 YR</t>
  </si>
  <si>
    <t>Fax Gateway 304, Analog Fax Gateway, 4 FXO SIP/T.38 - Advanced Replacement Renewal - 1 Year</t>
  </si>
  <si>
    <t>FAX GW 308 8 ADV REPL REN 1YR</t>
  </si>
  <si>
    <t>Fax Gateway 308, Analog Fax Gateway, 8 FXO SIP/T.38 - Advanced Replacement Renewal - 1 Year</t>
  </si>
  <si>
    <t>FAX GW 2100 MDLR RDN AC 1YR A/R SPT REN</t>
  </si>
  <si>
    <t>Fax Gateway 2100, Modular Fax Gateway - Redundant AC power supply - 1 Year Advanced Replacement Support Renewal</t>
  </si>
  <si>
    <t>ADV REPL - 1 YEAR ? RENEWAL</t>
  </si>
  <si>
    <t>Advanced Replacement - 1 year – Renewal</t>
  </si>
  <si>
    <t>10 RightFax Software Support</t>
  </si>
  <si>
    <t>RF INCREMENTAL SUPPORT</t>
  </si>
  <si>
    <t>RightFax Incremental Support</t>
  </si>
  <si>
    <t>STANDARD SUPPORT FOR RF - 1 YEAR</t>
  </si>
  <si>
    <t>Standard Support for RightFax</t>
  </si>
  <si>
    <t>STANDARD SUPPORT FOR RIGHTFAX RENEWAL</t>
  </si>
  <si>
    <t>Standard Support Renewal for RightFax</t>
  </si>
  <si>
    <t>11 RightFax Reconnect</t>
  </si>
  <si>
    <t>RECONNECT FOR RF BUS SVR</t>
  </si>
  <si>
    <t>Reconnect for RightFax Business Server</t>
  </si>
  <si>
    <t>RF ESSENTIALS: BASE INSTALLATION</t>
  </si>
  <si>
    <t>RightFax Essentials – Base Installation</t>
  </si>
  <si>
    <t>RF PREPAID CONSULTING</t>
  </si>
  <si>
    <t>RightFax Prepaid Consulting</t>
  </si>
  <si>
    <t>RF ESSENTIALS A/O MODULE: INT TRNG</t>
  </si>
  <si>
    <t>RightFax Essentials – Add On Module (Intermediate Training)</t>
  </si>
  <si>
    <t>RF ESSENTIALS A/O MODULE: EMAIL INT</t>
  </si>
  <si>
    <t>RightFax Essentials – Add On Modules (Email Integration)</t>
  </si>
  <si>
    <t>RF ESSENTIALS A/O MODULE: MFP MODULE</t>
  </si>
  <si>
    <t>RightFax Essentials – Add On Modules (MFP Module)</t>
  </si>
  <si>
    <t>RF ESSENTIALS A/O MODULE: RF SYNC</t>
  </si>
  <si>
    <t>RightFax Essentials – Add On Modules (RightFax Sync Module)</t>
  </si>
  <si>
    <t>RF ESSENTIALS A/O MODULE: RF WEB ACCESS</t>
  </si>
  <si>
    <t>RightFax Essentials – Add On Modules (RightFax Web Access)</t>
  </si>
  <si>
    <t>IMPLMNT/CNSLTNG RF</t>
  </si>
  <si>
    <t>Implementation/Consulting - RightFax</t>
  </si>
  <si>
    <t>RF ESSENTIALS</t>
  </si>
  <si>
    <t>RightFax Essentials</t>
  </si>
  <si>
    <t>RF ESSENTIALS - EXTENDED</t>
  </si>
  <si>
    <t>RightFax Essentials - Extended</t>
  </si>
  <si>
    <t>IMPLMNT/CNSLTNG/CST SOL RF W/TRV NRM HRS</t>
  </si>
  <si>
    <t>Implementation/Consulting/Custom Solutions -RightFax - Including Travel - Normal Business Hours</t>
  </si>
  <si>
    <t>PageScope Enterprise Suite   PageScope Enterprise Suite</t>
  </si>
  <si>
    <t>PageScope Enterprise Suite</t>
  </si>
  <si>
    <t>AUG</t>
  </si>
  <si>
    <t>Biometric Authentication Unit Geteway - 1 Certificate is required per Authentication Manager</t>
  </si>
  <si>
    <t>PageScope Authentication Manager (5)</t>
  </si>
  <si>
    <t>Authentication Manager 5 device licenses</t>
  </si>
  <si>
    <t>PageScope Authentication Manager (25)</t>
  </si>
  <si>
    <t>Authentication Manager 25 device licenses</t>
  </si>
  <si>
    <t>PageScope Authentication Manager (100 Lic)</t>
  </si>
  <si>
    <t>Authentication Manager 100 Device License</t>
  </si>
  <si>
    <t>PageScope Authentication Mgr (500 Lic)</t>
  </si>
  <si>
    <t>Authentication Manager 500 Device License</t>
  </si>
  <si>
    <t>PageScope Authentication Manager</t>
  </si>
  <si>
    <t>Authentication Manager Module License - PageScope Authentication Manager Software - Includes One year of Maintanence</t>
  </si>
  <si>
    <t>PageScope Account Manager - 5</t>
  </si>
  <si>
    <t>Account Manager 5 device licenses</t>
  </si>
  <si>
    <t>PageScope Account Manager - 25</t>
  </si>
  <si>
    <t>Account Manager 25 device licenses</t>
  </si>
  <si>
    <t>PageScope Account Manager (100 Licenses)</t>
  </si>
  <si>
    <t>Account Manager 100 Device License</t>
  </si>
  <si>
    <t>PageScope Account Manager (500 Licenses)</t>
  </si>
  <si>
    <t>Account Manager 500 Device License</t>
  </si>
  <si>
    <t>PageScope Account Manager</t>
  </si>
  <si>
    <t>Account Manager Module License - PageScope Account Manager Software - Includes One year of Maintanence</t>
  </si>
  <si>
    <t>PageScope MyPanel Manager (5)</t>
  </si>
  <si>
    <t>MyPanel Manager 5 device licenses</t>
  </si>
  <si>
    <t>PageScope MyPanel Manager (25)</t>
  </si>
  <si>
    <t>MyPanel Manager 25 device licenses</t>
  </si>
  <si>
    <t>PageScope My Panel Manager(100 Licenses)</t>
  </si>
  <si>
    <t>MyPanel Manager 100 Device License</t>
  </si>
  <si>
    <t>PageScope My Panel Manager(500 Licenses)</t>
  </si>
  <si>
    <t>MyPanel Manager 500 Device License</t>
  </si>
  <si>
    <t>PageScope MyPanel Manager</t>
  </si>
  <si>
    <t>MyPanel Manager Module includes - PageScope MyPanel Manager Sofware -  Includes One year of Maintanence</t>
  </si>
  <si>
    <t>My Print Manager 5 device licenses</t>
  </si>
  <si>
    <t>My Print Manager 25 device licenses</t>
  </si>
  <si>
    <t>My Print Manager 100 device licenses</t>
  </si>
  <si>
    <t>My Print Manager 500 device licenses</t>
  </si>
  <si>
    <t>PageScope My Print Manager</t>
  </si>
  <si>
    <t>My Print Manager Module License - PageScope My Print Manager Software - Includes One year of Maintanence</t>
  </si>
  <si>
    <t>PSES Sub Server License Key</t>
  </si>
  <si>
    <t>PSES Milti/Sub Server License Key</t>
  </si>
  <si>
    <t>HID Proximity Card Authentication Unit</t>
  </si>
  <si>
    <t>iClass Card Authentication Unit</t>
  </si>
  <si>
    <t>Authentication Manager Maint Ext 3 years</t>
  </si>
  <si>
    <t>Authentication Manager Maint Ext 1 year</t>
  </si>
  <si>
    <t>Authentication Manager  Maint Ext 1 month</t>
  </si>
  <si>
    <t>Authentication Manager Maint Renewal</t>
  </si>
  <si>
    <t>Account Manager Maint Ext 3 year</t>
  </si>
  <si>
    <t>Account Manager Maint Ext 1 year</t>
  </si>
  <si>
    <t>Account Manager Maint Ext 1 month</t>
  </si>
  <si>
    <t>Account Manager Maint Renewal</t>
  </si>
  <si>
    <t>My Panel Manager Maint Ext 3 years</t>
  </si>
  <si>
    <t>My Panel Manager Maint Ext 1 year</t>
  </si>
  <si>
    <t>My Panel Manager Maint Ext 1 month</t>
  </si>
  <si>
    <t>My Panel Manager Maint Renewal</t>
  </si>
  <si>
    <t>My Print Manager Maint Ext 3 years</t>
  </si>
  <si>
    <t>My Print Manager Maint Ext 1 year</t>
  </si>
  <si>
    <t>My Print Manager Maint Ext 1 month</t>
  </si>
  <si>
    <t>My Print Manager Maint Renewal</t>
  </si>
  <si>
    <t>Performance Matters Integrated Solution   Performance Matters Integrated Solution</t>
  </si>
  <si>
    <t>Performance Matters Integrated Solution</t>
  </si>
  <si>
    <t>Performance Matters Connector Install and Configuration. (SOFTWARE ONLY)</t>
  </si>
  <si>
    <t>Performance Matters MFP Connector Installation and Configuration by Konica Minolta</t>
  </si>
  <si>
    <t>Performance Matters Connector – 1YR</t>
  </si>
  <si>
    <t>KM Integrated Performance Matters Connector 1 Year</t>
  </si>
  <si>
    <t>Performance Matters Connector – 3YR</t>
  </si>
  <si>
    <t>KM Integrated Performance Matters Connector 3 Year</t>
  </si>
  <si>
    <t>Performance Matters Connector – 4YR</t>
  </si>
  <si>
    <t>KM Integrated Performance Matters Connector 4 Year</t>
  </si>
  <si>
    <t>Performance Matters Connector – 5YR</t>
  </si>
  <si>
    <t>KM Integrated Performance Matters Connector 5 Year</t>
  </si>
  <si>
    <t>Pharos System Software  </t>
  </si>
  <si>
    <t>Pharos System Software</t>
  </si>
  <si>
    <t>Add - On Modules</t>
  </si>
  <si>
    <t>Uniprint Third Party Charging</t>
  </si>
  <si>
    <t>Uniprint Authenticiation Gateway Active Directory</t>
  </si>
  <si>
    <t>Uniprint Auth Gateway Active Directory</t>
  </si>
  <si>
    <t>Uniprint Authenticiation Gateway LDAP (replaces Novell)</t>
  </si>
  <si>
    <t>Uniprint Auth Gate LDAP(replace Novell)</t>
  </si>
  <si>
    <t>Uniprint Blackboard Billing Gateway</t>
  </si>
  <si>
    <t>Uniprint CBORD CS Gold Billing Gateway</t>
  </si>
  <si>
    <t>Uniprint CBORD Odyssey Billing Gateway</t>
  </si>
  <si>
    <t>Uniprint General Meters Billing Gateway</t>
  </si>
  <si>
    <t>Off-The-Glass Base License Fee</t>
  </si>
  <si>
    <t>Off-The-Glass Copier License Fee</t>
  </si>
  <si>
    <t>Off-The-Glass Site License Fee for Higher Education FTE 3,000 &amp; below</t>
  </si>
  <si>
    <t>Off-Glas Site LicFee Hi Edu FTE less 3K</t>
  </si>
  <si>
    <t>Off-The-Glass Site License Fee for Higher Education FTE 3,001-4,000</t>
  </si>
  <si>
    <t>Off-Glas Site LicFee Hi Edu FTE 3K-4K</t>
  </si>
  <si>
    <t>Off-The-Glass Site License Fee for Higher Education FTE 4,001-5,000</t>
  </si>
  <si>
    <t>Off-Glas Site LicFee Hi Edu FTE 4K-5K</t>
  </si>
  <si>
    <t>Off-The-Glass Site License for Higher Education FTE 5,001 - 7,500</t>
  </si>
  <si>
    <t>Off-Glas Site LicFee Hi Edu FTE 5K- 7.5K</t>
  </si>
  <si>
    <t>Off-The-Glass Site License Fee for Higher Education FTE 7,501 - 10,000</t>
  </si>
  <si>
    <t>Off-Glas Site LicFee Hi Edu FTE 7.5K-10K</t>
  </si>
  <si>
    <t>Off-The-Glass Site License Fee for Higher Education FTE 10,001 - 15,000</t>
  </si>
  <si>
    <t>Off-Glas Site LicFee Hi Edu FTE 10K -5K</t>
  </si>
  <si>
    <t>Off-The-Glass Site License for Higher Education FTE 15,001-20,000</t>
  </si>
  <si>
    <t>Off-Glas Site LicFee Hi Edu FTE 15K-20K</t>
  </si>
  <si>
    <t>Off-The-Glass Site License Fee for Higher Education FTE 20,001 - 30,000</t>
  </si>
  <si>
    <t>Off-Glas Site LicFee Hi Edu FTE 20K-30K</t>
  </si>
  <si>
    <t>Off-The-Glass Site License Fee for Higher Education FTE 30,001 - 40,000</t>
  </si>
  <si>
    <t>Off-Glas Site LicFee Hi Edu FTE 30K-40K</t>
  </si>
  <si>
    <t>Off-The-Glass Site License Fee for Higher Education FTE above 50,000</t>
  </si>
  <si>
    <t>Off-Glas Site LicFee Hi Edu FTEabove 50K</t>
  </si>
  <si>
    <t>Uniprint Standard Base License for Public Library</t>
  </si>
  <si>
    <t>Uniprint Std Base Lic_Public Library</t>
  </si>
  <si>
    <t>Uniprint Site License Fee for Public Library Pop 100,000 &amp; below</t>
  </si>
  <si>
    <t>Unprint SiteLicFee_Pub Lib Pop less100K</t>
  </si>
  <si>
    <t>Uniprint Site License Fee for Public Library Pop. 100,001 - 250,000</t>
  </si>
  <si>
    <t>Unprint SiteLicFee_Pub Lib Pop100K-250K</t>
  </si>
  <si>
    <t>Uniprint Site License Fee for Public Library Pop. 250,001 - 500,000</t>
  </si>
  <si>
    <t>Unprint SiteLicFee_Pub Lib Pop 250K-500K</t>
  </si>
  <si>
    <t>Uniprint Site License Fee for Public Library Pop 500,001 - 750,000</t>
  </si>
  <si>
    <t>Unprint SiteLicFee_Pub Lib Pop 500K-750K</t>
  </si>
  <si>
    <t>Uniprint Site License Fee for Public Library Pop 750,001 - 1,000,000</t>
  </si>
  <si>
    <t>Unprint SiteLicFee_Pub Lib Pop 750K-1Mil</t>
  </si>
  <si>
    <t>Uniprint Site License Fee for Public Library Pop. 1,000,001 - 1,500,000</t>
  </si>
  <si>
    <t>UnprintSiteLicFee_Pub Lib Pop1Mil-1.5Mil</t>
  </si>
  <si>
    <t>Uniprint Site License Fee for Public Library Pop. 1,500,001 - 2,000,000</t>
  </si>
  <si>
    <t>Unprint SiteLicFee_Pub Lib Pop 1Mil-2Mil</t>
  </si>
  <si>
    <t>Uniprint Site License Fee for Public Library Pop 2,000,001 - 3,000,000</t>
  </si>
  <si>
    <t>Unprint SiteLicFee_Pub Lib Pop 2Mil-3Mil</t>
  </si>
  <si>
    <t>Uniprint Site License Fee for Public Library Pop 3,000,001 - 4,000,000</t>
  </si>
  <si>
    <t>Unprint SiteLicFee_Pub Lib Pop 3Mil-4Mil</t>
  </si>
  <si>
    <t>Uniprint Site License Fee for Public Library Pop 4,000,000 &amp; above</t>
  </si>
  <si>
    <t>Unprint SiteLicFee_Pub Lib Pop more 4Mil</t>
  </si>
  <si>
    <t>Off-The-Glass Site License Fee for Public Library Pop. 100,000 &amp; below</t>
  </si>
  <si>
    <t>Off-Glas SiteLicFeePub Lib Pop less100K</t>
  </si>
  <si>
    <t>Off-The-Glass Site License Fee for Public Library Pop. 100,001 - 250,000</t>
  </si>
  <si>
    <t>Off-Glas SiteLicFeePub Lib Pop 100K-250K</t>
  </si>
  <si>
    <t>Off-The-Glass Site License Fee for Public Library Pop. 250,001 - 500,000</t>
  </si>
  <si>
    <t>Off-Glas SiteLicFeePub Lib Pop 250K-500K</t>
  </si>
  <si>
    <t>Off-The-Glass Site License Fee for Public Library Pop. 500,001 - 750,000</t>
  </si>
  <si>
    <t>Off-Glas SiteLicFeePub Lib Pop 500K-750K</t>
  </si>
  <si>
    <t>Off-The-Glass Site License Fee for Public Library Pop. 750,001 - 1,000,000</t>
  </si>
  <si>
    <t>Off-Glas SiteLicFeePub Lib Pop 750K-1Mil</t>
  </si>
  <si>
    <t>Off-The-Glass Site License Fee for Public Library Pop. 1,000,001 - 1,500,000</t>
  </si>
  <si>
    <t>Off-Glas SiteLicFeePubLib Pop1Mil-1.5Mil</t>
  </si>
  <si>
    <t>Off-The-Glass Site License Fee for Public Library Pop. 1,500,001 - 2,000,000</t>
  </si>
  <si>
    <t>Off-Glas SiteLicFeePubLib Pop1.5Mil 2Mil</t>
  </si>
  <si>
    <t>Off-The-Glass Site License Fee for Public Library Pop. 2,000,001 - 3,000,000</t>
  </si>
  <si>
    <t>Off-Glas SiteLicFeePub Lib Pop 2Mil-3Mil</t>
  </si>
  <si>
    <t>Off-The-Glass Site License Fee for Public Library Pop 3,000,001 - 4,000,000</t>
  </si>
  <si>
    <t>Off-Glas SiteLicFeePub Lib Pop 3Mil-4Mil</t>
  </si>
  <si>
    <t>Off-The-Glass Site License Fee for Public Library Pop 4,000,000 &amp; above</t>
  </si>
  <si>
    <t>Off-Glas SiteLicFeePubLib Pop above 4Mil</t>
  </si>
  <si>
    <t>SignUp Base License (includes 10 CALs)</t>
  </si>
  <si>
    <t>SignUp Client Access License (10 pack)</t>
  </si>
  <si>
    <t>SignUp Client Access License (25 pack)</t>
  </si>
  <si>
    <t>SignUp Client Access License (50 pack)</t>
  </si>
  <si>
    <t>SignUp Client Access License (100 pack)</t>
  </si>
  <si>
    <t>SignUp Client Access License (250 pack)</t>
  </si>
  <si>
    <t>SignUp Client Access License (500 pack)</t>
  </si>
  <si>
    <t>SignUp Client Sites great then 2,500 CALs Call for Quote</t>
  </si>
  <si>
    <t>SignUp Client Sites greater 2,500 CALs</t>
  </si>
  <si>
    <t>SignUp Innovative Interface (III) Authentication Gateway For use in the Public Library Market.</t>
  </si>
  <si>
    <t>SignUp Inn Inter Auth Gate Pub Lib Mkt</t>
  </si>
  <si>
    <t>SignUp Other Non-certified L.M.S. Authentication Gateway For use in the Public Library Market.</t>
  </si>
  <si>
    <t>SignUp Non-cert LMS AuthGatePub Lib Mkt</t>
  </si>
  <si>
    <t>SignUp SIP1/SIP2 Compliant Authentication Gateway For use in the Public Library Market.</t>
  </si>
  <si>
    <t>SignUp SIP1/2 CompAuthGate Pub Lib Mkt</t>
  </si>
  <si>
    <t>MobilePrint for Blueprint Enterprise seat license (1001 - 10000)</t>
  </si>
  <si>
    <t>MobilePrint for Blueprint Enterprise seat license (10001 - 30000)</t>
  </si>
  <si>
    <t>MobilePrint for Blueprint Enterprise seat license (30001 and above)</t>
  </si>
  <si>
    <t>Uniprint Mobile Site License for Higher Education FTE 3,000 &amp; below</t>
  </si>
  <si>
    <t>Uniprint Mobile Site License for Higher Education FTE 3,001 - 4,000</t>
  </si>
  <si>
    <t>Uniprint Mobile Site License for Higher Education FTE 4,001 - 5,000</t>
  </si>
  <si>
    <t>Uniprint Mobile Site License for Higher Education FTE 5,001 - 7,500</t>
  </si>
  <si>
    <t>Uniprint Mobile Site License for Higher Education FTE 7,501 - 10,000</t>
  </si>
  <si>
    <t>Uniprint Mobile Site License for Higher Education FTE 15,001 - 20,000</t>
  </si>
  <si>
    <t>Uniprint Mobile Site License for Higher Education FTE 20,001 - 30,000</t>
  </si>
  <si>
    <t>Uniprint Mobile Site License for Higher Education FTE 30,001 - 40,000</t>
  </si>
  <si>
    <t>Uniprint Mobile Site License for Higher Education FTE 50,001 &amp; above</t>
  </si>
  <si>
    <t>Mobile Print device license fee</t>
  </si>
  <si>
    <t>PS60 - 1 - 250 PS60 Licenses REQUIRES 7640013690 PS60 Support &amp; Maintenance New -1 yr (per device)</t>
  </si>
  <si>
    <t>PS60 1-250LicREQ OMG-AMS-1-N per device</t>
  </si>
  <si>
    <t>PS60 - 251 - 500 PS60 Licenses REQUIRES 7640013690 PS60 Support &amp; Maintenance New -1 yr (per device)</t>
  </si>
  <si>
    <t>PS60 251-500 Lic REQOMG-AMS-1-N per MFP</t>
  </si>
  <si>
    <t>PS60 - 501 and above PS60 Licenses REQUIRES 7640013690 PS60 Support &amp; Maintenance New -1 yr (per device)</t>
  </si>
  <si>
    <t>PS60 above 501Lic REQ OMG-AMS-1-N perMFP</t>
  </si>
  <si>
    <t>Kiosk - Floor Mount</t>
  </si>
  <si>
    <t>Omega PS150 Terminal</t>
  </si>
  <si>
    <t>Omega copier cable for Konica Minolta Bizhub - Most advanced cable provided</t>
  </si>
  <si>
    <t>Omega copier cable KM Bizhub</t>
  </si>
  <si>
    <t>Omega SmartLink only - no copier cable</t>
  </si>
  <si>
    <t>Omega PS200 Terminal</t>
  </si>
  <si>
    <t>PS200 Magnetic Card Reader</t>
  </si>
  <si>
    <t>Kiosk - Floor Mount - Bill acceptor only</t>
  </si>
  <si>
    <t>Kiosk - Floor Mount - with bar code reader</t>
  </si>
  <si>
    <t>Kiosk - Floor Mount - Standard with magnetic card reader</t>
  </si>
  <si>
    <t>Kiosk - Floor Mount - with proximity card reader</t>
  </si>
  <si>
    <t>Kiosk Extended Warranty-1 add'l year</t>
  </si>
  <si>
    <t>Kiosk Extended Warranty-2 add'l years</t>
  </si>
  <si>
    <t>Kiosk Extended Warranty-3 add'l years</t>
  </si>
  <si>
    <t>Kiosk Extended Warranty-4 add'l years</t>
  </si>
  <si>
    <t>Omega Extended Warranty-1 add'l year</t>
  </si>
  <si>
    <t>Omega PS150 Extended Warranty-2 add'l year</t>
  </si>
  <si>
    <t>Omega PS150 Ext Warranty-2 add'l year</t>
  </si>
  <si>
    <t>Omega PS150 Extended Warranty-3 add'l years</t>
  </si>
  <si>
    <t>Omega PS150 Ext Warranty-3 add'l years</t>
  </si>
  <si>
    <t>Omega PS150 Extended Warranty-4 add'l years</t>
  </si>
  <si>
    <t>Omega PS150 Ext Warranty-4 add'l years</t>
  </si>
  <si>
    <t>PS60 Annual Support &amp; Maintenance New - 1 year</t>
  </si>
  <si>
    <t>PS60 Support &amp; Maintenance New -1 yr</t>
  </si>
  <si>
    <t>PS60 Annual Support &amp; Maintenance Renewal - 1 year</t>
  </si>
  <si>
    <t>PS60 Support &amp; Maintenance Renew 1 yr</t>
  </si>
  <si>
    <t>PS60 Annual Support &amp; Maintenance New - 2 Years</t>
  </si>
  <si>
    <t>PS60 Support &amp; Maintenance New 2 yrs</t>
  </si>
  <si>
    <t>PS60 Annual Support &amp; Maintenance Renewal - 2 Year</t>
  </si>
  <si>
    <t>PS60 Support &amp; Maintenance Renew 2 yr</t>
  </si>
  <si>
    <t>PS60 Annual Support &amp; Maintenance New - 3 Years</t>
  </si>
  <si>
    <t>PS60 Support &amp; Maintenance New 3 yrs</t>
  </si>
  <si>
    <t>PS60 Annual Support &amp; Maintenance Renewal - 3 Years</t>
  </si>
  <si>
    <t>PS60 Support &amp; Maintenance Renew 3 yrs</t>
  </si>
  <si>
    <t>PS60 Annual Support &amp; Maintenance New - 4 Years</t>
  </si>
  <si>
    <t>PS60 Support &amp; Maintenance New 4 yrs</t>
  </si>
  <si>
    <t>PS60 Annual Support &amp; Maintenance Renewal - 4 Years</t>
  </si>
  <si>
    <t>PS60 Support &amp; Maintenance Renew 4 yrs</t>
  </si>
  <si>
    <t>PS60 Annual Support &amp; Maintenance New - 5 Years</t>
  </si>
  <si>
    <t>PS60 Support &amp; Maintenance New 5 yrs</t>
  </si>
  <si>
    <t>PS60 Annual Support &amp; Maintenance Renewal - 5 Years</t>
  </si>
  <si>
    <t>PS60 Support &amp; Maintenance Renew 5 yrs</t>
  </si>
  <si>
    <t>Processing Fee</t>
  </si>
  <si>
    <t>Finance Charge</t>
  </si>
  <si>
    <t>License Transfer Fee</t>
  </si>
  <si>
    <t>Professional Services - Custom Software Development</t>
  </si>
  <si>
    <t>Pro Services - Custom Software Devl</t>
  </si>
  <si>
    <t>Professional Services - Custom Integration</t>
  </si>
  <si>
    <t>Pro Services - Custom Integration</t>
  </si>
  <si>
    <t>Professional Services - Installation - Expenses</t>
  </si>
  <si>
    <t>Pro Services-Install - Expenses</t>
  </si>
  <si>
    <t>Professional Services - On Site Installation - Labor per day</t>
  </si>
  <si>
    <t>Pro Services-On Site Install per day</t>
  </si>
  <si>
    <t>Professional Services - Remote Installation - Labor per day</t>
  </si>
  <si>
    <t>Pro Services Remote Install per day</t>
  </si>
  <si>
    <t>Professional Services - Pilot - Expenses</t>
  </si>
  <si>
    <t>Professional Services - On Site Pilot Services- Labor per day</t>
  </si>
  <si>
    <t>Pro Services On Site Pilot Svc per day</t>
  </si>
  <si>
    <t>Professional Services - Remote Pilot Services - Labor per day</t>
  </si>
  <si>
    <t>Pro Services Remote Pilot Svc per day</t>
  </si>
  <si>
    <t>Professional Services - Custom Report Services</t>
  </si>
  <si>
    <t>Pro Services - Custom Report Services</t>
  </si>
  <si>
    <t>Professional Services - Script Development (per day)</t>
  </si>
  <si>
    <t>Prof Services-Script Devel (per day)</t>
  </si>
  <si>
    <t>Professional Services - Training - Expenses</t>
  </si>
  <si>
    <t>Pro Services Training Expenses</t>
  </si>
  <si>
    <t>Professional Services - On Site Training - Labor per day</t>
  </si>
  <si>
    <t>Pro Services On Site Training -per day</t>
  </si>
  <si>
    <t>Professional Services - Remote Training - Labor per day</t>
  </si>
  <si>
    <t>Pro Services Remote Training per day</t>
  </si>
  <si>
    <t>Software Licenses</t>
  </si>
  <si>
    <t>Blueprint Enterprise 1 - 999 seats</t>
  </si>
  <si>
    <t>Blueprint Enterprise 1,000 - 9,999 seats</t>
  </si>
  <si>
    <t>Blueprint Enterprise 10,000 - 29,999 seats</t>
  </si>
  <si>
    <t>Blueprint Ent 10,000 - 29,999 seats</t>
  </si>
  <si>
    <t>Blueprint Enterprise 50,000 and over</t>
  </si>
  <si>
    <t>Uniprint Base for Print &amp; Copy License - Office</t>
  </si>
  <si>
    <t>Uniprint Base_Print &amp; Copy Lic -Office</t>
  </si>
  <si>
    <t>Uniprint Printer, Copier, MFP Device License (per device) - Office</t>
  </si>
  <si>
    <t>Uniprint Prt,Copy,MFP Device Lic-Office</t>
  </si>
  <si>
    <t>251-500 printer, copier, MFP devices (per device)</t>
  </si>
  <si>
    <t>251-500 print, copy, MFP device_per MFP</t>
  </si>
  <si>
    <t>over 500 printer, copier, MFP devices (per device)</t>
  </si>
  <si>
    <t>500 + print, copier, MFP devices per MFP</t>
  </si>
  <si>
    <t>Uniprint Standard Base License for Higher Education</t>
  </si>
  <si>
    <t>Uniprint STD Base License for Higher Ed</t>
  </si>
  <si>
    <t>Uniprint Standard Printer License</t>
  </si>
  <si>
    <t>Uniprint Base_Print&amp;Copy Lic - Office</t>
  </si>
  <si>
    <t>Uniprint Print,Copy,MFP Dev Lic_MFP-Off</t>
  </si>
  <si>
    <t>251-500 print,copy,MFP devices per MFP</t>
  </si>
  <si>
    <t>over 500 print,copy,MFP devices per MFP</t>
  </si>
  <si>
    <t>Uniprint Site License for Higher Education FTE 3,000 &amp; below</t>
  </si>
  <si>
    <t>UniprintSite Lic_Hi Edu FTE 3K &amp; below</t>
  </si>
  <si>
    <t>Uniprint Site License for Higher Education FTE 3,001 - 4,000</t>
  </si>
  <si>
    <t>UniprintSite Lic_Hi Edu FTE 3K - 4K</t>
  </si>
  <si>
    <t>Uniprint Site License for Higher Education FTE 4,001 - 5,000</t>
  </si>
  <si>
    <t>UniprintSite Lic_Hi Edu FTE 4,001 - 5k</t>
  </si>
  <si>
    <t>Uniprint Site License for Higher Education FTE 5,001 - 7,500</t>
  </si>
  <si>
    <t>UniprintSite Lic_Hi Edu FTE 5,001 - 7.5k</t>
  </si>
  <si>
    <t>Uniprint Site License for Higher Education FTE 7,501 - 10,000</t>
  </si>
  <si>
    <t>UniprintSite Lic_Hi Edu FTE 7,501 - 10k</t>
  </si>
  <si>
    <t>Uniprint Site License for Higher Education FTE 10,001 - 15,000</t>
  </si>
  <si>
    <t>UniprintSite Lic_Hi Edu FTE 10,001 - 15k</t>
  </si>
  <si>
    <t>Uniprint Site License for Higher Education FTE 20,001 - 30,000</t>
  </si>
  <si>
    <t>UniprintSite Lic_Hi Edu FTE 20,001 - 30k</t>
  </si>
  <si>
    <t>Uniprint Site License for Higher Education FTE 30,001 - 40,000</t>
  </si>
  <si>
    <t>UniprintSite Lic_Hi Edu FTE 30,001 - 40k</t>
  </si>
  <si>
    <t>Uniprint Site License for Higher Education FTE 40,001 - 50,000</t>
  </si>
  <si>
    <t>UniprintSite Lic_Hi Edu FTE 40,001 - 50k</t>
  </si>
  <si>
    <t>Uniprint Site License for Higher Education FTE 50,001 &amp; above</t>
  </si>
  <si>
    <t>UniprintSite Lic_Hi Edu FTE 50k &amp; above</t>
  </si>
  <si>
    <t>IMFP KM Software License (per device)</t>
  </si>
  <si>
    <t>251-500 IMFP KM Software License (per device)</t>
  </si>
  <si>
    <t>251-500 IMFP KM Soft Lic (per device)</t>
  </si>
  <si>
    <t>over 500 IMFP KM Software License (per device)</t>
  </si>
  <si>
    <t>over 500 IMFP KM Soft Lic (per device)</t>
  </si>
  <si>
    <t>KM Software License (per device)</t>
  </si>
  <si>
    <t>Blueprint Annual Support &amp; Maintenance New - 1 year</t>
  </si>
  <si>
    <t>Blueprint Support &amp; Maint New 1 yr</t>
  </si>
  <si>
    <t>Blueprint Annual Support &amp; Maintenance Renewal - 1 year</t>
  </si>
  <si>
    <t>Blueprint Support &amp; Maint Renew 1 yr</t>
  </si>
  <si>
    <t>Blueprint Annual Support &amp; Maintenance New - 2 years</t>
  </si>
  <si>
    <t>Blueprint Support &amp; Maint New 2 yrs</t>
  </si>
  <si>
    <t>Blueprint Annual Support &amp; Maintenance Renewal - 2 years</t>
  </si>
  <si>
    <t>Blueprint Support &amp; Maint Renew 2 yrs</t>
  </si>
  <si>
    <t>Blueprint Annual Support &amp; Maintenance New - 3 years</t>
  </si>
  <si>
    <t>Blueprint Support &amp; Maint New 3 yrs</t>
  </si>
  <si>
    <t>Blueprint Annual Support &amp; Maintenance Renewal- 3 years</t>
  </si>
  <si>
    <t>Blueprint Support &amp; Maint Renewal 3 yrs</t>
  </si>
  <si>
    <t>Blueprint Annual Support &amp; Maintenance New - 4 years</t>
  </si>
  <si>
    <t>Blueprint Support &amp; Maint New 4 yrs</t>
  </si>
  <si>
    <t>Blueprint Annual Support &amp; Maintenance Renewal - 4 years</t>
  </si>
  <si>
    <t>Blueprint Support &amp; Maint Renew 4 yrs</t>
  </si>
  <si>
    <t>Blueprint Annual Support &amp; Maintenance New - 5 years</t>
  </si>
  <si>
    <t>Blueprint Support &amp; MaintNew 5 yrs</t>
  </si>
  <si>
    <t>Blueprint Annual Support &amp; Maintenance Renewal - 5 years</t>
  </si>
  <si>
    <t>Blueprint Support &amp; Maint Renew 5 yrs</t>
  </si>
  <si>
    <t>UNIPRINT Annual Support &amp; Maintenance - 1 year New</t>
  </si>
  <si>
    <t>UNIPRINT Support &amp; Maint New 1 yr</t>
  </si>
  <si>
    <t>UNIPRINT Annual Support &amp; Maintenance - 2 years New</t>
  </si>
  <si>
    <t>UNIPRINT Support &amp; Maint New 2 yrs</t>
  </si>
  <si>
    <t>UNIPRINT Annual Support &amp; Maintenance - 2 years Renewal</t>
  </si>
  <si>
    <t>UNIPRINT Support &amp; Main Renew 2 yrs</t>
  </si>
  <si>
    <t>UNIPRINT Annual Support &amp; Maintenance - 3 years New</t>
  </si>
  <si>
    <t>UNIPRINT Support &amp; Maint New 3 yrs</t>
  </si>
  <si>
    <t>UNIPRINT Annual Support &amp; Maintenance - 3 years Renewal</t>
  </si>
  <si>
    <t>UNIPRINT Support &amp; Maint Renew 3 yrs</t>
  </si>
  <si>
    <t>UNIPRINT Annual Support &amp; Maintenance - 4 years New</t>
  </si>
  <si>
    <t>UNIPRINT Support &amp; Maint New 4 yrs</t>
  </si>
  <si>
    <t>UNIPRINT Annual Support &amp; Maintenance - 4 years Renewal</t>
  </si>
  <si>
    <t>UNIPRINT Support &amp; Maint Renew 4 yrs</t>
  </si>
  <si>
    <t>UNIPRINT Annual Support &amp; Maintenance - 5 years New</t>
  </si>
  <si>
    <t>UNIPRINT Support &amp; Maint New 5 yrs</t>
  </si>
  <si>
    <t>UNIPRINT Annual Support &amp; Maintenance - 5 years Renewal</t>
  </si>
  <si>
    <t>UNIPRINT Support &amp; Maint Renew- 5 yrs</t>
  </si>
  <si>
    <t>PlanetPress   V7</t>
  </si>
  <si>
    <t>PlanetPress</t>
  </si>
  <si>
    <t>V7</t>
  </si>
  <si>
    <t>(A1) PlanetPress Software License</t>
  </si>
  <si>
    <t>PLANETPRESS 7 WATCH 1 LIC</t>
  </si>
  <si>
    <t>PlanetPress 7 Watch - 1 License</t>
  </si>
  <si>
    <t>PLANETPRESS 7 WATCH 2+ LIC</t>
  </si>
  <si>
    <t>PlanetPress 7 Watch - 2+ Licenses (per license)</t>
  </si>
  <si>
    <t>PLANETPRESS OFFICE 1 LIC</t>
  </si>
  <si>
    <t>PlanetPress Office - 1 License</t>
  </si>
  <si>
    <t>PLANETPRESS OFFICE 2+ LIC</t>
  </si>
  <si>
    <t>PlanetPress Office - 2+ Licenses (per license)</t>
  </si>
  <si>
    <t>PLANETPRESS PRODUCTION 1 LIC</t>
  </si>
  <si>
    <t>PlanetPress Production - 1 License</t>
  </si>
  <si>
    <t>PLANETPRESS PRODUCTION 2+ LIC</t>
  </si>
  <si>
    <t>PlanetPress Production - 2+ Licenses (per license)</t>
  </si>
  <si>
    <t>PLANETPRESS 7 IMAGING 1 LIC</t>
  </si>
  <si>
    <t>PlanetPress 7 Imaging - 1 License</t>
  </si>
  <si>
    <t>PLANETPRESS 7 IMAGING 2+ LIC</t>
  </si>
  <si>
    <t>PlanetPress 7 Imaging - 2+ Licenses (per license)</t>
  </si>
  <si>
    <t>PP WATCH DISASTER RECOVERY/DEV LICENSE</t>
  </si>
  <si>
    <t>PlanetPress Watch Disaster Recovery/Development License</t>
  </si>
  <si>
    <t>PP OFFICE DISASTER RECOVERY/DEV LICENSE</t>
  </si>
  <si>
    <t>PlanetPress Office Disaster Recovery/Development License</t>
  </si>
  <si>
    <t>PP PROD DISASTER RECOVERY/DEV LICENSE</t>
  </si>
  <si>
    <t>PlanetPress Production Disaster Recovery/Development License</t>
  </si>
  <si>
    <t>PP IMAGING DISASTER RECOVERY/DEV LICENSE</t>
  </si>
  <si>
    <t>PlanetPress Imaging Disaster Recovery/Development License</t>
  </si>
  <si>
    <t>(A2) PlanetPress Software License Maintenance (Mandatory)</t>
  </si>
  <si>
    <t>PP WATCH 1 LIC MAINT</t>
  </si>
  <si>
    <t>PlanetPress Watch - 1 License: Maintenance</t>
  </si>
  <si>
    <t>PP WATCH UPTO 2+ LIC MAINT</t>
  </si>
  <si>
    <t>PlanetPress Watch - 2+ Licenses: Maintenance (per license)</t>
  </si>
  <si>
    <t>PP OFFICE 1 LIC MAINT</t>
  </si>
  <si>
    <t>PlanetPress Office - 1 License: Maintenance</t>
  </si>
  <si>
    <t>PP OFFICE 2+ LIC MAINT</t>
  </si>
  <si>
    <t>PlanetPress Office - 2+ Licenses: Maintenance (per license)</t>
  </si>
  <si>
    <t>PP PRODUCTION 1 LIC MAINT</t>
  </si>
  <si>
    <t>PlanetPress Production - 1 License: Maintenance</t>
  </si>
  <si>
    <t>PP PRODUCTION 2+ LIC MAINT</t>
  </si>
  <si>
    <t>PlanetPress Production - 2+ Licenses: Maintenance (per license)</t>
  </si>
  <si>
    <t>PP IMAGING 1 LIC: MAINT</t>
  </si>
  <si>
    <t>PlanetPress Imaging - 1 License: Maintenance</t>
  </si>
  <si>
    <t>PP IMAGING 2+ LIC: MAINT</t>
  </si>
  <si>
    <t>PlanetPress Imaging - 2+ Licenses (per license): Maintenance</t>
  </si>
  <si>
    <t>(A3) PlanetPress Software License Maintenance Renewal</t>
  </si>
  <si>
    <t>PP WATCH 1 LIC MNT RENEW</t>
  </si>
  <si>
    <t>PlanetPress Watch - 1 License: Maintenance Renewal</t>
  </si>
  <si>
    <t>PP WATCH UPTO 2+ LIC MNT RENEW</t>
  </si>
  <si>
    <t>PlanetPress Watch - 2+ Licenses: Maintenance Renewal (per license)</t>
  </si>
  <si>
    <t>PP OFFC 1 LIC: MNT RENEW</t>
  </si>
  <si>
    <t>PlanetPress Office - 1 License: Maintenance Renewal</t>
  </si>
  <si>
    <t>PP OFFC 2+ LIC: MNT RENEW</t>
  </si>
  <si>
    <t>PlanetPress Office - 2+ Licenses: Maintenance Renewal (per license)</t>
  </si>
  <si>
    <t>PP PROD 1 LIC: MNT RENEW</t>
  </si>
  <si>
    <t>PlanetPress Production - 1 License: Maintenance Renewal</t>
  </si>
  <si>
    <t>PP PROD 2+ LIC: MNT RENEW</t>
  </si>
  <si>
    <t>PlanetPress Production - 2+ Licenses: Maintenance Renewal (per license)</t>
  </si>
  <si>
    <t>PP IMAGING 1 LIC: MNT RENEW</t>
  </si>
  <si>
    <t>PlanetPress Imaging - 1 License: Maintenance Renewal</t>
  </si>
  <si>
    <t>PP IMAGING 2+ LIC: MNT RENEW</t>
  </si>
  <si>
    <t>PlanetPress Imaging - 2+ Licenses (per license): Maintenance Renewal</t>
  </si>
  <si>
    <t>(A4) PlanetPress Software License Maintenance Re-Entry</t>
  </si>
  <si>
    <t>PP WATCH 1 LIC MNT RE-ENT</t>
  </si>
  <si>
    <t>PlanetPress Watch 1 License: Maintenance Re-entry</t>
  </si>
  <si>
    <t>PP WATCH UPTO 2+ LIC MNT RE-ENT</t>
  </si>
  <si>
    <t>PlanetPress Watch 2+ Licenses: Maintenance Re-entry (per license)</t>
  </si>
  <si>
    <t>PP OFFICE 1 LIC MNT RE-ENT</t>
  </si>
  <si>
    <t>PlanetPress Office 1 License: Maintenance Re-entry</t>
  </si>
  <si>
    <t>PP OFFICE 2+ LIC MNT RE-ENT</t>
  </si>
  <si>
    <t>PlanetPress Office 2+ Licenses: Maintenance Re-entry (per license)</t>
  </si>
  <si>
    <t>PP PROD 1 LIC MNT RE-ENT</t>
  </si>
  <si>
    <t>PlanetPress Production 1 License: Maintenance Re-entry</t>
  </si>
  <si>
    <t>PP PROD 2+ LIC MNT RE-ENT</t>
  </si>
  <si>
    <t>PlanetPress Production 2+ Licenses: Maintenance Re-entry (per license)</t>
  </si>
  <si>
    <t>PP IMAGING 1 LIC: MNT RE-ENT</t>
  </si>
  <si>
    <t>PlanetPress Imaging - 1 License: Maintenance Re-entry</t>
  </si>
  <si>
    <t>PP IMAGING 2+ LIC: MNT RE-ENT</t>
  </si>
  <si>
    <t>PlanetPress Imaging - 2+ Licenses (per license): Maintenance Re-entry</t>
  </si>
  <si>
    <t>(B1) PlanetPress Printer Licenses</t>
  </si>
  <si>
    <t>PP PR LIC UPGD: 1-50 TO 51-69 QTY 1</t>
  </si>
  <si>
    <t>PlanetPress Printer Speed-Up License Upgrade: 1-50ppm to 51-69ppm (Cat 1 to Cat 2) Qty 1</t>
  </si>
  <si>
    <t>PP PRINTER 1-50 PPM 1 LIC</t>
  </si>
  <si>
    <t>PlanetPress printer license (1-50 ppm); 1 license</t>
  </si>
  <si>
    <t>PP PRINTER 1-50 PPM UPTO 5 LIC</t>
  </si>
  <si>
    <t>PlanetPress printer license (1-50 ppm); up to 5 licenses</t>
  </si>
  <si>
    <t>PP PRINTER 1-50 PPM UPTO 10 LIC</t>
  </si>
  <si>
    <t>PlanetPress printer license (1-50 ppm); up to 10 licenses</t>
  </si>
  <si>
    <t>PP PRINTER 1-50 PPM UPTO 11+ LIC</t>
  </si>
  <si>
    <t>PlanetPress printer license (1-50 ppm); 11 or more licenses</t>
  </si>
  <si>
    <t>PP PRINTER 51-69 PPM 1 LIC</t>
  </si>
  <si>
    <t>PlanetPress printer license (51-69 ppm); 1 license</t>
  </si>
  <si>
    <t>PP PRINTER 51-69 PPM UPTO 5 LIC</t>
  </si>
  <si>
    <t>PlanetPress printer license (51-69 ppm); up to 5 licenses</t>
  </si>
  <si>
    <t>PP PRINTER 51-69 PPM UPTO 10 LIC</t>
  </si>
  <si>
    <t>PlanetPress printer license (51-69 ppm); up to 10 licenses</t>
  </si>
  <si>
    <t>PP PRINTER 51-69 PPM UPTO 11+ LIC</t>
  </si>
  <si>
    <t>PlanetPress printer license (51-69 ppm); 11 or more licenses</t>
  </si>
  <si>
    <t>PP PRINTER 70-105 PPM 1 LIC</t>
  </si>
  <si>
    <t>PlanetPress printer license (70-105 ppm); 1 license</t>
  </si>
  <si>
    <t>PP PRINTER 70-105 PPM UPTO 5 LIC</t>
  </si>
  <si>
    <t>PlanetPress printer license (70-105 ppm); up to 5 licenses</t>
  </si>
  <si>
    <t>PP PRINTER 70-105 PPM UPTO 6+ LIC</t>
  </si>
  <si>
    <t>PlanetPress printer license (70-105 ppm); 6 or more licenses</t>
  </si>
  <si>
    <t>PP PRINTER 106-179 PPM 1 LIC</t>
  </si>
  <si>
    <t>PlanetPress printer license (106-179 ppm); 1 license</t>
  </si>
  <si>
    <t>PP PRINTER 106-179 PPM UPTO 2+ LIC</t>
  </si>
  <si>
    <t>PlanetPress printer license (106-179 ppm); up to 5 licenses</t>
  </si>
  <si>
    <t>PP PRINTER 180+ PPM 1 LIC</t>
  </si>
  <si>
    <t>PlanetPress printer license (180+ ppm); 1 license</t>
  </si>
  <si>
    <t>PP PRINTER 180+ PPM UPTO 2+ LIC</t>
  </si>
  <si>
    <t>PlanetPress printer license (180+ ppm); 2 or more licenses</t>
  </si>
  <si>
    <t>PP PR LIC UPGD: 1-50 TO 70-105 QTY 1</t>
  </si>
  <si>
    <t>PlanetPress Printer Speed-Up License Upgrade: 1-50ppm to 70-105ppm (Cat 1 to Cat 3) Qty 1</t>
  </si>
  <si>
    <t>PP PR LIC UPGD: 70-105 TO 179+ QTY 1</t>
  </si>
  <si>
    <t>PlanetPress Printer Speed-Up License Upgrade: 70-105ppm to 179+ppm (Cat 3 to Cat 5) Qty 1</t>
  </si>
  <si>
    <t>PP PR LIC UPGD: 106-179 TO 179+ QTY 1</t>
  </si>
  <si>
    <t>PlanetPress Printer Speed-Up License Upgrade: 106-179ppm to 179+ppm (Cat 4 to Cat 5) Qty 1</t>
  </si>
  <si>
    <t>PP PR LIC UPGD: 106-179 TO 179+ QTY 2+</t>
  </si>
  <si>
    <t>PlanetPress Printer Speed-Up License Upgrade: 106-179ppm to 179+ppm (Cat 4 to Cat 5) Qty 2+ per license</t>
  </si>
  <si>
    <t>PP PR LIC UPGD: 51-69 TO 106-179 QTY 1</t>
  </si>
  <si>
    <t>PlanetPress Printer Speed-Up License Upgrade: 51-69ppm to 106-179ppm (Cat 2 to Cat 4) Qty 1</t>
  </si>
  <si>
    <t>PP PR LIC UPGD: 70-105 TO 106-179 QTY 1</t>
  </si>
  <si>
    <t>PlanetPress Printer Speed-Up License Upgrade: 70-105ppm to 106-179ppm (Cat 3 to Cat 4) Qty 1</t>
  </si>
  <si>
    <t>PP PR LIC UPGD: 70-105 TO 106-179 QTY 2+</t>
  </si>
  <si>
    <t>PlanetPress Printer Speed-Up License Upgrade: 70-105ppm to 106-179ppm (Cat 3 to Cat 4) Qty 2+ per license</t>
  </si>
  <si>
    <t>PP PR LIC UPGD: 51-69 TO 70-105 QTY 1</t>
  </si>
  <si>
    <t>PlanetPress Printer Speed-Up License Upgrade: 51-69ppm to 70-105ppm (Cat 2 to Cat 3) Qty 1</t>
  </si>
  <si>
    <t>PP PR LIC UPGD: 1-50 TO 51-69 QTY 2+</t>
  </si>
  <si>
    <t>PlanetPress Printer Speed-Up License Upgrade: 1-50ppm to 51-69ppm (Cat 1 to Cat 2) Qty 2+ per license</t>
  </si>
  <si>
    <t>PP PR LIC UPGD: 1-50 TO 70-105 QTY 2+</t>
  </si>
  <si>
    <t>PlanetPress Printer Speed-Up License Upgrade: 1-50ppm to 70-105ppm (Cat 1 to Cat 3) Qty 2+ per license</t>
  </si>
  <si>
    <t>PP PR LIC UPGD: 1-50 TO 106-179 QTY 1</t>
  </si>
  <si>
    <t>PlanetPress Printer Speed-Up License Upgrade: 1-50ppm to 106-179ppm (Cat 1 to Cat 4) Qty 1</t>
  </si>
  <si>
    <t>PP PR LIC UPGD: 1-50 TO 106-179 QTY 2+</t>
  </si>
  <si>
    <t>PlanetPress Printer Speed-Up License Upgrade: 1-50ppm to 106-179ppm (Cat 1 to Cat 4) Qty 2+ per license</t>
  </si>
  <si>
    <t>PP PR LIC UPGD: 51-69 TO 70-105 QTY 2+</t>
  </si>
  <si>
    <t>PlanetPress Printer Speed-Up License Upgrade: 51-69ppm to 70-105ppm (Cat 2 to Cat 3) Qty 2+ per license</t>
  </si>
  <si>
    <t>PP PR LIC UPGD: 51-69 TO 106-179 QTY 2+</t>
  </si>
  <si>
    <t>PlanetPress Printer Speed-Up License Upgrade: 51-69ppm to 106-179ppm (Cat 2 to Cat 4) Qty 2+ per license</t>
  </si>
  <si>
    <t>(B2) PlanetPress Printer License Maintenance (Mandatory)</t>
  </si>
  <si>
    <t>PP PRT 1-50 PPM 1 LIC MAINT</t>
  </si>
  <si>
    <t>PlanetPress printer license (1-50 ppm); 1 license, maintenance</t>
  </si>
  <si>
    <t>PP PRT 1-50 PPM UPTO 5 LIC MAINT</t>
  </si>
  <si>
    <t>PlanetPress printer license (1-50 ppm); up to 5 licenses, maintenance per license</t>
  </si>
  <si>
    <t>PP PRT 1-50 PPM UPTO 10 LIC MAINT</t>
  </si>
  <si>
    <t>PlanetPress printer license (1-50 ppm); up to 10 licenses, maintenance per license</t>
  </si>
  <si>
    <t>PP PRT 1-50 PPM UP TO 11+ LIC MAINT</t>
  </si>
  <si>
    <t>PlanetPress printer license (1-50 ppm); 11 or more licenses, maintenance per license</t>
  </si>
  <si>
    <t>PP PRT 51-69 PPM 1 LIC MAINT</t>
  </si>
  <si>
    <t>PlanetPress printer license (51-69 ppm); 1 license, maintenance per license</t>
  </si>
  <si>
    <t>PP PRT 51-69 PPM 2-5 LIC MAINT</t>
  </si>
  <si>
    <t>PlanetPress printer license (51-69 ppm); up to 5 licenses, maintenance per license</t>
  </si>
  <si>
    <t>PP PRT 51-69 PPM UPTO 10 LIC MAINT</t>
  </si>
  <si>
    <t>PlanetPress printer license (51-69 ppm); up to 10 licenses, maintenance per license</t>
  </si>
  <si>
    <t>PP PRT 51-69 PPM UPTO 11+ LIC MAINT</t>
  </si>
  <si>
    <t>PlanetPress printer license (51-69 ppm); 11 or more licenses, maintenance per license</t>
  </si>
  <si>
    <t>PP PRT 70-105 PPM 1 LIC MAINT</t>
  </si>
  <si>
    <t>PlanetPress printer license (70-105 ppm); 1 license, maintenance per license</t>
  </si>
  <si>
    <t>PP PRT 70-105 PPM UPTO 5 LIC MAINT</t>
  </si>
  <si>
    <t>PlanetPress printer license (70-105 ppm); up to 5 licenses, maintenance per license</t>
  </si>
  <si>
    <t>PP PRT 70-105 PPM UPTO 6+ LIC MAINT</t>
  </si>
  <si>
    <t>PlanetPress printer license (70-105 ppm); 6 or more licenses, maintenance per license</t>
  </si>
  <si>
    <t>PP PRT 106-179 PPM 1 LIC MAINT</t>
  </si>
  <si>
    <t>PlanetPress printer license (106-179 ppm); 1 license, maintenance per license</t>
  </si>
  <si>
    <t>PP PRT 106-179 PPM UPTO 2+ LIC MAINT REN</t>
  </si>
  <si>
    <t>PlanetPress printer license (106-179 ppm); up to 5 licenses, maintenance per license</t>
  </si>
  <si>
    <t>PP PRT 180+ PPM 1 LIC MAINT</t>
  </si>
  <si>
    <t>PlanetPress printer license (180+ ppm); 1 license, maintenance per license</t>
  </si>
  <si>
    <t>PP PRT 180+ PPM UPTO 2+ LIC MAINT</t>
  </si>
  <si>
    <t>PlanetPress printer license (180+ ppm); 2 or more licenses, maintenance per license</t>
  </si>
  <si>
    <t>(B3) PlanetPress Printer License Maintenance Renewal</t>
  </si>
  <si>
    <t>PP PRT 1-50 PPM 1 LIC MNT RENEW</t>
  </si>
  <si>
    <t>PlanetPress printer license (1-50 ppm); 1 license, maintenance renewal</t>
  </si>
  <si>
    <t>PP PRT 1-50 PPM UPTO 5 LIC MNT RENEW</t>
  </si>
  <si>
    <t>PlanetPress printer license (1-50 ppm); up to 5 licenses, maintenance renewal per license</t>
  </si>
  <si>
    <t>PP PRT 1-50 PPM UPTO 10 LIC MNT RENEW</t>
  </si>
  <si>
    <t>PlanetPress printer license (1-50 ppm); up to 10 licenses, maintenance renewal per license</t>
  </si>
  <si>
    <t>PP PRT 1-50 PPM UP TO 11+ LIC MNT RENEW</t>
  </si>
  <si>
    <t>PlanetPress printer license (1-50 ppm); 11 or more licenses, maintenance renewal per license</t>
  </si>
  <si>
    <t>PP PRT 51-69 PPM 1 LIC MNT RENEW</t>
  </si>
  <si>
    <t>PlanetPress printer license (51-69 ppm); 1 license, maintenance renewal per license</t>
  </si>
  <si>
    <t>PP PRT 51-69 PPM 2-5 LIC MNT RENEW</t>
  </si>
  <si>
    <t>PlanetPress printer license (51-69 ppm); up to 5 licenses, maintenance renewal per license</t>
  </si>
  <si>
    <t>PP PRT 51-69 PPM UPTO 10 LIC MNT RENEW</t>
  </si>
  <si>
    <t>PlanetPress printer license (51-69 ppm); up to 10 licenses, maintenance renewal per license</t>
  </si>
  <si>
    <t>PP PRT 70-105 PPM 1 LIC MNT RENEW</t>
  </si>
  <si>
    <t>PlanetPress printer license (70-105 ppm); up to 5 licenses, maintenance renewal per license</t>
  </si>
  <si>
    <t>PlanetPress printer license (70-105 ppm); 1 license, maintenance renewal per license</t>
  </si>
  <si>
    <t>PP PRT 70-105 PPM UPTO 5 LIC MNT RENEW</t>
  </si>
  <si>
    <t>PP PRT 70-105 PPM UPTO 6+ LIC MNT RENEW</t>
  </si>
  <si>
    <t>PlanetPress printer license (70-105 ppm); 6 or more licenses, maintenance renewal per license</t>
  </si>
  <si>
    <t>PP PRT 106-179 PPM 1 LIC MNT RENEW</t>
  </si>
  <si>
    <t>PlanetPress printer license (106-179 ppm); 1 license, maintenance renewal per license</t>
  </si>
  <si>
    <t>PP PRT 106-179 PPM UPTO 2+ LIC MNT REN</t>
  </si>
  <si>
    <t>PlanetPress printer license (106-179 ppm); up to 5 licenses, maintenance renewal per license</t>
  </si>
  <si>
    <t>PP PRT 180+ PPM 1 LIC MNT RENEW</t>
  </si>
  <si>
    <t>PlanetPress printer license (180+ ppm); 1 license, maintenance renewal per license</t>
  </si>
  <si>
    <t>PP PRT 180+ PPM UPTO 2+ LIC MNT RENEW</t>
  </si>
  <si>
    <t>PlanetPress printer license (180+ ppm); 2 or more licenses, maintenance renewal per license</t>
  </si>
  <si>
    <t>(B4) PlanetPress Printer License Maintenance Re-Entry</t>
  </si>
  <si>
    <t>PP PRT 1-50 PPM 1 LIC MNT RE-ENT</t>
  </si>
  <si>
    <t>PP PRT 1-50 PPM UPTO 5 LIC MNT RE-ENT</t>
  </si>
  <si>
    <t>PlanetPress printer license (1-50 ppm); up to 5 licenses, maintenance re-entry per license</t>
  </si>
  <si>
    <t>PP PRT 1-50 PPM UPTO 10 LIC MNT RE-ENT</t>
  </si>
  <si>
    <t>PlanetPress printer license (1-50 ppm); up to 10 licenses, maintenance re-entry per license</t>
  </si>
  <si>
    <t>PP PRT 1-50 PPM UPTO 11+ LIC MNT RE-ENT</t>
  </si>
  <si>
    <t>PlanetPress printer license (1-50 ppm); 11 or more licenses, maintenance re-entry per license</t>
  </si>
  <si>
    <t>PP PRT 51-69 PPM 1 LIC MNT RE-ENT</t>
  </si>
  <si>
    <t>PlanetPress printer license (51-69 ppm); 1 license, maintenance re-entry per license</t>
  </si>
  <si>
    <t>PP PRT 51-69 PPM UPTO 5 LIC MNT RE-ENT</t>
  </si>
  <si>
    <t>PlanetPress printer license (51-69 ppm); up to 5 licenses, maintenance re-entry per license</t>
  </si>
  <si>
    <t>PP PRT 51-69 PPM UPTO 10 LIC MNT RE-ENT</t>
  </si>
  <si>
    <t>PlanetPress printer license (51-69 ppm); up to 10 licenses, maintenance re-entry per license</t>
  </si>
  <si>
    <t>PP PRT 51-69 PPM UPTO 11+ LIC MNT RE-ENT</t>
  </si>
  <si>
    <t>PlanetPress printer license (51-69 ppm); 11 or more licenses, maintenance re-entry per license</t>
  </si>
  <si>
    <t>PP PRT 70-105 PPM 1 LIC MNT RE-ENT</t>
  </si>
  <si>
    <t>PlanetPress printer license (70-105 ppm); 1 license, maintenance re-entry per license</t>
  </si>
  <si>
    <t>PP PRT 70-105 PPM UPTO 5 LIC MNT RE-ENT</t>
  </si>
  <si>
    <t>PlanetPress printer license (70-105 ppm); up to 5 licenses, maintenance re-entry per license</t>
  </si>
  <si>
    <t>PP PRT 70-105 PPM UPTO 6+ LIC MNT RE-ENT</t>
  </si>
  <si>
    <t>PlanetPress printer license (70-105 ppm); 6 or more licenses, maintenance re-entry per license</t>
  </si>
  <si>
    <t>PP PRT 106-179 PPM 1 LIC MNT RE-ENT</t>
  </si>
  <si>
    <t>PlanetPress printer license (106-179 ppm); 1 license, maintenance re-entry per license</t>
  </si>
  <si>
    <t>PP PRT 106-179 PPM UPTO 2+ LIC MNT RE-EN</t>
  </si>
  <si>
    <t>PlanetPress printer license (106-179 ppm); up to 5 licenses, maintenance re-entry per license</t>
  </si>
  <si>
    <t>PP PRT 180+ PPM 1 LIC MNT RE-ENT</t>
  </si>
  <si>
    <t>PlanetPress printer license (180+ ppm); 1 license, maintenance re-entry per license</t>
  </si>
  <si>
    <t>PP PRT 180+ PPM UPTO 2+ LIC MNT RE-ENT</t>
  </si>
  <si>
    <t>PlanetPress printer license (180+ ppm); 2 or more licenses, maintenance re-entry per license</t>
  </si>
  <si>
    <t>(C1) PlanetPress Software Upgrade</t>
  </si>
  <si>
    <t>PP WATCH TO OFFICE UPGD 1 LIC</t>
  </si>
  <si>
    <t>Upgrade from PlanetPress Watch to PlanetPress Office - 1 License</t>
  </si>
  <si>
    <t>PP WATCH TO OFFICE UPGD 2+ LIC</t>
  </si>
  <si>
    <t>Upgrade from PlanetPress Watch to PlanetPress Office - 2+ Licenses (per license)</t>
  </si>
  <si>
    <t>PP WATCH TO PROD UPGD 1 LIC</t>
  </si>
  <si>
    <t>Upgrade from PlanetPress Watch to PlanetPress Production - 1 License</t>
  </si>
  <si>
    <t>PP WATCH TO PROD UPGD 2+ LIC</t>
  </si>
  <si>
    <t>Upgrade from PlanetPress Watch to PlanetPress Production - 2+ Licenses (per license)</t>
  </si>
  <si>
    <t>PP OFFICE TO PROD UPGD 1 LIC</t>
  </si>
  <si>
    <t>Upgrade from PlanetPress Office to PlanetPress Production - 1 License</t>
  </si>
  <si>
    <t>PP OFFICE TO PROD UPGD 2+ LIC</t>
  </si>
  <si>
    <t>Upgrade from PlanetPress Office to PlanetPress Production - 2+ Licenses (per license)</t>
  </si>
  <si>
    <t>(C2) PlanetPress Software Upgrade Maintenance (Mandatory)</t>
  </si>
  <si>
    <t>PP WATCH TO OFFICE UPGD 1 LIC: MAINT</t>
  </si>
  <si>
    <t>Upgrade from PlanetPress Watch to PlanetPress Office - 1 License: Maintenance</t>
  </si>
  <si>
    <t>PP WATCH TO OFFICE UPGD 2+ LIC: MAINT</t>
  </si>
  <si>
    <t>Upgrade from PlanetPress Watch to PlanetPress Office - 2+ Licenses (per license): Maintenance</t>
  </si>
  <si>
    <t>PP WATCH TO PROD UPGD 1 LIC: MAINT</t>
  </si>
  <si>
    <t>Upgrade from PlanetPress Watch to PlanetPress Production - 1 License: Maintenance</t>
  </si>
  <si>
    <t>PP WATCH TO PROD UPGD 2+ LIC: MAINT</t>
  </si>
  <si>
    <t>Upgrade from PlanetPress Watch to PlanetPress Production - 2+ Licenses (per license): Maintenance</t>
  </si>
  <si>
    <t>PP OFFICE TO PROD UPGD 1 LIC: MAINT</t>
  </si>
  <si>
    <t>Upgrade from PlanetPress Office to PlanetPress Production - 1 License: Maintenance</t>
  </si>
  <si>
    <t>PP OFFICE TO PROD UPGD 2+ LIC: MAINT</t>
  </si>
  <si>
    <t>Upgrade from PlanetPress Office to PlanetPress Production - 2 Licenses (per license): Maintenance</t>
  </si>
  <si>
    <t>(C3) PlanetPress Software Upgrade Maintenance Renewal</t>
  </si>
  <si>
    <t>PP WATCH TO OFFC UPGD 1 LIC: MNT RENEW</t>
  </si>
  <si>
    <t>Upgrade from PlanetPress Watch to PlanetPress Office - 1 License: Maintenance Renewal</t>
  </si>
  <si>
    <t>PP WATCH TO OFFC UPGD 2+ LIC: MNT RENEW</t>
  </si>
  <si>
    <t>Upgrade from PlanetPress Watch to PlanetPress Office - 2+ Licenses (per license): Maintenance Renewal</t>
  </si>
  <si>
    <t>PP WATCH TO PROD UPGD 1 LIC: MNT RENEW</t>
  </si>
  <si>
    <t>Upgrade from PlanetPress Watch to PlanetPress Production - 1 License: Maintenance Renewal</t>
  </si>
  <si>
    <t>PP OFFC TO PROD UPGD 1 LIC: MNT RENEW</t>
  </si>
  <si>
    <t>Upgrade from PlanetPress Office to PlanetPress Production - 1 License: Maintenance Renewal</t>
  </si>
  <si>
    <t>PP OFFC TO PROD UPGD 2+ LIC: MNT RENEW</t>
  </si>
  <si>
    <t>Upgrade from PlanetPress Office to PlanetPress Production - 2 Licenses (per license): Maintenance Renewal</t>
  </si>
  <si>
    <t>(C4) PlanetPress Software Upgrade Maintenance Re-Entry</t>
  </si>
  <si>
    <t>PP WATCH TO OFFC UPGD 1 LIC: MNT RE-ENT</t>
  </si>
  <si>
    <t>Upgrade from PlanetPress Watch to PlanetPress Office - 1 License: Maintenance Re-entry</t>
  </si>
  <si>
    <t>PP WATCH TO OFFC UPGD 2+ LIC: MNT RE-ENT</t>
  </si>
  <si>
    <t>Upgrade from PlanetPress Watch to PlanetPress Office - 2+ Licenses (per license): Maintenance Re-entry</t>
  </si>
  <si>
    <t>PP WATCH TO PROD UPGD 1 LIC: MNT RE-ENT</t>
  </si>
  <si>
    <t>Upgrade from PlanetPress Watch to PlanetPress Production - 1 License: Maintenance Re-entry</t>
  </si>
  <si>
    <t>PP WATCH TO PROD UPGD 2+ LIC: MNT RE-ENT</t>
  </si>
  <si>
    <t>Upgrade from PlanetPress Watch to PlanetPress Production - 2+ Licenses (per license): Maintenance Re-entry</t>
  </si>
  <si>
    <t>PP OFFC TO PROD UPGD 1 LIC: MNT RE-ENT</t>
  </si>
  <si>
    <t>Upgrade from PlanetPress Office to PlanetPress Production - 1 License: Maintenance Re-entry</t>
  </si>
  <si>
    <t>PP OFFC TO PROD UPGD 2+ LIC: MNT RE-ENT</t>
  </si>
  <si>
    <t>Upgrade from PlanetPress Office to PlanetPress Production - 2 Licenses (per license): Maintenance Re-entry</t>
  </si>
  <si>
    <t>(D1) PlanetPress Physical Media</t>
  </si>
  <si>
    <t>PLANETPRESS SOFTWARE MEDIA</t>
  </si>
  <si>
    <t>PlanetPress Suite 7 Software Media</t>
  </si>
  <si>
    <t>(E1) PlanetPress Training</t>
  </si>
  <si>
    <t>PPS WEB-BASED END-USER TRAINING</t>
  </si>
  <si>
    <t>PlanetPress Suite Web-Based End-User Training</t>
  </si>
  <si>
    <t>PP DOCUMENT DESIGN AT OL (2 DAYS)</t>
  </si>
  <si>
    <t>PlanetPress Document Design at Objectif Lune: Per Student (2 days) - English</t>
  </si>
  <si>
    <t>PP DOCUMENT FLOW: AT OL (2 DAYS)</t>
  </si>
  <si>
    <t>PlanetPress Document Flow at Objectif Lune: Per Student(2 days) - English</t>
  </si>
  <si>
    <t>PP SOLUTION DEV AT OL (4 DAYS)</t>
  </si>
  <si>
    <t>PlanetPress Solution Development at Objectif Lune: Per Student (4 days) - English</t>
  </si>
  <si>
    <t>PP CUSTOM TRAINING AT OL (PER DAY)</t>
  </si>
  <si>
    <t>PlanetPress Custom Training at Objectif Lune: Per Student (per day) - English</t>
  </si>
  <si>
    <t>PLANETPRESS TALK AT OL (PER DAY)</t>
  </si>
  <si>
    <t>PlanetPress Talk at Objectif Lune: Per Student (per day) - English</t>
  </si>
  <si>
    <t>PP DOCUMENT DESIGN ON-SITE (2 DAYS)</t>
  </si>
  <si>
    <t>PlanetPress Document Design On-Site (2 days with a maximum of 5 students) - English</t>
  </si>
  <si>
    <t>PP DOCUMENT FLOW ON-SITE (2 DAYS)</t>
  </si>
  <si>
    <t>PlanetPress Document Flow On-Site (2 days with a maximum of 5 students) - English</t>
  </si>
  <si>
    <t>PP SOLUTION DEV ON-SITE (4 DAYS)</t>
  </si>
  <si>
    <t>PlanetPress Solution Development On-Site (4 days with a maximum of 5 students) - English</t>
  </si>
  <si>
    <t>PP CUSTOM TRAINING ON-SITE (PER DAY)</t>
  </si>
  <si>
    <t>PlanetPress Custom Training On-Site (per day) - English</t>
  </si>
  <si>
    <t>PLANETPRESS TALK ON-SITE (PER DAY)</t>
  </si>
  <si>
    <t>PlanetPress Talk On-Site (per day with a maximum of 5 students) - English</t>
  </si>
  <si>
    <t>(H1) Objectif Lune Professional Services</t>
  </si>
  <si>
    <t>OBJECTIF LUNE AIRFARE</t>
  </si>
  <si>
    <t>Objectif Lune Airfare (at cost)</t>
  </si>
  <si>
    <t>OBJECTIF LUNE ON-SITE SRVCS(ONE 8-HRDAY)</t>
  </si>
  <si>
    <t>Professional Services - on-site per day</t>
  </si>
  <si>
    <t>OBJECTIF LUNE CUSTM APPLICATN DEVELOPMNT</t>
  </si>
  <si>
    <t>Professional Services - at OL (Hourly)</t>
  </si>
  <si>
    <t>OL PER DIEM On-Site Instructor</t>
  </si>
  <si>
    <t>Objectif Lune Professional Services Per Diem On-Site Instructor</t>
  </si>
  <si>
    <t>OL PROF SERVICES - HOURLY (MIN 4 HOURS)</t>
  </si>
  <si>
    <t>Professional Services - remote (Hourly, min 4hrs)</t>
  </si>
  <si>
    <t>PlanetPress Capture  </t>
  </si>
  <si>
    <t>PlanetPress Capture</t>
  </si>
  <si>
    <t>ANOTO DP-201 DIGITAL PEN</t>
  </si>
  <si>
    <t>Anoto DP-201 Digital Pen</t>
  </si>
  <si>
    <t>PP CAPTURE PEN LICENSE: QTY 1-25</t>
  </si>
  <si>
    <t>PlanetPress Capture Pen License: Qty 1 to 25 (Per User). Requires PlanetPress Production</t>
  </si>
  <si>
    <t>PP CAPTURE PEN LICENSE: QTY 26-50</t>
  </si>
  <si>
    <t>PlanetPress Capture Pen License: Qty 26 to 50 (Per User). Requires PlanetPress Production</t>
  </si>
  <si>
    <t>PP CAPTURE PEN LICENSE: QTY 51-100</t>
  </si>
  <si>
    <t>PlanetPress Capture Pen License: Qty 51 to 100 (Per User). Requires PlanetPress Production</t>
  </si>
  <si>
    <t>PP CAPTURE PEN LICENSE: QTY 101+</t>
  </si>
  <si>
    <t>PlanetPress Capture Pen License: Qty 101+ (Per User) Requires PlanetPress Production</t>
  </si>
  <si>
    <t>GOFORMZ ENT HSTD 1YR SUBS: PER TBLT/ACCT</t>
  </si>
  <si>
    <t>GoFormz Enterprise Hosted Annual Subscription (per tablet/account)</t>
  </si>
  <si>
    <t>PP CAPTURE GOFORMZ ENTRPRS PLUGIN LIC</t>
  </si>
  <si>
    <t>PlanetPress Capture - GoFormz Enterprise Plugin License for Office/Production</t>
  </si>
  <si>
    <t>CAPT PEN LIC: OL CARE AT POP QTY 1-25</t>
  </si>
  <si>
    <t>PlanetPress Capture Pen License: OL Care - Mandatory at POP Qty 1 to 25 (Per User)</t>
  </si>
  <si>
    <t>CAPT PEN LIC: OL CARE AT POP QTY 26-50</t>
  </si>
  <si>
    <t>PlanetPress Capture Pen License: OL Care - Mandatory at POP Qty 26 to 50 (Per User)</t>
  </si>
  <si>
    <t>CAPT PEN LIC: OL CARE AT POP QTY 51-100</t>
  </si>
  <si>
    <t>PlanetPress Capture Pen License: OL Care - Mandatory at POP Qty 51 to 100 (Per User)</t>
  </si>
  <si>
    <t>CAPT PEN LIC: OL CARE AT POP QTY 101+</t>
  </si>
  <si>
    <t>PlanetPress Capture Pen License: OL Care - Mandatory at POP Qty 101+ (Per User)</t>
  </si>
  <si>
    <t>PP CAPT GOFORMZ ENT P/I LIC MNT NEW</t>
  </si>
  <si>
    <t>OL Care - Mandatory at POP - PlanetPress Capture - GoFormz Enterprise Plugin License</t>
  </si>
  <si>
    <t>Main Software Maintenance Annual Renewal</t>
  </si>
  <si>
    <t>CAPT PEN LIC: OL CARE RENEWAL QTY 1-25</t>
  </si>
  <si>
    <t>PlanetPress Capture Pen License: OL Care - Renewal Qty 1 to 25 (Per User)</t>
  </si>
  <si>
    <t>CAPT PEN LIC: OL CARE RENEWAL QTY 26-50</t>
  </si>
  <si>
    <t>PlanetPress Capture Pen License: OL Care - Renewal Qty 26 to 50 (Per User)</t>
  </si>
  <si>
    <t>CAPT PEN LIC: OL CARE RENEWAL QTY 51-100</t>
  </si>
  <si>
    <t>PlanetPress Capture Pen License: OL Care - Renewal Qty 51 to 100 (Per User)</t>
  </si>
  <si>
    <t>CAPT PEN LIC: OL CARE RENEWAL QTY 101+</t>
  </si>
  <si>
    <t>PlanetPress Capture Pen License: OL Care - Renewal Qty 101+ (Per User)</t>
  </si>
  <si>
    <t>PP CAPT GOFORMZ ENT P/I LIC MNT REN</t>
  </si>
  <si>
    <t>OL Care - Renewal - PlanetPress Capture - GoFormz Enterprise Plugin License</t>
  </si>
  <si>
    <t>Main Software Maintenance Re-entry</t>
  </si>
  <si>
    <t>CAPT PEN LIC: OL CARE REENTRY QTY 1-25</t>
  </si>
  <si>
    <t>PlanetPress Capture Pen License: OL Care - Re-Entry Qty 1 to 25 (Per User)</t>
  </si>
  <si>
    <t>CAPT PEN LIC: OL CARE REENTRY QTY 26-50</t>
  </si>
  <si>
    <t>PlanetPress Capture Pen License: OL Care - Re-Entry Qty 26 to 50 (Per User)</t>
  </si>
  <si>
    <t>CAPT PEN LIC: OL CARE REENTRY QTY 51-100</t>
  </si>
  <si>
    <t>PlanetPress Capture Pen License: OL Care - Re-Entry Qty 51 to 100 (Per User)</t>
  </si>
  <si>
    <t>CAPT PEN LIC: OL CARE REENTRY QTY 101+</t>
  </si>
  <si>
    <t>PlanetPress Capture Pen License: OL Care - Re-Entry Qty 101+ (Per User)</t>
  </si>
  <si>
    <t>PP CAPT GOFORMZ ENT P/I LIC MNT RE-ENT</t>
  </si>
  <si>
    <t>OL Care - Re-entry - PlanetPress Capture - GoFormz Enterprise Plugin License</t>
  </si>
  <si>
    <t>ANOTO ACCESSORY SPARE CAP DP201# 711005 - BLACK COLOR (SET OF 10)</t>
  </si>
  <si>
    <t>Anoto Accessory Spare Cap DP201# 711005 - Black Color (Set of 10)</t>
  </si>
  <si>
    <t>ANOTO ACCESSORY MOBILE CRADLE #711002 (SET OF 10)</t>
  </si>
  <si>
    <t>Anoto Accessory Mobile Cradle #711002 (Set of 10)</t>
  </si>
  <si>
    <t>ANOTO DIGITAL PEN REFILLS PILOT 0.7MM BLACK #73407919 (PACK OF 100)</t>
  </si>
  <si>
    <t>Anoto Digital Pen Refills Pilot 0.7mm Black #73407919 (Pack of 100)</t>
  </si>
  <si>
    <t>Printgroove   Version 2.0</t>
  </si>
  <si>
    <t>Printgroove</t>
  </si>
  <si>
    <t>Version 2.0</t>
  </si>
  <si>
    <t>Printgroove POD Activation Kit</t>
  </si>
  <si>
    <t>Activation and dongle Kit for building PG Server</t>
  </si>
  <si>
    <t>Printgroove v2.0 POD Queue Module</t>
  </si>
  <si>
    <t>Includes 5 concurent user licences and 5 MFP</t>
  </si>
  <si>
    <t>Printgroove v2.0 POD Ready Module</t>
  </si>
  <si>
    <t>Standalone Makeready program designed to be used by itself or connected to a Printgroove Server</t>
  </si>
  <si>
    <t>Printgroove Guide add-ons</t>
  </si>
  <si>
    <t>Advanced Workflow - 5 Pack</t>
  </si>
  <si>
    <t>5 Additional Automated Workflows</t>
  </si>
  <si>
    <t>Advanced Workflow - 10 Pack</t>
  </si>
  <si>
    <t>10 Additional Automated Workflows</t>
  </si>
  <si>
    <t>Advanced Workflow - 25 Pack</t>
  </si>
  <si>
    <t>25 Additional automated Workflows</t>
  </si>
  <si>
    <t>Advanced Workflow - 50 Pack</t>
  </si>
  <si>
    <t>50 Additional Automated Workflows</t>
  </si>
  <si>
    <t>Advanced Workflow - 100 Pack</t>
  </si>
  <si>
    <t>100 Additional Automated Workflows</t>
  </si>
  <si>
    <t>PG POD Guide Additional 10 Internal Users</t>
  </si>
  <si>
    <t>10 Additional Print Shop User Licenses</t>
  </si>
  <si>
    <t>PG POD Guide Additional 20 Internal Users</t>
  </si>
  <si>
    <t>20 Additional Print shop User Licenses</t>
  </si>
  <si>
    <t>PG POD Guide Additional 50 Internal Users</t>
  </si>
  <si>
    <t>50 Additional Print Shop User Licenses</t>
  </si>
  <si>
    <t>Printgroove Queue add-ons</t>
  </si>
  <si>
    <t>PG POD Queue 1 Additional MFP License</t>
  </si>
  <si>
    <t>Support for 1 Additional MFP for Regular or Cluster Printing</t>
  </si>
  <si>
    <t>PG POD Queue Cluster Printing Option</t>
  </si>
  <si>
    <t>MFP Clustering</t>
  </si>
  <si>
    <t>Printgroove Serve add-ons</t>
  </si>
  <si>
    <t>PG POD Serve Additional External 100 Users</t>
  </si>
  <si>
    <t>100 Additional Customer User Licenses</t>
  </si>
  <si>
    <t>PG POD Serve Additional External 200 Users</t>
  </si>
  <si>
    <t>200 Additional Customer User Licenses</t>
  </si>
  <si>
    <t>PG POD Serve Additional External 1000 Users</t>
  </si>
  <si>
    <t>1000 Additional Customer User Licenses</t>
  </si>
  <si>
    <t>PG POD Serve Additional Internal 10 Users</t>
  </si>
  <si>
    <t>PG POD Serve Additional Internal 20 Users</t>
  </si>
  <si>
    <t>20 Additional Print Shop User Licenses</t>
  </si>
  <si>
    <t>PG POD Serve Additional Internal 50 Users</t>
  </si>
  <si>
    <t>Tower Server</t>
  </si>
  <si>
    <t>DocuBreeze/Printgroove POD Tower Server</t>
  </si>
  <si>
    <t>Rack Mount Server</t>
  </si>
  <si>
    <t>DocuBreeze/Printgroove POD Rack Mount Server</t>
  </si>
  <si>
    <t>1 MO SW Main for Printgroove POD Serve Module</t>
  </si>
  <si>
    <t>1 Month Software Maintenance Fee</t>
  </si>
  <si>
    <t>1 MO SW Main for Printgroove POD Guide Module</t>
  </si>
  <si>
    <t>1 MO SW Main for Printgroove POD Queue Module</t>
  </si>
  <si>
    <t>1 MO SW Main for PG POD Serve Additional External 100 Users</t>
  </si>
  <si>
    <t>1 MO SW Main for PG POD Serve Additional External 200 Users</t>
  </si>
  <si>
    <t>1 MO SW Main for PG POD Serve Additional External 1000 Users</t>
  </si>
  <si>
    <t>1 MO SW Main for PG POD Serve Additional Internal 10 User</t>
  </si>
  <si>
    <t>1 MO SW Main for PG POD Serve Additional Internal 20 Users</t>
  </si>
  <si>
    <t>1 MO SW Main for PG POD Serve Additional Internal 50 Users</t>
  </si>
  <si>
    <t>1 MO SW Main for PG POD Guide Additional 10 Internal Users</t>
  </si>
  <si>
    <t>1 MO SW Main for PG POD Guide Additional 20 Internal Users</t>
  </si>
  <si>
    <t>1 MO SW Main for PG Guide Additional 50 Internal Users</t>
  </si>
  <si>
    <t>1 MO SW Main for Advanced Workflow - 5 Pack</t>
  </si>
  <si>
    <t>1 MO SW Main for Advanced Workflow - 10 Pack</t>
  </si>
  <si>
    <t>1 MO SW Main for Advnaced Workflow - 25 Pack</t>
  </si>
  <si>
    <t>1 MO SW Main for Advanced Workflow - 50 Pack</t>
  </si>
  <si>
    <t>1 MO SW Main for Advanced Workflow - 100 Pack</t>
  </si>
  <si>
    <t>1 MO SW Main for PG POD Queue 1 Additional MFP License</t>
  </si>
  <si>
    <t>1 MO SW Main for PG POD Queue Cluster Printing Option</t>
  </si>
  <si>
    <t>1 MO SW Main for Printgroove POD Ready Module</t>
  </si>
  <si>
    <t>1 MO Software Maintenance for Print for Pay Package option</t>
  </si>
  <si>
    <t>PrintShop Mail 7   Version 7</t>
  </si>
  <si>
    <t>PrintShop Mail 7</t>
  </si>
  <si>
    <t>Version 7</t>
  </si>
  <si>
    <t>PRINTSHOP MAIL 7 STARTER</t>
  </si>
  <si>
    <t>PrintShop Mail 7 Starter (100,000 records)</t>
  </si>
  <si>
    <t>PRINTSHOP MAIL 7 PRODUCTION</t>
  </si>
  <si>
    <t>PrintShop Mail 7 Production (unlimited records)</t>
  </si>
  <si>
    <t>PRINTSHOP MAIL 7 WEB</t>
  </si>
  <si>
    <t>PrintShop Mail 7 Web</t>
  </si>
  <si>
    <t>PSM 7 STARTER: 1YR MAINT</t>
  </si>
  <si>
    <t>PrintShop Mail 7 Starter: Annual Maintenance</t>
  </si>
  <si>
    <t>PSM 7 PRODUCTION: 1YR MAINT</t>
  </si>
  <si>
    <t>PrintShop Mail 7 Production: Annual Maintenance</t>
  </si>
  <si>
    <t>PSM 7 WEB: 1YR MAINT</t>
  </si>
  <si>
    <t>PrintShop Mail 7 Web: Annual Maintenance</t>
  </si>
  <si>
    <t>PSM 7 STARTER: 1YR MAINT RENEWAL</t>
  </si>
  <si>
    <t>PrintShop Mail 7 Starter: Annual Maintenance Renewal</t>
  </si>
  <si>
    <t>PSM 7 PRODUCTION: 1YR MAINT RENEWAL</t>
  </si>
  <si>
    <t>PrintShop Mail 7 Production: Annual Maintenance Renewal</t>
  </si>
  <si>
    <t>PSM 7 WEB: 1YR MAINT RENEWAL</t>
  </si>
  <si>
    <t>PrintShop Mail 7 Web: Annual Maintenance Renewal</t>
  </si>
  <si>
    <t>PSM 7 STARTER: 1YR MAINT RE-ENTRY</t>
  </si>
  <si>
    <t>PrintShop Mail 7 Starter: Annual Maintenance Re-Entry</t>
  </si>
  <si>
    <t>PSM 7 PRODUCTION: 1 YR MAINT RE-ENTRY</t>
  </si>
  <si>
    <t>PrintShop Mail 7 Production: Annual Maintenance Re-Entry</t>
  </si>
  <si>
    <t>PSM 7 WEB: 1YR MAINT RE-ENTRY</t>
  </si>
  <si>
    <t>PrintShop Mail 7 Web: Annual Maintenance Re-Entry</t>
  </si>
  <si>
    <t>PRINTSHOP MAIL 7 STARTER TO PROD UPGRADE</t>
  </si>
  <si>
    <t>PrintShop Mail 7 Starter to PrintShop Mail 7 Production Upgrade</t>
  </si>
  <si>
    <t>PSM 7 STARTER TO PROD UPGD: 1YR MAINT</t>
  </si>
  <si>
    <t>PrintShop Mail 7 Starter to PrintShop Mail 7 Production Upgrade: Annual Maintenance</t>
  </si>
  <si>
    <t>PRINTSHOP MAIL 7 STARTER TO WEB UPGRADE</t>
  </si>
  <si>
    <t>PrintShop Mail 7 Starter to PrintShop Mail 7 Web Upgrade</t>
  </si>
  <si>
    <t>PSM 7 STARTER TO WEB UPGD: 1 YR MAINT</t>
  </si>
  <si>
    <t>PrintShop Mail 7 Starter to PrintShop Mail 7 Web Upgrade: Annual Maintenance</t>
  </si>
  <si>
    <t>PRINTSHOP MAIL 7 PROD TO WEB UPGRADE</t>
  </si>
  <si>
    <t>PrintShop Mail 7 Production to PrintShop Mail 7 Web Upgrade</t>
  </si>
  <si>
    <t>PSM 7 PROD TO WEB UPGD: 1 YR MAINT</t>
  </si>
  <si>
    <t>PrintShop Mail 7 Production to PrintShop Mail 7 Web Upgrade: Annual Maintenance</t>
  </si>
  <si>
    <t>PSM7 B2C AND PAYMENT MODULE UPGRADE</t>
  </si>
  <si>
    <t>PrintShop Mail 7 Business to Consumer and Payment Module Upgrade (PrintShop Mail 7 Web only)</t>
  </si>
  <si>
    <t>PSM 7 ADDITIONAL 350K RECORDS</t>
  </si>
  <si>
    <t>PrintShop Mail 7 Additional 350,000 Records (PrintShop Mail 7 Starter only)</t>
  </si>
  <si>
    <t>DIRECTSMILE CREATOR PRO 2 CORE FOR PSM</t>
  </si>
  <si>
    <t>DirectSmile Creator Pro for PrintShop Mail - 2 core system. Includes 100 additional image sets for image personalization and unlimited Smilys.</t>
  </si>
  <si>
    <t>DS CRT PRO 2 CR FOR PSM: MNT AT POP</t>
  </si>
  <si>
    <t>DirectSmile Creator Pro for PrintShop Mail - 2 core system. Mandatory maintenance (OL Care) at Point of Purchase.</t>
  </si>
  <si>
    <t>DS CRT PRO 2 CR FOR PSM: MNT REN AT POP</t>
  </si>
  <si>
    <t>DirectSmile Creator Pro for PrintShop Mail - 2 core system. Maintenance (OL Care) Renewal at Point of Purchase.</t>
  </si>
  <si>
    <t>PRISM deskForm  </t>
  </si>
  <si>
    <t>PRISM deskForm</t>
  </si>
  <si>
    <t>deskForm Applications</t>
  </si>
  <si>
    <t>deskForm LE</t>
  </si>
  <si>
    <t>150,000 output volume. deskForm; desktop personalized communication, single workstation,</t>
  </si>
  <si>
    <t>deskForm</t>
  </si>
  <si>
    <t>300,000 output volume. deskForm; desktop personalized communication, single workstation, non-server,</t>
  </si>
  <si>
    <t>deskForm Production</t>
  </si>
  <si>
    <t>Unlimited output volume. deskForm; desktop personalized communication, single workstation, non-server</t>
  </si>
  <si>
    <t>deskForm Plus</t>
  </si>
  <si>
    <t>Unlimited output volume; with document management. deskForm; desktop personalized communication, single workstation, non-server</t>
  </si>
  <si>
    <t>DirectSmile Applications</t>
  </si>
  <si>
    <t>DirectSmile Creator Pro; 7,500 Smileys</t>
  </si>
  <si>
    <t>DirectSmile Creator Pro for deskForm LE (7,500 Smileys), Single core processor license, Ships with single Workstation Designer [first year maintenance required]</t>
  </si>
  <si>
    <t>DirectSmile Creator Pro; Unlimited Smileys, Single Core</t>
  </si>
  <si>
    <t>DirectSmile Creator Pro for deskForm Production (unlimited Smileys), Single core processor license, Ships with single Workstation Designer, [first year maintenance required]</t>
  </si>
  <si>
    <t>DirectSmile Creator Pro; Unlimited Smileys, Dual Core</t>
  </si>
  <si>
    <t>DirectSmile Creator Pro for deskForm Production (unlimited Smileys), Dual core processor license, [first year maintenance required]</t>
  </si>
  <si>
    <t>DirectSmile, extra Workstation Designer</t>
  </si>
  <si>
    <t>Additional Workstation Designer; FO-50000 or FO-50010 required</t>
  </si>
  <si>
    <t>Maintenance - Monthly</t>
  </si>
  <si>
    <t>Monthly Maintenance for FM-20000</t>
  </si>
  <si>
    <t>Monthly maintenance for: deskForm LE</t>
  </si>
  <si>
    <t>Monthly Maintenance for FM-20005</t>
  </si>
  <si>
    <t>Monthly maintenance for: deskForm</t>
  </si>
  <si>
    <t>Monthly Maintenance for FM-20010</t>
  </si>
  <si>
    <t>Monthly maintenance for: deskForm Production</t>
  </si>
  <si>
    <t>Monthly Maintenance for FM-20015</t>
  </si>
  <si>
    <t>Monthly maintenance for: deskForm Plus</t>
  </si>
  <si>
    <t>Monthly Maintenance for FM-50000</t>
  </si>
  <si>
    <t>Monthly maintenance for: DirectSmile Creator Pro; 7,500 Smilys</t>
  </si>
  <si>
    <t>Monthly Maintenance for FM-50010</t>
  </si>
  <si>
    <t>Monthly maintenance for: DirectSmile Creator Pro; Unlimited Smileys, Single Core</t>
  </si>
  <si>
    <t>Monthly Maintenance for FM-50020</t>
  </si>
  <si>
    <t>Monthly maintenance for: DirectSmile Creator Pro; Unlimited Smileys, Dual Core</t>
  </si>
  <si>
    <t>Monthly Maintenance for FM-50110</t>
  </si>
  <si>
    <t>Monthly maintenance for: DirectSmile, extra Workstation Designer</t>
  </si>
  <si>
    <t>Monthly Maintenance for FM-30000</t>
  </si>
  <si>
    <t>Monthly maintenance for: Additional outputs deskForm LE</t>
  </si>
  <si>
    <t>Monthly Maintenance for FM-30005</t>
  </si>
  <si>
    <t>Monthly maintenance for: Additional outputs for deskForm</t>
  </si>
  <si>
    <t>Monthly Maintenance for FM-40000</t>
  </si>
  <si>
    <t>Monthly maintenance for: Upgrade: deskForm LE to deskForm</t>
  </si>
  <si>
    <t>Monthly Maintenance for FM-40005</t>
  </si>
  <si>
    <t>Monthly maintenance for: Upgrade: deskForm LE to deskForm Production</t>
  </si>
  <si>
    <t>Monthly Maintenance for FM-40010</t>
  </si>
  <si>
    <t>Monthly maintenance for: Upgrade: deskForm LE to deskForm Plus</t>
  </si>
  <si>
    <t>Monthly Maintenance for FM-40015</t>
  </si>
  <si>
    <t>Monthly maintenance for: Upgrade: deskForm to deskForm Production</t>
  </si>
  <si>
    <t>Monthly Maintenance for FM-40020</t>
  </si>
  <si>
    <t>Monthly maintenance for: Upgrade: deskForm to deskForm Plus</t>
  </si>
  <si>
    <t>Monthly Maintenance for FM-40025</t>
  </si>
  <si>
    <t>Monthly maintenance for: Upgrade: deskForm Production to deskForm Plus</t>
  </si>
  <si>
    <t>Modules, Options &amp; Training</t>
  </si>
  <si>
    <t>Additional outputs deskForm LE</t>
  </si>
  <si>
    <t>Additional 150,000 outputs for print, SMS, text and HTML messages, and PURLs for deskForm LE. Requires deskForm LE (FO-20000). Shipped as a dongle.</t>
  </si>
  <si>
    <t>Additional outputs for deskForm</t>
  </si>
  <si>
    <t>Additional 300,000 outputs for print, SMS, text and HTML messages, and PURLs for deskForm LE. Requires deskForm LE (FO-20005). Shipped as a dongle.</t>
  </si>
  <si>
    <t>Upgrade: deskForm LE to deskForm</t>
  </si>
  <si>
    <t>Upgrades from deskForm LE to deskForm</t>
  </si>
  <si>
    <t>Upgrade: deskForm LE to deskForm Production</t>
  </si>
  <si>
    <t>Upgrades from deskForm LE to deskForm Production</t>
  </si>
  <si>
    <t>Upgrade: deskForm LE to deskForm Plus</t>
  </si>
  <si>
    <t>Upgrades from deskForm LE to deskForm Plus</t>
  </si>
  <si>
    <t>Upgrade: deskForm to deskForm Production</t>
  </si>
  <si>
    <t>Upgrades from deskForm to deskForm Production</t>
  </si>
  <si>
    <t>Upgrade: deskForm to deskForm Plus</t>
  </si>
  <si>
    <t>Upgrades from deskForm to deskForm Plus</t>
  </si>
  <si>
    <t>Upgrade: deskForm Production to deskForm Plus</t>
  </si>
  <si>
    <t>Upgrade from deskForm Production to deskForm Plus</t>
  </si>
  <si>
    <t>Training: deskForm</t>
  </si>
  <si>
    <t>Training for deskForm; Any version of deskForm; 3 hours, remote via webex</t>
  </si>
  <si>
    <t>Training: DirectSmile</t>
  </si>
  <si>
    <t>Training for DirecSmile; 3 hours, remote via webex.</t>
  </si>
  <si>
    <t>FORM BUILDING; SINGLE FORM PAGE</t>
  </si>
  <si>
    <t>Prism DocAudit  </t>
  </si>
  <si>
    <t>Prism DocAudit</t>
  </si>
  <si>
    <t>DocAudit Server - DA-10000</t>
  </si>
  <si>
    <t>DocAudit Server only. This SKU includes NO bizhub device licenses. Each bizhub device must be ordered separately. Installation &amp; maintenance additional. Works only with KMBS bizhub MFPs. One DocAudit application supports up to 100 bizhub MFPs (Prism part number: DA-10000)</t>
  </si>
  <si>
    <t>Note: A technical representative must be on site at the time of Prism remote installation in order to enable the bizhub Image Log Transfer function on the MFP.</t>
  </si>
  <si>
    <t>MFP lic DocAudit Server(1 to 4)-DA-10001</t>
  </si>
  <si>
    <t>1 additional DocAudit MFP bizhub Connector. For 1 to 4 bizhub device licenses. Installation &amp; maintenance additional. Works only with KMBS bizhub MFPs (Prism part number: DA-10001)</t>
  </si>
  <si>
    <t>MFP lic DocAudit Server(5 to9)-DA-10005</t>
  </si>
  <si>
    <t>1 additional DocAudit MFP bizhub Connector. For 5 to 9 bizhub device licenses. Installation &amp; maintenance additional. Works only with KMBS bizhub MFPs (Prism part number: DA-10005)</t>
  </si>
  <si>
    <t>MFP lic DocAudit Svr (10 to 49)-DA-10010</t>
  </si>
  <si>
    <t>1 additional DocAudit MFP bizhub Connector. For 10 to 49 bizhub device licenses. Installation &amp; maintenance additional. Works only with KMBS bizhub MFPs (Prism part number: DA-10010)</t>
  </si>
  <si>
    <t>MFP lic DocAudit Svr (50 to99)-DA-10050</t>
  </si>
  <si>
    <t>1 additional DocAudit MFP bizhub Connector. For 50 to 99 bizhub device licenses. Installation &amp; maintenance additional. Works only with KMBS bizhub MFPs (Prism part number: DA-10050)</t>
  </si>
  <si>
    <t>MFP lic DocAudit Svr(100 - 149)-DA-10100</t>
  </si>
  <si>
    <t>1 additional DocAudit MFP bizhub Connector. For 100 to 149 bizhub device licenses. Installation &amp; maintenance additional. Works only with KMBS bizhub MFPs (Prism part number: DA-10100)</t>
  </si>
  <si>
    <t>MFP lic DocAudit Svr(150 - 200)-DA-10150</t>
  </si>
  <si>
    <t>1 additional DocAudit MFP bizhub Connector. For 150 to 200 bizhub device licenses. Installation &amp; maintenance additional. Works only with KMBS bizhub MFPs (Prism part number: DA-10150)</t>
  </si>
  <si>
    <t>MFP lic DocAudit Svr(200 +)-DA-10200</t>
  </si>
  <si>
    <t>1 additional DocAudit MFP bizhub Connector. For 200 and above bizhub device licenses. Installation &amp; maintenance additional. Works only with KMBS bizhub MFPs (Prism part number: DA-10200)</t>
  </si>
  <si>
    <t>Annual Maintenance for DA-10000</t>
  </si>
  <si>
    <t>Annual Maintenance for DA-10001</t>
  </si>
  <si>
    <t>Annual Maintenance for DA-10005</t>
  </si>
  <si>
    <t>Annual Maintenance for DA-10010</t>
  </si>
  <si>
    <t>Annual Maintenance for DA-10050</t>
  </si>
  <si>
    <t>Annual Maintenance for DA-10100</t>
  </si>
  <si>
    <t>Annual Maintenance for DA-10150</t>
  </si>
  <si>
    <t>Annual Maintenance for DA-10200</t>
  </si>
  <si>
    <t>Training and Installation Options</t>
  </si>
  <si>
    <t>Training: DocAudit; 3 hours max; remote</t>
  </si>
  <si>
    <t>Training and/or remote installation for DocAudit; 3 hours, remote via webex.</t>
  </si>
  <si>
    <t>PRISM DocForm   V5</t>
  </si>
  <si>
    <t>PRISM DocForm</t>
  </si>
  <si>
    <t>V5</t>
  </si>
  <si>
    <t>DocForm, V5</t>
  </si>
  <si>
    <t>Comprised of a DocForm application and one (1) DocForm Designer; allows for the creation, printing, and electronic distribution of variable data documents; allows up to 5 DocForm Clients; and Windows PC server based with unlimited printer outputs.</t>
  </si>
  <si>
    <t>DocForm Professional, V5</t>
  </si>
  <si>
    <t>Same as 7640003121. Additionally: allows for 6 to 20 DocForm Clients; features XML-driven automatic report generator; required for DocForm Web Server; required for Web presentment of forms; permits multiple DocForm installations on a single server; and, may be required for larger variable data applications.</t>
  </si>
  <si>
    <t>DocForm Designer</t>
  </si>
  <si>
    <t>One (1) extra DocForm Designer. Additional Designers can be used to allow others to remotely design document projects.</t>
  </si>
  <si>
    <t>DocForm Server</t>
  </si>
  <si>
    <t>One (1) extra DocForm Server</t>
  </si>
  <si>
    <t>DocForm BackUp Version</t>
  </si>
  <si>
    <t>Same as the DocForm version used in production; however, this is a production back-up version for disaster and recovery environments; one (1) Back-up version per Primary Product allowed</t>
  </si>
  <si>
    <t>DocForm Test Platform</t>
  </si>
  <si>
    <t>Same as the DocForm version used in production; however,this is a test platform version for design and testing environments; one (1) Test Platform version per Primary Product allowed</t>
  </si>
  <si>
    <t>Client for TabletPC</t>
  </si>
  <si>
    <t>Allows the input from a single Windows® XP Tablet PC. One client required for each Tablet PC input. Tablet PC not included.</t>
  </si>
  <si>
    <t>Client for Signature Pad</t>
  </si>
  <si>
    <t>Allows the input from a single signature pad. One client required for each signature pad input. Signature pad not included.</t>
  </si>
  <si>
    <t>Web Server</t>
  </si>
  <si>
    <t>Comprised of a DocForm Web-based application; allows the presentment of Web-based DocForm-generated eForms; allows DocForm Clients to interact with DocForm generated eForms and eDocuments presented over the Web through DocForm Web Server</t>
  </si>
  <si>
    <t>Postal Cert Module Unlimited 1st YR Term</t>
  </si>
  <si>
    <t>The Postal Certification module is a fully integrated optional add-on that allows you to perform full postal sorts and other functions on your data within DocForm. Allows for processing of over 300,000 items of mail each year. Licensed on a yearly basis. This is the first year license.year license.</t>
  </si>
  <si>
    <t>Postal Cert Mod Unlimited 2nd+ YR Term</t>
  </si>
  <si>
    <t>Renewal of 7640003139 for a subsequent year after Year 1. Licensed on a yearly basis.</t>
  </si>
  <si>
    <t>Postal Cert Module Limited 1st YR Term</t>
  </si>
  <si>
    <t>The Postal Certification module is a fully integrated optional add-on that allows you to perform full postal sorts and other functions on your data within DocForm. Allows for processing of under 300,000 items of mail each year. Licensed on a yearly basis. This is for the first year license.</t>
  </si>
  <si>
    <t>Postal Cert Mod Limited 2nd+ YR Term</t>
  </si>
  <si>
    <t>Renewal of 7640003143 for a subsequent year after Year 1. Licensed on a yearly basis.</t>
  </si>
  <si>
    <t>Mixed Weight Add-On - 1st Year</t>
  </si>
  <si>
    <t>Mixed Weights allows a mailer to combine mailpieces of varying weights within the same mailing - i.e. multiple page billing statements. Licensed on a yearly basis. This is the first year.</t>
  </si>
  <si>
    <t>Mixed Weight Add-On - 2nd+ Year</t>
  </si>
  <si>
    <t>Renewal of 7640003147 for a subsequent year after Year 1. Licensed on a yearly basis.</t>
  </si>
  <si>
    <t>Geocoding Add-On - 1st Year</t>
  </si>
  <si>
    <t>Geocode provides location data based upon the latitude and longitude files. Geocode links your postal addresses with US geographical data. Licensed on a yearly basis. This is the first year.</t>
  </si>
  <si>
    <t>Geocoding Add-On - 2nd+ Year</t>
  </si>
  <si>
    <t>Renewal of 7640003151 for a subsequent year after Year 1. Licensed on a yearly basis.</t>
  </si>
  <si>
    <t>DocForm To DocForm Professional Upgrade</t>
  </si>
  <si>
    <t>Postal Cert Upgrade Limit To Unlimit</t>
  </si>
  <si>
    <t>Upgrade from Limited (7640003143) to Unlimited (7640003139) version of the Postal Certification Module; must be done within the first year of purchase; subsequent years renewal rates would be at the Unlimited level.</t>
  </si>
  <si>
    <t>DocForm, V5 1 Month Maintenance</t>
  </si>
  <si>
    <t>DocForm Professional V5 1 Month Maintenance</t>
  </si>
  <si>
    <t>DocForm Designer 1 Month Maintenance</t>
  </si>
  <si>
    <t>DocForm Server 1 Month Maintenance</t>
  </si>
  <si>
    <t>DocForm Backup Version 1 Month Maintenance</t>
  </si>
  <si>
    <t>DocForm Test Platform 1 Month Maintenance</t>
  </si>
  <si>
    <t>Client for Talbetpc 1 Month Maintenance</t>
  </si>
  <si>
    <t>Client for Signature Pad 1 Month Maintenance</t>
  </si>
  <si>
    <t>Web Server 1 Month Maintenance</t>
  </si>
  <si>
    <t>Postal Cert Mod Unlimit 1 Month Main 1st Year</t>
  </si>
  <si>
    <t>Postal Cert Mod Unlimited 1 Month Maint 2nd+Yr Renew</t>
  </si>
  <si>
    <t>Postal Cert Module Unlimited 1 Month Maintenance (2nd+ Month)</t>
  </si>
  <si>
    <t>Postal Cert Mod Limited 1 Month Maint 1st Yr</t>
  </si>
  <si>
    <t>Postal Cert Module Limited 1 Month Maintenance</t>
  </si>
  <si>
    <t>Post Cert Mod Limited 1 Month Maint 2nd+ Yr Renew</t>
  </si>
  <si>
    <t>Postal Cert Module Limited 1 Month Maintenance (2nd+ Month)</t>
  </si>
  <si>
    <t>Mixed Weight Add-On - 1 Month Maint 1st Yr</t>
  </si>
  <si>
    <t>Mixed Weight Add-On - 1 Month Maintenance 1st Year</t>
  </si>
  <si>
    <t>Mixed Weight Add-On - 1 Month 2nd+ Yr Renewal</t>
  </si>
  <si>
    <t>Mixed Weight Add-On - 1 Month 2nd+ Year - Maintenance</t>
  </si>
  <si>
    <t>Geocoding Add-On - 1 Month Maintenance (1st Year)</t>
  </si>
  <si>
    <t>Geocoding Add-On 1 Month (2nd+ Yr Renewal)</t>
  </si>
  <si>
    <t>Geocoding Add-On 1 Month 2nd+ Yr Renewal- Maintenance</t>
  </si>
  <si>
    <t>DocForm to DocForm Pro Upgrade - Maintenance</t>
  </si>
  <si>
    <t>Postal Cert Upgrade Limit to Unlimit - Maint</t>
  </si>
  <si>
    <t>Postal Cert Upgrade Limit to Unlimited - Maintenance</t>
  </si>
  <si>
    <t>Prism Training, 2 Days at Prism HQ</t>
  </si>
  <si>
    <t>Prism Training-Onsite(client), 2 days (NO T&amp;E)</t>
  </si>
  <si>
    <t>Prism Project Services (Per HR) and/or Hourly Charge For Remote Training</t>
  </si>
  <si>
    <t>Prism On-site Installation (NO T&amp;E)</t>
  </si>
  <si>
    <t>Prism On-site Installation (T&amp;E INCL)</t>
  </si>
  <si>
    <t>Prism Remote Internet Installation</t>
  </si>
  <si>
    <t>Prism Training, 1 Day at Prism HQ</t>
  </si>
  <si>
    <t>Prism Training, 3 Days at Prism HQ</t>
  </si>
  <si>
    <t>Prism Training -On-site (client), 1 day (NO T&amp;E)</t>
  </si>
  <si>
    <t>Prism Training-On-site (client), 3 days (NO T&amp;E)</t>
  </si>
  <si>
    <t>PRISM DocRecord   PRISM DocRecord</t>
  </si>
  <si>
    <t>PRISM DocRecord</t>
  </si>
  <si>
    <t>DocRecord Connector</t>
  </si>
  <si>
    <t>DocRecord Integrated Connector</t>
  </si>
  <si>
    <t>DocRecord, Server</t>
  </si>
  <si>
    <t>DocRecord Server; includes both local and web access</t>
  </si>
  <si>
    <t>OCR &amp; Barcode Engine</t>
  </si>
  <si>
    <t>Automated OCR (Optical Character Recognition) and barcode reading and processing</t>
  </si>
  <si>
    <t>Automation Server</t>
  </si>
  <si>
    <t>Automatically index captured files into DocRecord Server</t>
  </si>
  <si>
    <t>Workflow Server</t>
  </si>
  <si>
    <t>Provides document worklfow function for DocRecord. Also requires at least one concurrent workflow client.</t>
  </si>
  <si>
    <t>OCR Server</t>
  </si>
  <si>
    <t>For performing OCR (optical character recognition) on mid-to-high volumes of batch-scanned documents. Recommended when batch-scanned documents are required to be full-text OCR'd. Limited to input from 25 concurrent MFPs and/or scanners. One OCR Server required per 25 scanning devices.</t>
  </si>
  <si>
    <t>Concurrent User (1)</t>
  </si>
  <si>
    <t>Client License (1 additional concurrent user)</t>
  </si>
  <si>
    <t>Concurrent Users (5)</t>
  </si>
  <si>
    <t>Client License (5 additional concurrent users)</t>
  </si>
  <si>
    <t>Concurrent Users (10)</t>
  </si>
  <si>
    <t>Client License (10 additional concurrent users)</t>
  </si>
  <si>
    <t>Concurrent Users (25)</t>
  </si>
  <si>
    <t>Client License (25 additional concurrent users)</t>
  </si>
  <si>
    <t>Concurrent Users (50)</t>
  </si>
  <si>
    <t>Client License (50 additional concurrent users)</t>
  </si>
  <si>
    <t>Concurrent Users (100)</t>
  </si>
  <si>
    <t>Client License (100 additional concurrent users)</t>
  </si>
  <si>
    <t>Concurrent Users (250)</t>
  </si>
  <si>
    <t>Client License (250 additional concurrent users)</t>
  </si>
  <si>
    <t>Concurrent Users (500)</t>
  </si>
  <si>
    <t>Client License (500 additional concurrent users)</t>
  </si>
  <si>
    <t>Concurrent Users (750)</t>
  </si>
  <si>
    <t>Client License (750 additional concurrent users)</t>
  </si>
  <si>
    <t>Concurrent Users (1000)</t>
  </si>
  <si>
    <t>Client License (1000 additional concurrent users)</t>
  </si>
  <si>
    <t>Workflow Concurrent User (1)</t>
  </si>
  <si>
    <t>Workflow Client License (1 concurrent user)</t>
  </si>
  <si>
    <t>Workflow Concurrent Users (10)</t>
  </si>
  <si>
    <t>Workflow Client License (10 concurrent users)</t>
  </si>
  <si>
    <t>Workflow Concurrent Users (25)</t>
  </si>
  <si>
    <t>Workflow Client License (25 concurrent users)</t>
  </si>
  <si>
    <t>Workflow Concurrent Users (50)</t>
  </si>
  <si>
    <t>Workflow Client License (50 concurrent users)</t>
  </si>
  <si>
    <t>Workflow Concurrent Users (100)</t>
  </si>
  <si>
    <t>Workflow Client License (100 concurrent users)</t>
  </si>
  <si>
    <t>Workflow Concurrent Users (5)</t>
  </si>
  <si>
    <t>Workflow Client License (5 concurrent users)</t>
  </si>
  <si>
    <t>Desktop Extender</t>
  </si>
  <si>
    <t>Allows users, within their existing business application, to search the entire repository of documents in DocRecord based upon specific criteria. The Desktop Extender seamlessly integrates with your ERP, CRM, accounting, or other line-of-business application.</t>
  </si>
  <si>
    <t>DocRecord Automation Server, Stand Alone</t>
  </si>
  <si>
    <t>Automatically index captured files into a third-party (not DocRecord) document management applications. Does not include DocRecord Server or any DocRecord users.</t>
  </si>
  <si>
    <t>Indexing Client</t>
  </si>
  <si>
    <t>Client seat for document indexing; for batch and volume document indexing (dedicated user)</t>
  </si>
  <si>
    <t>DocRecord Data Entry, Pivot-In, User (1)</t>
  </si>
  <si>
    <t>Pivot-In User (1) (dedicated user)</t>
  </si>
  <si>
    <t>DocRecord Data Entry, Pivot-In, User (5)</t>
  </si>
  <si>
    <t>Pivot-In User (5) (dedicated user)</t>
  </si>
  <si>
    <t>DocRecord Data Entry, Pivot-In, User (10)</t>
  </si>
  <si>
    <t>Pivot-In User (10) (dedicated user)</t>
  </si>
  <si>
    <t>DocRecord Data Entry, Pivot-In, User (25)</t>
  </si>
  <si>
    <t>Pivot-In User (25) (dedicated user)</t>
  </si>
  <si>
    <t>DocRecord Data Entry, Pivot-In, User (50)</t>
  </si>
  <si>
    <t>Pivot-In User (50) (dedicated user)</t>
  </si>
  <si>
    <t>DocRecord Data Entry, Pivot-In, User (100)</t>
  </si>
  <si>
    <t>Pivot-In User (100) (dedicated user)</t>
  </si>
  <si>
    <t>Maintenance</t>
  </si>
  <si>
    <t>Annual Maintenance for DR-20002</t>
  </si>
  <si>
    <t>One unit of DR-20002AM constitutes one year of maintenance for DR-20002</t>
  </si>
  <si>
    <t>Annual Maintenance for DR-20015</t>
  </si>
  <si>
    <t>One unit of DR-20015AM constitutes one year of maintenance for DR-20015</t>
  </si>
  <si>
    <t>Annual Maintenance for DR-20021</t>
  </si>
  <si>
    <t>One unit of DR-20021AM constitutes one year of maintenance for DR-20021</t>
  </si>
  <si>
    <t>Annual Maintenance for DR-20032</t>
  </si>
  <si>
    <t>One unit of DR-20032AM constitutes one year of maintenance for DR-20032</t>
  </si>
  <si>
    <t>Annual Maintenance for DR-20050</t>
  </si>
  <si>
    <t>One unit of DR-20050AM constitutes one year of maintenance for DR-20050</t>
  </si>
  <si>
    <t>Annual Maintenance for DR-20055</t>
  </si>
  <si>
    <t>One unit of DR-20055AM constitutes one year of maintenance for DR-20055</t>
  </si>
  <si>
    <t>Annual Maintenance for DR-20070</t>
  </si>
  <si>
    <t>One unit of DR-20070AM constitutes one year of maintenance for DR-20070</t>
  </si>
  <si>
    <t>Annual Maintenance for DR-20071</t>
  </si>
  <si>
    <t>One unit of DR-20071AM constitutes one year of maintenance for DR-20071</t>
  </si>
  <si>
    <t>Annual Maintenance for DR-20072</t>
  </si>
  <si>
    <t>One unit of DR-20072AM constitutes one year of maintenance for DR-20072</t>
  </si>
  <si>
    <t>Annual Maintenance for DR-20073</t>
  </si>
  <si>
    <t>One unit of DR-20073AM constitutes one year of maintenance for DR-20073</t>
  </si>
  <si>
    <t>Annual Maintenance for DR-20074</t>
  </si>
  <si>
    <t>One unit of DR-20074AM constitutes one year of maintenance for DR-20074</t>
  </si>
  <si>
    <t>Annual Maintenance for DR-20075</t>
  </si>
  <si>
    <t>One unit of DR-20075AM constitutes one year of maintenance for DR-20075</t>
  </si>
  <si>
    <t>Annual Maintenance for DR-20076</t>
  </si>
  <si>
    <t>One unit of DR-20076AM constitutes one year of maintenance for DR-20076</t>
  </si>
  <si>
    <t>Annual Maintenance for DR-20077</t>
  </si>
  <si>
    <t>One unit of DR-20077AM constitutes one year of maintenance for DR-20077</t>
  </si>
  <si>
    <t>Annual Maintenance for DR-20078</t>
  </si>
  <si>
    <t>One unit of DR-20078AM constitutes one year of maintenance for DR-20078</t>
  </si>
  <si>
    <t>Annual Maintenance for DR-20079</t>
  </si>
  <si>
    <t>One unit of DR-20079AM constitutes one year of maintenance for DR-20079</t>
  </si>
  <si>
    <t>Annual Maintenance for DR-20080</t>
  </si>
  <si>
    <t>One unit of DR-20080AM constitutes one year of maintenance for DR-20080</t>
  </si>
  <si>
    <t>Annual Maintenance for DR-20081</t>
  </si>
  <si>
    <t>One unit of DR-20081AM constitutes one year of maintenance for DR-20081</t>
  </si>
  <si>
    <t>Annual Maintenance for DR-20082</t>
  </si>
  <si>
    <t>One unit of DR-20082AM constitutes one year of maintenance for DR-20082</t>
  </si>
  <si>
    <t>Annual Maintenance for DR-20083</t>
  </si>
  <si>
    <t>One unit of DR-20083AM constitutes one year of maintenance for DR-20083</t>
  </si>
  <si>
    <t>Annual Maintenance for DR-20084</t>
  </si>
  <si>
    <t>One unit of DR-20084AM constitutes one year of maintenance for DR-20084</t>
  </si>
  <si>
    <t>Annual Maintenance for DR-20085</t>
  </si>
  <si>
    <t>One unit of DR-20085AM constitutes one year of maintenance for DR-20085</t>
  </si>
  <si>
    <t>Annual Maintenance for DR-20090</t>
  </si>
  <si>
    <t>One unit of DR-20090AM constitutes one year of maintenance for DR-20090</t>
  </si>
  <si>
    <t>Annual Maintenance for DR-20100</t>
  </si>
  <si>
    <t>One unit of DR-20100AM constitutes one year of maintenance for DR-20100</t>
  </si>
  <si>
    <t>Annual Maintenance for DR-70001</t>
  </si>
  <si>
    <t>One unit of DR-70001AM constitutes one year of maintenance for DR-70001</t>
  </si>
  <si>
    <t>Annual Maintenance for DR-70005</t>
  </si>
  <si>
    <t>One unit of DR-70005AM constitutes one year of maintenance for DR-70005</t>
  </si>
  <si>
    <t>Annual Maintenance for DR-70010</t>
  </si>
  <si>
    <t>One unit of DR-70010AM constitutes one year of maintenance for DR-70010</t>
  </si>
  <si>
    <t>Annual Maintenance for DR-70025</t>
  </si>
  <si>
    <t>One unit of DR-70025AM constitutes one year of maintenance for DR-70025</t>
  </si>
  <si>
    <t>Annual Maintenance for DR-70050</t>
  </si>
  <si>
    <t>One unit of DR-70050AM constitutes one year of maintenance for DR-70050</t>
  </si>
  <si>
    <t>Annual Maintenance for DR-70100</t>
  </si>
  <si>
    <t>One unit of DR-70100AM constitutes one year of maintenance for DR-70100</t>
  </si>
  <si>
    <t>Core Product Installation</t>
  </si>
  <si>
    <t>Installation of the DocRecord Server(s) and creation of 3 document categories</t>
  </si>
  <si>
    <t>Document Category Creation</t>
  </si>
  <si>
    <t>Creation of one (1) document category</t>
  </si>
  <si>
    <t>DocRecord, Basic User Training</t>
  </si>
  <si>
    <t>Basic training for DocRecord; remote via webex; not to exceed 1 hour</t>
  </si>
  <si>
    <t>DocRecord, Advanced User Training</t>
  </si>
  <si>
    <t>Advanced training for DocRecord; remote via webex; not to exceed 4 hours</t>
  </si>
  <si>
    <t>PRISM DocSystem  </t>
  </si>
  <si>
    <t>PRISM DocSystem</t>
  </si>
  <si>
    <t>WorkFlow Agent</t>
  </si>
  <si>
    <t>Allows Remote User to sign/approve/update, using Signature pad(sold separately)</t>
  </si>
  <si>
    <t>Administrator</t>
  </si>
  <si>
    <t>Extra DocSystem Administrator</t>
  </si>
  <si>
    <t>DocSystem NFR Version</t>
  </si>
  <si>
    <t>DocSystem</t>
  </si>
  <si>
    <t>All features including OCR; Includes one (1) process for workflow/rules, and one (1) Administrator and unlimited Messaging Agents (Note: OCR allows for full page, zonal, and barcode recognition)</t>
  </si>
  <si>
    <t>Additional Process For DocSystem</t>
  </si>
  <si>
    <t>Additional process for workflow/rules. (Requires DocSystem 7640012591)</t>
  </si>
  <si>
    <t>Workflow Agent - 1 Month Maintenance</t>
  </si>
  <si>
    <t>Administrator - 1 Month Maintenance</t>
  </si>
  <si>
    <t>DocSystem 1 Month Maintenance</t>
  </si>
  <si>
    <t>Add Process DocSystem1 Month Maint</t>
  </si>
  <si>
    <t>eCopy Connector for DocSystem</t>
  </si>
  <si>
    <t>eCopy Connector for DocSystem - 1 Month Maintenance</t>
  </si>
  <si>
    <t>DocSystem Connector</t>
  </si>
  <si>
    <t>DocSystem Integrated Connector</t>
  </si>
  <si>
    <t>PRISM GroupPoint  </t>
  </si>
  <si>
    <t>PRISM GroupPoint</t>
  </si>
  <si>
    <t>GroupPoint Applications</t>
  </si>
  <si>
    <t>GroupPoint, 1 seat, basic</t>
  </si>
  <si>
    <t>1 GroupPoint seat; no MFP connector included</t>
  </si>
  <si>
    <t>GroupPoint, 3 seat, connect</t>
  </si>
  <si>
    <t>3 GroupPoint seats; 1 MFP connector included</t>
  </si>
  <si>
    <t>GroupPoint, 5 seat, connect</t>
  </si>
  <si>
    <t>5 GroupPoint seats; 1 MFP connector included</t>
  </si>
  <si>
    <t>GroupPoint, 10 seat, connect</t>
  </si>
  <si>
    <t>10 GroupPoint seats; 1 MFP connector included</t>
  </si>
  <si>
    <t>GroupPoint MFP Connector</t>
  </si>
  <si>
    <t>MFP Connector; Konica Minolta, bEST</t>
  </si>
  <si>
    <t>Training: GroupPoint</t>
  </si>
  <si>
    <t>Training for GroupPoint; 3 hours, remote via webex.</t>
  </si>
  <si>
    <t>Monthly Maintenance for SY-10001</t>
  </si>
  <si>
    <t>Monthly maintenance for: 1 GroupPoint seat</t>
  </si>
  <si>
    <t>Monthly Maintenance for SY-10002</t>
  </si>
  <si>
    <t>Monthly maintenance for: 3 GroupPoint seats</t>
  </si>
  <si>
    <t>Monthly Maintenance for SY-10003</t>
  </si>
  <si>
    <t>Monthly maintenance for: 5 GroupPoint seats</t>
  </si>
  <si>
    <t>Monthly Maintenance for SY-10004</t>
  </si>
  <si>
    <t>Monthly maintenance for: 10 GroupPoint seats</t>
  </si>
  <si>
    <t>Monthly Maintenance for SY-20003</t>
  </si>
  <si>
    <t>Monthly maintenance for: MFP Connector; Konica Minolta, bEST</t>
  </si>
  <si>
    <t>Prism ScanPath   Prism ScanPath</t>
  </si>
  <si>
    <t>Prism ScanPath</t>
  </si>
  <si>
    <t>ScanPath, connection to one MFP; 1 year maintenance included</t>
  </si>
  <si>
    <t>ScanPath, connection to one MFP; Extended maintenance included</t>
  </si>
  <si>
    <t>Additional ScanPath MFP connection; 1 year maintenance included - New Price</t>
  </si>
  <si>
    <t>Additional ScanPath MFP connection; Extended maintenance included - New Price</t>
  </si>
  <si>
    <t>ScanPath Scan-to Workflow Module; 1 year maintenance included</t>
  </si>
  <si>
    <t>ScanPath Scan-to Workflow Module; 1 year maintenance included Note: Must include at least 2 hours of Professional Services for configuration and installation; order at least 2 units of KMBS Part No. 7640000794. Contact Prism for assistance and more details.</t>
  </si>
  <si>
    <t>ScanPath Follow Printing Module; 1 year maintenance included</t>
  </si>
  <si>
    <t>ScanPath Follow Printing Module; 1 year maintenance included Note: Must include at least 2 hours of Professional Services for configuration and installation; order at least 2 units of KMBS Part No. 7640000794. Contact Prism for assistance and more details.</t>
  </si>
  <si>
    <t>ScanPath Scan-to Bar Code Cover Sheet Module; 1 year maintenance included</t>
  </si>
  <si>
    <t>ScanPath Scan-to Bar Code Cover Sheet Module; 1 year maintenance included (Note: Workflow Module included in this module) Note: Must include at least 2 hours of Professional Services for configuration and installation; order at least 2 units of KMBS Part No. 7640000794. Contact Prism for assistance and more details.</t>
  </si>
  <si>
    <t>ScanPath Scan-to Bates Stamping Module; 1 year maintenance included</t>
  </si>
  <si>
    <t>ScanPath Scan-to Bates Stamping Module; 1 year maintenance included Note: Must include at least 2 hours of Professional Services for configuration and installation; order at least 2 units of KMBS Part No. 7640000794. Contact Prism for assistance and more details.</t>
  </si>
  <si>
    <t>ScanPath Scan-to HealthFlow; 1 year maintenance included</t>
  </si>
  <si>
    <t>ScanPath Scan-to HealthFlow; 1 year maintenance included (Note: Workflow Module included in this module) Note: Must include at least 2 hours of Professional Services for configuration and installation; order at least 2 units of KMBS Part No. 7640000794. Contact Prism for assistance and more details.</t>
  </si>
  <si>
    <t>ScanPath Scan-to HIS (such as Cerner, Meditech, etc.); 1 year maintenance included</t>
  </si>
  <si>
    <t>ScanPath Scan-to HIS (such as Cerner, Meditech, etc.); 1 year maintenance included (Note: Workflow Module included in this module) Note: Must include at least 2 hours of Professional Services for configuration and installation; order at least 2 units of KMBS Part No. 7640000794. Contact Prism for assistance and more details.</t>
  </si>
  <si>
    <t>ScanPath Scan-to Lab; 1 year maintenance included</t>
  </si>
  <si>
    <t>ScanPath Scan-to Lab; 1 year maintenance included (Note: Workflow Module included in this module) Note: Must include at least 2 hours of Professional Services for configuration and installation; order at least 2 units of KMBS Part No. 7640000794. Contact Prism for assistance and more details.</t>
  </si>
  <si>
    <t>ScanPath Scan-to Pharmacy; 1 year maintenance included</t>
  </si>
  <si>
    <t>ScanPath Scan-to Pharmacy; 1 year maintenance included (Note: Workflow Module included in this module) Note: Must include at least 2 hours of Professional Services for configuration and installation; order at least 2 units of KMBS Part No. 7640000794. Contact Prism for assistance and more details.</t>
  </si>
  <si>
    <t>Secure Healthcare Records Connector; Single output connector to HL7 2, HL7 3, CDA, CCD, X12, ePrescriptions; Extended year maintenance included</t>
  </si>
  <si>
    <t>Secure Healthcare Records Connector; Single output connector to HL7 2, HL7 3, CDA, CCD, X12, ePrescriptions; 1 year maintenance included (Requires one or more of the above scan-to healthcare modules) Note: Must include Professional Services for configuration and installation; please consult with Prism to determine the correct number of units of KMBS Part No. 7640000794</t>
  </si>
  <si>
    <t>ScanPath Workflow Module; Extended year maintenance included</t>
  </si>
  <si>
    <t>ScanPath Workflow Module; Extended year maintenance included Note: Must include at least 2 hours of Professional Services for configuration and installation; order at least 2 units of KMBS Part No. 7640000794. Contact Prism for assistance and more details.</t>
  </si>
  <si>
    <t>ScanPath Follow Printing Module; Extended year maintenance included</t>
  </si>
  <si>
    <t>ScanPath Follow Printing Module; Extended year maintenance included Note: Must include at least 2 hours of Professional Services for configuration and installation; order at least 2 units of KMBS Part No. 7640000794. Contact Prism for assistance and more details.</t>
  </si>
  <si>
    <t>ScanPath Scan-to Bar Code Cover Sheet Module; Extended year maintenance included</t>
  </si>
  <si>
    <t>ScanPath Scan-to Bar Code Cover Sheet Module; Extended year maintenance included (Note: Workflow Module included in this module) Note: Must include at least 2 hours of Professional Services for configuration and installation; order at least 2 units of KMBS Part No. 7640000794. Contact Prism for assistance and more details.</t>
  </si>
  <si>
    <t>ScanPath Bates Stamping Module; Extended year maintenance included</t>
  </si>
  <si>
    <t>ScanPath Bates Stamping Module; Extended year maintenance included Note: Must include at least 2 hours of Professional Services for configuration and installation; order at least 2 units of KMBS Part No. 7640000794. Contact Prism for assistance and more details.</t>
  </si>
  <si>
    <t>ScanPath Scan-to HealthFlow; Extended year maintenance included</t>
  </si>
  <si>
    <t>ScanPath Scan-to HealthFlow; Extended year maintenance included (Note: Workflow Module included in this module) Note: Must include at least 2 hours of Professional Services for configuration and installation; order at least 2 units of KMBS Part No. 7640000794. Contact Prism for assistance and more details.</t>
  </si>
  <si>
    <t>ScanPath Scan-to HIS (such as Cerner, Meditech, etc.); Extended year maintenance included</t>
  </si>
  <si>
    <t>ScanPath Scan-to HIS (such as Cerner, Meditech, etc.); Extended year maintenance included (Note: Workflow Module included in this module) Note: Must include at least 2 hours of Professional Services for configuration and installation; order at least 2 units of KMBS Part No. 7640000794. Contact Prism for assistance and more details.</t>
  </si>
  <si>
    <t>ScanPath Scan-to Lab; Extended year maintenance included</t>
  </si>
  <si>
    <t>ScanPath Scan-to Lab; Extended year maintenance included (Note: Workflow Module included in this module) Note: Must include at least 2 hours of Professional Services for configuration and installation; order at least 2 units of KMBS Part No. 7640000794. Contact Prism for assistance and more details.</t>
  </si>
  <si>
    <t>ScanPath Scan-to Pharmacy; Extended year maintenance included</t>
  </si>
  <si>
    <t>ScanPath Scan-to Pharmacy; Extended year maintenance included (Note: Workflow Module included in this module) Note: Must include at least 2 hours of Professional Services for configuration and installation; order at least 2 units of KMBS Part No. 7640000794. Contact Prism for assistance and more details.</t>
  </si>
  <si>
    <t>Secure Healthcare Records Connector; Single output connector to HL7 2, HL7 3, CDA, CCD, X12, ePrescriptions; 1 year maintenance included</t>
  </si>
  <si>
    <t>Secure Healthcare Records Connector; Single output connector to HL7 2, HL7 3, CDA, CCD, X12, ePrescriptions; Extended year maintenance included (Requires one or more of the above scan-to healthcare modules) Note: Must include Professional Services for configuration and installation; please consult with Prism to determine the correct number of units of KMBS Part No. 7640000794</t>
  </si>
  <si>
    <t>ScanPath, Educational Market Promo, connection to one MFP; 1 year maintenance included</t>
  </si>
  <si>
    <t>PRISM DocForm Metaform Maintenance STD (1 YR)</t>
  </si>
  <si>
    <t>Installation of ScanPath for the first bizhub MFP only</t>
  </si>
  <si>
    <t>Installation of ScanPath for the first bizhub MFP only (each bizhub requires an installation charge) NOTE: Requires a KMBS service technician to be on-site to verify installation and machine settings while Prism is installing ScanPath</t>
  </si>
  <si>
    <t>Installation of ScanPath for additional bizhub MFPs</t>
  </si>
  <si>
    <t>Installation of ScanPath for additional bizhub MFPs; example - this would be ScanPath installation to another bizhub after the first installation (each bizhub requires an installation charge) NOTE: Requires a service technician to be on-site to verify installation and machine settings while Prism is installing ScanPath</t>
  </si>
  <si>
    <t>One(1) year of maintenance RENEWAL for SP-20001 or SP-20005</t>
  </si>
  <si>
    <t>Five (5) years maintenance RENEWAL for SP-20001 or SP-20005</t>
  </si>
  <si>
    <t>One (1) year of maintenance RENEWAL for SP-20020 or SP-20025</t>
  </si>
  <si>
    <t>Five (5) years maintenance RENEWAL for SP-20020 or SP-20025</t>
  </si>
  <si>
    <t>One (1) year of maintenance RENEWAL for SP-21001 or SP-22001</t>
  </si>
  <si>
    <t>Five (5) years maintenance RENEWAL for SP-21001 or SP-22001</t>
  </si>
  <si>
    <t>One (1) year of maintenance RENEWAL for SP-21002 or SP-22002</t>
  </si>
  <si>
    <t>Five (5) years maintenance RENEWAL for SP-21002 or SP-22002</t>
  </si>
  <si>
    <t>One (1) year of maintenance RENEWAL for SP-21003 or SP-22003</t>
  </si>
  <si>
    <t>Five (5) years maintenance RENEWAL for SP-21003 or SP-22003</t>
  </si>
  <si>
    <t>One (1) year of maintenance RENEWAL for SP-21004 or SP-22004</t>
  </si>
  <si>
    <t>Five (5) years maintenance RENEWAL for SP-21004 or SP-22004</t>
  </si>
  <si>
    <t>One (1) year of maintenance RENEWAL for SP-21005 or SP-22005</t>
  </si>
  <si>
    <t>Five (5) years maintenance RENEWAL for SP-21005 or SP-22005</t>
  </si>
  <si>
    <t>One (1) year of maintenance RENEWAL for SP-21006 or SP-22006</t>
  </si>
  <si>
    <t>Five (5) years maintenance RENEWAL for SP-21006 or SP-22006</t>
  </si>
  <si>
    <t>One (1) year of maintenance RENEWAL for SP-21008 or SP-22008</t>
  </si>
  <si>
    <t>Five (5) years maintenance RENEWAL for SP-21008 or SP-22008</t>
  </si>
  <si>
    <t>One (1) year of maintenance RENEWAL for SP-21010 or SP-22010</t>
  </si>
  <si>
    <t>Five (5) years maintenance RENEWAL for SP-21010 or SP-22010</t>
  </si>
  <si>
    <t>One (1) year of maintenance RENEWAL for SP-21013 or SP-22013</t>
  </si>
  <si>
    <t>Five (5) years maintenance RENEWAL for SP-21013 or SP-22013</t>
  </si>
  <si>
    <t>Prism Vertical Market Products  </t>
  </si>
  <si>
    <t>Prism Vertical Market Products</t>
  </si>
  <si>
    <t>LegalFlow EDM-DR-63012</t>
  </si>
  <si>
    <t>LegalFlow eForms-DF-23005</t>
  </si>
  <si>
    <t>LegalFlow Enterprise-LF-20001</t>
  </si>
  <si>
    <t>Scanable Document Template for Automation Server-DR-20018</t>
  </si>
  <si>
    <t>Collaboration Application for Forms Committees-DF-22030</t>
  </si>
  <si>
    <t>Form building single-side form-DF-30005</t>
  </si>
  <si>
    <t>Form building double-side form- DF-30006</t>
  </si>
  <si>
    <t>SchoolFlow EDM -DR-61012</t>
  </si>
  <si>
    <t>SchoolFlow eForms-DF-21005</t>
  </si>
  <si>
    <t>SchoolFlow Enterprise-SF-20001</t>
  </si>
  <si>
    <t>EducationFlow EDM Universities-DR-62012</t>
  </si>
  <si>
    <t>EducationFlow eForms-DF-22005</t>
  </si>
  <si>
    <t>EducationFlow Enterprise-EF-20001</t>
  </si>
  <si>
    <t>HealthFlow EDM-DR-60012</t>
  </si>
  <si>
    <t>HealthFlow eForms-DF-20005</t>
  </si>
  <si>
    <t>Annual Maintenance for LegalFlow EDM-DR-63012</t>
  </si>
  <si>
    <t>Annual Maintenance for -DR-63012</t>
  </si>
  <si>
    <t>Annual Maintenance for LegalFlow eForms-DF-23005</t>
  </si>
  <si>
    <t>Annual Maintenance for-DF-23005</t>
  </si>
  <si>
    <t>Annual Maintenance for LegalFlow Enterprise-LF-20001</t>
  </si>
  <si>
    <t>Annual Maintenance for -LF-20001</t>
  </si>
  <si>
    <t>Annual Maintenance for Scanable Document Template for Automation Server-DR-20018</t>
  </si>
  <si>
    <t>Annual Maintenance for -DR-20018</t>
  </si>
  <si>
    <t>Annual Maintenance for Collaboration Application for Forms Committees-DF-22030</t>
  </si>
  <si>
    <t>Annual Maintenance for -DF-22030</t>
  </si>
  <si>
    <t>Annual Maintenance for Form building single form page-DF-30000</t>
  </si>
  <si>
    <t>Annual Maintenance for -DF-30000</t>
  </si>
  <si>
    <t>Annual Maintenance for Form building single-side form-DF-30005</t>
  </si>
  <si>
    <t>Annual Maintenance for -DF-30005</t>
  </si>
  <si>
    <t>Annual Maintenance for Form building double-side form- DF-30006</t>
  </si>
  <si>
    <t>Annual Maintenance for- DF-30006</t>
  </si>
  <si>
    <t>Annual Maintenance for SchoolFlow EDM -DR-61012</t>
  </si>
  <si>
    <t>Annual Maintenance for -DR-61012</t>
  </si>
  <si>
    <t>Annual Maintenance for SchoolFlow eForms-DF-21005</t>
  </si>
  <si>
    <t>Annual Maintenance for SchoolFlow Enterprise-SF-20001</t>
  </si>
  <si>
    <t>Annual Maintenance for -SF-20001</t>
  </si>
  <si>
    <t>Annual Maintenance for EducationFlow EDM Universities-DR-62012</t>
  </si>
  <si>
    <t>Annual Maintenance for -DR-62012</t>
  </si>
  <si>
    <t>Annual Maintenance for EducationFlow Enterprise-EF-20001</t>
  </si>
  <si>
    <t>Annual Maintenance for -EF-20001</t>
  </si>
  <si>
    <t>Annual Maintenance for -DR-60012</t>
  </si>
  <si>
    <t>Annual Maintenance for HealthFlow EDM-DR-60012</t>
  </si>
  <si>
    <t>Annual Maintenance for HealthFlow eForms-DF-20005</t>
  </si>
  <si>
    <t>Annual Maintenance for DF-20005</t>
  </si>
  <si>
    <t>Annual Maintenance for HealthFlow Enterprise-HF-20001</t>
  </si>
  <si>
    <t>Annual Maintenance for -HF-20001</t>
  </si>
  <si>
    <t>Quite Imposing Plus   v3.0</t>
  </si>
  <si>
    <t>Effective Date: 11/23/2011</t>
  </si>
  <si>
    <t>Quite Imposing Plus</t>
  </si>
  <si>
    <t>v3.0</t>
  </si>
  <si>
    <t>Quite Imposing Plus v3.0, 5 User Multi License</t>
  </si>
  <si>
    <t>Quite Imposing Plus 5</t>
  </si>
  <si>
    <t>Quite Imposing Plus v3.0, 10 User Multi License</t>
  </si>
  <si>
    <t>Quite Imposing Plus 10</t>
  </si>
  <si>
    <t>Quite Imposing Plus v3.0, 25 User Multi License</t>
  </si>
  <si>
    <t>Quite Imposing Plus 25</t>
  </si>
  <si>
    <t>Version Upgrades</t>
  </si>
  <si>
    <t>Quite Imposing Plus Upgrade</t>
  </si>
  <si>
    <t>Quite Imposing Plus upgrade from version 1.6 to 2.0</t>
  </si>
  <si>
    <t>Reflection for Printgroove  </t>
  </si>
  <si>
    <t>Reflection for Printgroove</t>
  </si>
  <si>
    <t>Reflection for Printgroove - Windows</t>
  </si>
  <si>
    <t>Visual Workload tool for the PC - 1 server licence and unlimited client licences</t>
  </si>
  <si>
    <t>REFLECTION 1MO SW MAINT.</t>
  </si>
  <si>
    <t>1 month Annual Maintenance</t>
  </si>
  <si>
    <t>RSA QDirect  </t>
  </si>
  <si>
    <t>RSA QDirect</t>
  </si>
  <si>
    <t>(A) RSA Hardware &amp; Maintenance</t>
  </si>
  <si>
    <t>PRODUCTION TOWER SRVR</t>
  </si>
  <si>
    <t>Production Tower Server</t>
  </si>
  <si>
    <t>PRODUCTION TOWER SRVR: 1YR 1X5 MNT</t>
  </si>
  <si>
    <t>Production Tower Server - 1x5 Premium Support</t>
  </si>
  <si>
    <t>PRODUCTION TOWER SRVR: 1YR 3X7 MNT</t>
  </si>
  <si>
    <t>Production Tower Server - 3x7 Platinum Support</t>
  </si>
  <si>
    <t>PRODUCTION RACK SRVR</t>
  </si>
  <si>
    <t>Production Rack Server</t>
  </si>
  <si>
    <t>PRODUCTION RACK SRVR: 1YR 1X5 MNT</t>
  </si>
  <si>
    <t>Production Rack Server - 1x5 Premium Support</t>
  </si>
  <si>
    <t>PRODUCTION RACK SRVR: 1YR 3X7 MNT</t>
  </si>
  <si>
    <t>Production Rack Server - 3x7 Platinum Support</t>
  </si>
  <si>
    <t>PREMIUM PRODUCTION TOWER SRVR</t>
  </si>
  <si>
    <t>Premium Production Rack Server</t>
  </si>
  <si>
    <t>PREMIUM PROD RACK SRVR: 1YR 1X5 MNT</t>
  </si>
  <si>
    <t>Premium Production Rack Server - 1x5 Premium Support</t>
  </si>
  <si>
    <t>PREMIUM PROD RACK SRVR: 1YR 3X7 MNT</t>
  </si>
  <si>
    <t>Premium Production Rack Server - 3x7 Platinum Support</t>
  </si>
  <si>
    <t>ENTERPRISE RACK SRVR</t>
  </si>
  <si>
    <t>Enterprise Rack Server</t>
  </si>
  <si>
    <t>ENTERPRISE RACK SRVR: 1YR 1X5 MNT</t>
  </si>
  <si>
    <t>Enterprise Rack Server - 1x5 Premium Support</t>
  </si>
  <si>
    <t>ENTERPRISE RACK SRVR: 1YR 3X7 MNT</t>
  </si>
  <si>
    <t>Enterprise Rack Server - 3x7 Platinum Support</t>
  </si>
  <si>
    <t>PREMIUM PRODUCTION Tower SRVR</t>
  </si>
  <si>
    <t>Premium Production Tower Server</t>
  </si>
  <si>
    <t>PREMIUM PROD TOWER SRVR: 1YR 1X5 MNT</t>
  </si>
  <si>
    <t>Premium Production Tower Server - 1x5 Premium Support</t>
  </si>
  <si>
    <t>PREMIUM PROD TOWER SRVR: 1YR 3X7 MNT</t>
  </si>
  <si>
    <t>Premium Production Tower Server - 3x7 Platinum Support</t>
  </si>
  <si>
    <t>(B) RSA Freight &amp; Handling</t>
  </si>
  <si>
    <t>FREIGHT &amp; HANDLING - US: (PER SRVR)</t>
  </si>
  <si>
    <t>Freight &amp; Handling - U.S. (Per Server)</t>
  </si>
  <si>
    <t>(C) RSA Main Software &amp; Maintenance</t>
  </si>
  <si>
    <t>QDIRECT OUTPUT MANAGER (INCL NET RDR)</t>
  </si>
  <si>
    <t>QDirect Output Manager (Includes Network Reader)</t>
  </si>
  <si>
    <t>QDIRECT OUTPUT MGR: 1YR 1X5 MNT</t>
  </si>
  <si>
    <t>QDirect Output Manager - 1x5 Premium Support</t>
  </si>
  <si>
    <t>QDIRECT OUTPUT MGR: 1YR 3X7 MNT</t>
  </si>
  <si>
    <t>QDirect Output Manager - 3x7 Platinum Support</t>
  </si>
  <si>
    <t>(D) RSA Software Options &amp; Maintenance</t>
  </si>
  <si>
    <t>QDIRECT HOT FOLDER READER</t>
  </si>
  <si>
    <t>QDirect Hot Folder Reader</t>
  </si>
  <si>
    <t>QDIRECT HOT FOLDER READER: 1YR 1X5 MNT</t>
  </si>
  <si>
    <t>QDirect Hot Folder Reader - 1x5 Premium Support</t>
  </si>
  <si>
    <t>QDIRECT HOT FOLDER READER: 1YR 3X7 MNT</t>
  </si>
  <si>
    <t>QDirect Hot Folder Reader - 3x7 Platinum Support</t>
  </si>
  <si>
    <t>QDIRECT MIS PRINT READER</t>
  </si>
  <si>
    <t>QDirect M.I.S. Print Reader (Requires Transform Writer Per Printer)</t>
  </si>
  <si>
    <t>QDIRECT MIS PRINT READER: 1YR 1X5 MNT</t>
  </si>
  <si>
    <t>QDirect M.I.S. Print Reader - 1x5 Premium Support</t>
  </si>
  <si>
    <t>QDIRECT MIS PRINT READER: 1YR 3X7 MNT</t>
  </si>
  <si>
    <t>QDirect M.I.S. Print Reader - 3x7 Platinum Support</t>
  </si>
  <si>
    <t>QDIRECT CUSTOM READER</t>
  </si>
  <si>
    <t>QDirect Custom Reader</t>
  </si>
  <si>
    <t>QDIRECT CUSTOM READER: 1YR 1X5 MNT</t>
  </si>
  <si>
    <t>QDirect Custom Reader - 1x5 Premium Support</t>
  </si>
  <si>
    <t>QDIRECT CUSTOM READER: 1YR 3X7 MNT</t>
  </si>
  <si>
    <t>QDirect Custom Reader - 3x7 Platinum Support</t>
  </si>
  <si>
    <t>QDIRECT IPDSPRINT READER</t>
  </si>
  <si>
    <t>QDirect IPDSPrint Reader (Requires Transform Writer Per Printer)</t>
  </si>
  <si>
    <t>QDIRECT IPDSPRINT READER: 1YR 1X5 MNT</t>
  </si>
  <si>
    <t>QDirect IPDSPrint Reader - 1x5 Premium Support</t>
  </si>
  <si>
    <t>QDIRECT IPDSPRINT READER: 1YR 3X7 MNT</t>
  </si>
  <si>
    <t>QDirect IPDSPrint Reader - 3x7 Platinum Support</t>
  </si>
  <si>
    <t>QDIRECT MAKEREADY READER</t>
  </si>
  <si>
    <t>QDirect Makeready Reader (Requires Transform Writer Per Printer)</t>
  </si>
  <si>
    <t>QDIRECT MAKEREADY READER: 1YR 1X5 MNT</t>
  </si>
  <si>
    <t>QDirect Makeready Reader - 1x5 Premium Support</t>
  </si>
  <si>
    <t>QDIRECT MAKEREADY READER: 1YR 3X7 MNT</t>
  </si>
  <si>
    <t>QDirect Makeready Reader - 3x7 Platinum Support</t>
  </si>
  <si>
    <t>QDIRECT VIPRINT READER</t>
  </si>
  <si>
    <t>QDirect VIPrint Reader (Requires Transform Writer Per Printer)</t>
  </si>
  <si>
    <t>QDIRECT VIPRINT READER: 1YR 1X5 MNT</t>
  </si>
  <si>
    <t>QDirect VIPrint Reader - 1x5 Premium Support</t>
  </si>
  <si>
    <t>QDIRECT VIPRINT READER: 1YR 3X7 MNT</t>
  </si>
  <si>
    <t>QDirect VIPrint Reader - 3x7 Platinum Support</t>
  </si>
  <si>
    <t>QDIRECT ADDITIONAL PDEF (PER PRT DEF)</t>
  </si>
  <si>
    <t>QDirect Additional PDEF (Per Printer Definition)</t>
  </si>
  <si>
    <t>QDIRECT ADDITIONAL PDEF: 1YR 1X5 MNT</t>
  </si>
  <si>
    <t>QDirect Additional PDEF - 1x5 Premium Support</t>
  </si>
  <si>
    <t>QDIRECT ADDITIONAL PDEF: 1YR 3X7 MNT</t>
  </si>
  <si>
    <t>QDirect Additional PDEF - 3x7 Platinum Support</t>
  </si>
  <si>
    <t>QDIRECT.SCAN READER (PER 5 MFPS)</t>
  </si>
  <si>
    <t>QDirect.SCAN eCopy Reader (5 MFPs)</t>
  </si>
  <si>
    <t>QDRCT SCN RD (PER 5 MFPS): 1YR 1X5 MNT</t>
  </si>
  <si>
    <t>QDirect SCAN eCopy Reader (5 MFPs) - 1x5 Premium Support</t>
  </si>
  <si>
    <t>QDRCT SCN RD (PER 5 MFPS): 1YR 3X7 MNT</t>
  </si>
  <si>
    <t>QDirect SCAN eCopy Reader (5 MFPs) - 3x7 Platinum Support</t>
  </si>
  <si>
    <t>QDRCT SCN EQUITRAC INTEGRATION MODULE</t>
  </si>
  <si>
    <t>QDirect SCAN Equitrac Integration Module</t>
  </si>
  <si>
    <t>QDRCT SCN EQTRC INTGRTN MOD: 1YR 1X5 MNT</t>
  </si>
  <si>
    <t>QDirect SCAN Equitrac Integration Module - 1x5 Premium Support</t>
  </si>
  <si>
    <t>QDRCT SCN EQTRC INTGRTN MOD: 1YR 3X7 MNT</t>
  </si>
  <si>
    <t>QDirect SCAN Equitrac Integration Module - 3x7 Platinum Support</t>
  </si>
  <si>
    <t>QDIRECT SCAN ACCOUNTING MODULE</t>
  </si>
  <si>
    <t>QDirect SCAN Accounting Module</t>
  </si>
  <si>
    <t>QDIRECT SCAN ACCT MODULE: 1YR 1X5 MNT</t>
  </si>
  <si>
    <t>QDirect SCAN Accounting Module - 1x5 Premium Support</t>
  </si>
  <si>
    <t>QDIRECT SCAN ACCT MODULE: 1YR 3X7 MNT</t>
  </si>
  <si>
    <t>QDirect SCAN Accounting Module - 3x7 Platinum Support</t>
  </si>
  <si>
    <t>QDIRECT BACKUP OR DR LIC</t>
  </si>
  <si>
    <t>QDirect Backup or DR License</t>
  </si>
  <si>
    <t>QDIRECT BACKUP OR DR LIC: 1YR 1X5 MNT</t>
  </si>
  <si>
    <t>QDirect Backup or DR License - 1x5 Premium Support</t>
  </si>
  <si>
    <t>QDIRECT BACKUP OR DR LIC: 1YR 3X7 MNT</t>
  </si>
  <si>
    <t>QDirect Backup or DR License - 3x7 Platinum Support</t>
  </si>
  <si>
    <t>QDIRECT.SCN ACCT LOOKUP MOD</t>
  </si>
  <si>
    <t>QDirect.SCAN Account Lookup Module</t>
  </si>
  <si>
    <t>QDIRECT.SCN ACCT LOOKUP MOD 1YR 1X5 MNT</t>
  </si>
  <si>
    <t>QDirect.SCAN Account Lookup Module - Annual 1x5 Maintenance</t>
  </si>
  <si>
    <t>QDIRECT.SCN ACCT LOOKUP MOD 1YR 3X7 MNT</t>
  </si>
  <si>
    <t>QDirect.SCAN Account Lookup Module - Annual 3x7 Maintenance</t>
  </si>
  <si>
    <t>QDIRECT.SCN JCE</t>
  </si>
  <si>
    <t>QDirect.SCAN Job Cost Estimating Module</t>
  </si>
  <si>
    <t>QDIRECT.SCN JCE 1YR 1X5 MNT</t>
  </si>
  <si>
    <t>QDirect.SCAN Job Cost Estimating Module - Annual 1x5 Maintenance</t>
  </si>
  <si>
    <t>QDIRECT.SCN JCE 1YR 3X7 MNT</t>
  </si>
  <si>
    <t>QDirect.SCAN Job Cost Estimating Module - Annual 3x7 Maintenance</t>
  </si>
  <si>
    <t>QDIRECT DYNAMICS READER</t>
  </si>
  <si>
    <t>QDirect Dynamics Reader</t>
  </si>
  <si>
    <t>QDIRECT DYNAMICS READER: 1YR 1X5 MAINT</t>
  </si>
  <si>
    <t>QDirect Dynamics Reader - Annual 1x5 Maintenance</t>
  </si>
  <si>
    <t>QDIRECT DYNAMICS READER: 1YR 3X7 MAINT</t>
  </si>
  <si>
    <t>QDirect Dynamics Reader - Annual 3x7 Maintenance</t>
  </si>
  <si>
    <t>QDIRECT DYNAMICS LICENSE (REQUIRES PC)</t>
  </si>
  <si>
    <t>QDirect Dynamics License (Requires PC)</t>
  </si>
  <si>
    <t>QDIRECT DYNAMICS LICENSE: 1YR 1X5 MAINT</t>
  </si>
  <si>
    <t>QDirect Dynamics License - Annual 1x5 Maintenance</t>
  </si>
  <si>
    <t>QDIRECT DYNAMICS LICENSE: 1YR 3X7 MAINT</t>
  </si>
  <si>
    <t>QDirect Dynamics License - Annual 3x7 Maintenance</t>
  </si>
  <si>
    <t>QD TF WR (PER 201+ PPM PRT): 1YR 1X5 MNT</t>
  </si>
  <si>
    <t>QDirect Transform Writer (201+ ppm Printer) - Annual 1x5 Maintenance</t>
  </si>
  <si>
    <t>QD TF WR (PER 201+ PPM PRT): 1YR 3X7 MNT</t>
  </si>
  <si>
    <t>QDirect Transform Writer (201+ ppm Printer) - Annual 3x7 Maintenance</t>
  </si>
  <si>
    <t>QD TF WR (PER 136-200 PPM): 1YR 1X5 MNT</t>
  </si>
  <si>
    <t>QDirect Transform Writer (136-200 ppm Printer) - Annual 1x5 Maintenance</t>
  </si>
  <si>
    <t>QD TF WR (PER 136-200 PPM): 1YR 3X7 MNT</t>
  </si>
  <si>
    <t>QDirect Transform Writer (136-200 ppm Printer) - Annual 3x7 Maintenance</t>
  </si>
  <si>
    <t>QD TF WR (PER 91-135 PPM): 1YR 1x5 MNT</t>
  </si>
  <si>
    <t>QDirect Transform Writer (91-135 ppm Printer) - Annual 1x5 Maintenance</t>
  </si>
  <si>
    <t>QD TF WR (PER 91-135 PPM): 1YR 3x7 MNT</t>
  </si>
  <si>
    <t>QDirect Transform Writer (91-135 ppm Printer) - Annual 3x7 Maintenance</t>
  </si>
  <si>
    <t>QD TF WR (PER 76-90 PPM): 1YR 1X5 MNT</t>
  </si>
  <si>
    <t>QDirect Transform Writer (76-90 ppm Printer) - Annual 1x5 Maintenance</t>
  </si>
  <si>
    <t>QD TF WR (PER 76-90 PPM): 1YR 3X7 MNT</t>
  </si>
  <si>
    <t>QDirect Transform Writer (76-90 ppm Printer) - Annual 3x7 Maintenance</t>
  </si>
  <si>
    <t>QD TF WR (PER 61-75 PPM): 1YR 1X5 MNT</t>
  </si>
  <si>
    <t>QDirect Transform Writer (61-75 ppm Printer) - Annual 1x5 Maintenance</t>
  </si>
  <si>
    <t>QD TF WR (PER 61-75 PPM): 1YR 3X7 MNT</t>
  </si>
  <si>
    <t>QDirect Transform Writer (61-75 ppm Printer) - Annual 3x7 Maintenance</t>
  </si>
  <si>
    <t>QD TF WR (PER 31-60 PPM): 1YR 1X5 MNT</t>
  </si>
  <si>
    <t>QDirect Transform Writer (31-60 ppm Printer) - Annual 1x5 Maintenance</t>
  </si>
  <si>
    <t>QD TF WR (PER 31-60 PPM): 1YR 3X7 MNT</t>
  </si>
  <si>
    <t>QDirect Transform Writer (31-60 ppm Printer) - Annual 3x7 Maintenance</t>
  </si>
  <si>
    <t>QD TF WR (PER 0-30 PPM): 1YR 1X5 MNT</t>
  </si>
  <si>
    <t>QDirect Transform Writer (0-30 ppm Printer) - Annual 1x5 Maintenance</t>
  </si>
  <si>
    <t>QD TF WR (PER 0-30 PPM): 1YR 3X7 MNT</t>
  </si>
  <si>
    <t>QDirect Transform Writer (0-30 ppm Printer) - Annual 3x7 Maintenance</t>
  </si>
  <si>
    <t>QD TF WRITER (PER PRT)</t>
  </si>
  <si>
    <t>QDirect Transform Writer (Per Printer)</t>
  </si>
  <si>
    <t>QD TF WRITER (PER PRT): 1YR 1X5 MNT</t>
  </si>
  <si>
    <t>QDirect Transform Writer (Per Printer) - Annual 1x5 Maintenance</t>
  </si>
  <si>
    <t>QD TF WRITER (PER PRT): 1YR 3X7 MNT</t>
  </si>
  <si>
    <t>QDirect Transform Writer (Per Printer) - 3x7 Platinum Support</t>
  </si>
  <si>
    <t>VIRTUAL SERVER IMAGE</t>
  </si>
  <si>
    <t>Virtual Server Image</t>
  </si>
  <si>
    <t>VIRTUAL SERVER IMAGE: 1YR 1X5 MNT</t>
  </si>
  <si>
    <t>Virtual Server Image - Annual 1x5 Premium Support</t>
  </si>
  <si>
    <t>VIRTUAL SERVER IMAGE : 1YR 3X7 MNT</t>
  </si>
  <si>
    <t>Virtual Server Image - Annual 3x7 Platinum Support</t>
  </si>
  <si>
    <t>(E) RSA Professional Services &amp; Training</t>
  </si>
  <si>
    <t>PROFESSIONAL SERVICES (VARIABLE)</t>
  </si>
  <si>
    <t>Professional Services (Variable)</t>
  </si>
  <si>
    <t>PROF SVCS: ONSITE 1 DAY INC TVL TM &amp; EXP</t>
  </si>
  <si>
    <t>Professional Services - On-Site (1 Day including travel time &amp; expense)</t>
  </si>
  <si>
    <t>PROF SVCS ADDL DAY: ALREADY ON-SITE</t>
  </si>
  <si>
    <t>Professional Services - Additional Day, Already On-Site</t>
  </si>
  <si>
    <t>PROF SVCS DAILY RATE (OFF-SITE)</t>
  </si>
  <si>
    <t>Professional Services - Daily Rate (Off-Site)</t>
  </si>
  <si>
    <t>STD IMPLEMENT: REMOTE INSTAL &amp; TRAINING</t>
  </si>
  <si>
    <t>Standard Implementation - Remote Installation &amp; Training</t>
  </si>
  <si>
    <t>SYSTEM REINTEGRATION FEE</t>
  </si>
  <si>
    <t>System Reintegration Fee</t>
  </si>
  <si>
    <t>QDIRECT.SCN EQUITRAC INTGR MOD IMPL FEE</t>
  </si>
  <si>
    <t>QDirect.SCAN Equitrac Integration Module - Implementation Fee</t>
  </si>
  <si>
    <t>QDIRECT OUTPUT MGR: REMOTE INSTALL FEE</t>
  </si>
  <si>
    <t>QDirect Output Manager - Remote Installation Fee</t>
  </si>
  <si>
    <t>QDIRECT MIS PRINT READER: IMPLEMENT FEE</t>
  </si>
  <si>
    <t>QDirect M.I.S. Print Reader - Implementation Fee</t>
  </si>
  <si>
    <t>QDIRECT IPDSPRINT READER: IMPLEMENT FEE</t>
  </si>
  <si>
    <t>QDirect IPDSPrint Reader - Implementation Fee</t>
  </si>
  <si>
    <t>QDIRECT MAKEREADY READER: IMPLEMENT FEE</t>
  </si>
  <si>
    <t>QDirect Makeready Reader - Implementation Fee</t>
  </si>
  <si>
    <t>QDIRECT VIPRINT READER: IMPLEMENT FEE</t>
  </si>
  <si>
    <t>QDirect VIPrint Reader - Implementation Fee</t>
  </si>
  <si>
    <t>QDIRECT DYNAMICS READER: IMPLEMENT FEE</t>
  </si>
  <si>
    <t>QDirect Dynamics Reader - Implementation Fee</t>
  </si>
  <si>
    <t>QDIRECT DYNAMICS LICENSE: IMPLEMENT FEE</t>
  </si>
  <si>
    <t>QDirect Dynamics License - Implementation Fee</t>
  </si>
  <si>
    <t>QD.SCAN: REMOTE INSTALL &amp; TRAINING FEE</t>
  </si>
  <si>
    <t>QDirect.SCAN - Remote Installation &amp; Training Fee</t>
  </si>
  <si>
    <t>REMOTE IMPLEMENTATION FEE</t>
  </si>
  <si>
    <t>Remote Implementation Fee</t>
  </si>
  <si>
    <t>CUST-SPLD SVR SETUP W/1-WAY STD SHIPPING</t>
  </si>
  <si>
    <t>Customer-Supplied Server Setup (Includes one-way standard shipping)</t>
  </si>
  <si>
    <t>REMOTE ACCESS SURCHARGE (VARIABLE)</t>
  </si>
  <si>
    <t>Remote Access Surcharge (Variable)</t>
  </si>
  <si>
    <t>RSA QDirect Makeready Server  </t>
  </si>
  <si>
    <t>RSA QDirect Makeready Server</t>
  </si>
  <si>
    <t>QD MAKEREADY SRV (INCLUDES PC &amp; 1 PDEF)</t>
  </si>
  <si>
    <t>QDirect Makeready Server (Includes PC &amp; 1 PDEF)</t>
  </si>
  <si>
    <t>QD MAKEREADY SRV: 1YR 1X5 MNT</t>
  </si>
  <si>
    <t>QDirect Makeready Server - Annual 1x5 Maintenance</t>
  </si>
  <si>
    <t>QD MAKEREADY SRV: 1YR 3X7 MNT</t>
  </si>
  <si>
    <t>QDirect Makeready Server - Annual 3x7 Maintenance</t>
  </si>
  <si>
    <t>QD MAKEREADY PDEF (PER ADDITIONAL PDEF)</t>
  </si>
  <si>
    <t>QDirect Makeready PDEF (Per Additional PDEF)</t>
  </si>
  <si>
    <t>QD MAKEREADY PDEF: 1YR 1X5 MNT</t>
  </si>
  <si>
    <t>QDirect Makeready PDEF - 1x5 Premium Support</t>
  </si>
  <si>
    <t>QD MAKEREADY PDEF: 1YR 3X7 MNT</t>
  </si>
  <si>
    <t>QDirect Makeready PDEF - 3x7 Platinum Support</t>
  </si>
  <si>
    <t>QD MAKEREADY SRV: REM INST FEE</t>
  </si>
  <si>
    <t>QDirect Makeready Server - Remote Installation Fee</t>
  </si>
  <si>
    <t>RSA QDirect Print Server  </t>
  </si>
  <si>
    <t>RSA QDirect Print Server</t>
  </si>
  <si>
    <t>QDIRECT PRINT SERVER (INCUDES DELL SRVR)</t>
  </si>
  <si>
    <t>QDirect Print Server (Includes Dell Server)</t>
  </si>
  <si>
    <t>QDIRECT PRINT SERVER ANNUAL 1X5 MAINT</t>
  </si>
  <si>
    <t>QDirect Print Server - Annual 1x5 Maintenance</t>
  </si>
  <si>
    <t>QDIRECT PRINT SERVER ANNUAL 3X5 MAINT</t>
  </si>
  <si>
    <t>QDirect Print Server - Annual 3x7 Maintenance</t>
  </si>
  <si>
    <t>QDIRECT PRINT SERVER REMOTE INSTALL FEE</t>
  </si>
  <si>
    <t>QDirect Print Server - Remote Installation Fee</t>
  </si>
  <si>
    <t>RSA RDOPrint  </t>
  </si>
  <si>
    <t>RSA RDOPrint</t>
  </si>
  <si>
    <t>RDOPRINT LICENSE: 1 SVR-1CUST</t>
  </si>
  <si>
    <t>RDOPrint License (Single Server, Single Customer)</t>
  </si>
  <si>
    <t>RDOPRINT LICENSE: 1YR 1X5 MNT</t>
  </si>
  <si>
    <t>RDOPrint License (Single Server, Single Customer) - Annual 1x5 Maintenance</t>
  </si>
  <si>
    <t>RDOPRINT LICENSE: 1YR 3X7 MNT</t>
  </si>
  <si>
    <t>RDOPrint License (Single Server, Single Customer) - Annual 3x7 Maintenance</t>
  </si>
  <si>
    <t>RDOPRINT LIC W/WEBCRD OR QD: 1 SVR-1CUST</t>
  </si>
  <si>
    <t>RDOPrint License w/WebCRD or QDirect (Single Server, Single Customer)</t>
  </si>
  <si>
    <t>RDOPrint License w/WebCRD or QDirect (Single Server, Single Customer) - Annual 1x5 Maintenance</t>
  </si>
  <si>
    <t>RDOPrint License w/WebCRD or QDirect (Single Server, Single Customer) - Annual 3x7 Maintenance</t>
  </si>
  <si>
    <t>RDOPrint License (Single Server, Multiple Customers) - Annual 1x5 Maintenance</t>
  </si>
  <si>
    <t>RDOPrint License (Single Server, Multiple Customers) - Annual 3x7 Maintenance</t>
  </si>
  <si>
    <t>RDO INITIAL 90-DAY RENTAL: 1 SERV/1 CUST</t>
  </si>
  <si>
    <t>RDOPrint Initial 90-Day Rental for 1 Server and 1 Customer</t>
  </si>
  <si>
    <t>RDO ADDL 90-DAY RENTAL: 1 SERV/1 CUST</t>
  </si>
  <si>
    <t>RDOPrint Additional 90-Day Rental for 1 Server and 1 Customer</t>
  </si>
  <si>
    <t>RDOPRINT IMPLEMENTATION FEE</t>
  </si>
  <si>
    <t>RDOPrint Implementation Fee</t>
  </si>
  <si>
    <t>RSA TicketMe  </t>
  </si>
  <si>
    <t>RSA TicketMe</t>
  </si>
  <si>
    <t>TICKETME LICENSE</t>
  </si>
  <si>
    <t>TicketMe License</t>
  </si>
  <si>
    <t>TICKETME LICENSE ANNUAL 1X5 MAINTENANCE</t>
  </si>
  <si>
    <t>TicketMe License 1x5 Premium Support</t>
  </si>
  <si>
    <t>TICKETME LICENSE ANNUAL 3X7 MAINTENANCE</t>
  </si>
  <si>
    <t>TicketMe License Annual 3x7 Maintenance</t>
  </si>
  <si>
    <t>TICKETME REMOTE INSTALLATION FEE</t>
  </si>
  <si>
    <t>TicketMe Remote Installation Fee</t>
  </si>
  <si>
    <t>RSA Transform  </t>
  </si>
  <si>
    <t>RSA Transform</t>
  </si>
  <si>
    <t>BUS &amp; TAG CHANNEL CARD</t>
  </si>
  <si>
    <t>Bus &amp; Tag Channel Card</t>
  </si>
  <si>
    <t>BUS &amp; TAG CHANNEL CARD: 1YR 1X5 MNT</t>
  </si>
  <si>
    <t>Bus &amp; Tag Channel Card - 1x5 Premium Support</t>
  </si>
  <si>
    <t>BUS &amp; TAG CHANNEL CARD: 1YR 3X7 MNT</t>
  </si>
  <si>
    <t>Bus &amp; Tag Channel Card - 3x7 Platinum Support</t>
  </si>
  <si>
    <t>BUS &amp; TAG CHANNEL SRVR: 1YR 1X5 MNT</t>
  </si>
  <si>
    <t>Bus &amp; Tag Channel Server - 1x5 Premium Support</t>
  </si>
  <si>
    <t>BUS &amp; TAG CHANNEL SRVR: 1YR 3X7 MNT</t>
  </si>
  <si>
    <t>Bus &amp; Tag Channel Server - 3x7 Platinum Support</t>
  </si>
  <si>
    <t>ESCON CHANNEL CARD</t>
  </si>
  <si>
    <t>ESCON Channel Card</t>
  </si>
  <si>
    <t>ESCON CHANNEL CARD: 1YR 1X5 MNT</t>
  </si>
  <si>
    <t>ESCON Channel Card - 1x5 Premium Support</t>
  </si>
  <si>
    <t>ESCON CHANNEL CARD: 1YR 3X7 MNT</t>
  </si>
  <si>
    <t>ESCON Channel Card - 3x7 Platinum Support</t>
  </si>
  <si>
    <t>ESCON CHANNEL SRVR: 1YR 1X5 MNT</t>
  </si>
  <si>
    <t>ESCON Channel Server - 1x5 Premium Support</t>
  </si>
  <si>
    <t>ESCON CHANNEL SRVR: 1YR 3X7 MNT</t>
  </si>
  <si>
    <t>ESCON Channel Server - 3x7 Platinum Support</t>
  </si>
  <si>
    <t>TCP/IP CONNECTIVITY</t>
  </si>
  <si>
    <t>TCP/IP Connectivity</t>
  </si>
  <si>
    <t>MNFRM DNLDR (1ST MNFRM)</t>
  </si>
  <si>
    <t>Mainframe Downloader (1st Mainframe)</t>
  </si>
  <si>
    <t>MNFRM DNLDR (1ST MNFRM): 1YR 1X5 MNT</t>
  </si>
  <si>
    <t>Mainframe Downloader (1st Mainframe) - 1x5 Premium Support</t>
  </si>
  <si>
    <t>MNFRM DNLDR (1ST MNFRM): 1YR 3X7 MNT</t>
  </si>
  <si>
    <t>Mainframe Downloader (1st Mainframe) - 3x7 Platinum Support</t>
  </si>
  <si>
    <t>TF PRT LIC 201+ PPM (1ST): 1YR 1X5 MNT</t>
  </si>
  <si>
    <t>Transform Print License 201+ ppm (1st Printer) - Annual 1x5 Maintenance</t>
  </si>
  <si>
    <t>TF PRT LIC 201+ PPM (1ST): 1YR 3X7 MNT</t>
  </si>
  <si>
    <t>Transform Print License 201+ ppm (1st Printer) - Annual 3x7 Maintenance</t>
  </si>
  <si>
    <t>TF PRT LIC 201+ PPM (ADD): 1YR 1X5 MNT</t>
  </si>
  <si>
    <t>Transform Print License 201+ ppm (Additional) - Annual 1x5 Maintenance</t>
  </si>
  <si>
    <t>TF PRT LIC 201+ PPM (ADD): 1YR 3X7 MNT</t>
  </si>
  <si>
    <t>Transform Print License 201+ ppm (Additional) - Annual 3x7 Maintenance</t>
  </si>
  <si>
    <t>TF PRT LIC 136-200 PPM (1ST) 1YR 1X5 MNT</t>
  </si>
  <si>
    <t>Transform Print License 136-200 ppm (1st Printer) - Annual 1x5 Maintenance</t>
  </si>
  <si>
    <t>TF PRT LIC 106-136 PPM (1ST) 1YR 1X5 MNT</t>
  </si>
  <si>
    <t>Transform Print License 106-136 ppm (1st Printer) - Annual 1x5 Maintenance</t>
  </si>
  <si>
    <t>TF PRT LIC 106-136 PPM (1ST) 1YR 3X7 MNT</t>
  </si>
  <si>
    <t>Transform Print License 106-136 ppm (1st Printer) - Annual 3x7 Maintenance</t>
  </si>
  <si>
    <t>TF PRT LIC 61-105 PPM (1ST) 1YR 1X5 MNT</t>
  </si>
  <si>
    <t>Transform Print License 61-105 ppm (1st Printer) - Annual 1x5 Maintenance</t>
  </si>
  <si>
    <t>TF PRT LIC 61-105 PPM (1ST) 1YR 3X7 MNT</t>
  </si>
  <si>
    <t>Transform Print License 61-105 ppm (1st Printer) - Annual 3x7 Maintenance</t>
  </si>
  <si>
    <t>TF PRT LIC 46-60 PPM (PER) 1YR 1X5 MNT</t>
  </si>
  <si>
    <t>Transform Print License 46-60 ppm (Per Printer) - Annual 1x5 Maintenance</t>
  </si>
  <si>
    <t>TF PRT LIC 46-60 PPM (PER) 1YR 3X7 MNT</t>
  </si>
  <si>
    <t>Transform Print License 46-60 ppm (Per Printer) - Annual 3x7 Maintenance</t>
  </si>
  <si>
    <t>TF PRT LIC 31-45 PPM (PER) 1YR 1X5 MNT</t>
  </si>
  <si>
    <t>Transform Print License 31-45 ppm (Per Printer) - Annual 1x5 Maintenance</t>
  </si>
  <si>
    <t>TF PRT LIC 31-45 PPM (PER) 1YR 3X7 MNT</t>
  </si>
  <si>
    <t>Transform Print License 31-45 ppm (Per Printer) - Annual 3x7 Maintenance</t>
  </si>
  <si>
    <t>TF PRT LIC 0-30 PPM (PER) 1YR 1X5 MNT</t>
  </si>
  <si>
    <t>Transform Print License 0-30 ppm (Per Printer) - Annual 1x5 Maintenance</t>
  </si>
  <si>
    <t>TF PRT LIC 0-30 PPM (PER) 1YR 3X7 MNT</t>
  </si>
  <si>
    <t>Transform Print License 0-30 ppm (Per Printer) - Annual 3x7 Maintenance</t>
  </si>
  <si>
    <t>TF PRT LIC 61-200 PPM (PER) 1YR 1X5 MNT</t>
  </si>
  <si>
    <t>Transform Print License 61-200 ppm (Additional) - Annual 1x5 Maintenance</t>
  </si>
  <si>
    <t>TF PRT LIC 61-200 PPM (PER) 1YR 3X7 MNT</t>
  </si>
  <si>
    <t>Transform Print License 61-200 ppm (Additional) - Annual 3x7 Maintenance</t>
  </si>
  <si>
    <t>TF PRT LIC: DIGIMASTER (PER PRT)</t>
  </si>
  <si>
    <t>Transform Print License: Digimaster (Per Printer)</t>
  </si>
  <si>
    <t>TF PRT LIC: DGMST (PER PRT): 1YR 1X5 MNT</t>
  </si>
  <si>
    <t>Transform Print License: Digimaster (Per Printer) - Annual 1x5 Maintenance</t>
  </si>
  <si>
    <t>TF PRT LIC: DGMST (PER PRT): 1YR 3X7 MNT</t>
  </si>
  <si>
    <t>Transform Print License: Digimaster (Per Printer) - Annual 3x7 Maintenance</t>
  </si>
  <si>
    <t>TF PRT LIC: 61+ PPM (PER PRT-PER TF)</t>
  </si>
  <si>
    <t>Transform Print License: 61+ ppm Printer (Per Printer, Per Transform)</t>
  </si>
  <si>
    <t>TF PRT LIC: 61+ PPM: 1YR 1X5 MNT</t>
  </si>
  <si>
    <t>Transform Print License: 61+ ppm Printer - Annual 1x5 Maintenance</t>
  </si>
  <si>
    <t>TF PRT LIC: 61+ PPM: 1YR 3X7 MNT</t>
  </si>
  <si>
    <t>Transform Print License: 61+ ppm Printer - 3x7 Platinum Support</t>
  </si>
  <si>
    <t>TF PRT LIC: 0-60 PPM (PER PRT-PER TF)</t>
  </si>
  <si>
    <t>Transform Print License: 0-60 ppm Printer (Per Printer, Per Transform)</t>
  </si>
  <si>
    <t>TF PRT LIC: 0-60 PPM: 1YR 1X5 MNT</t>
  </si>
  <si>
    <t>Transform Print License: 0-60 ppm Printer - 1x5 Premium Support</t>
  </si>
  <si>
    <t>TF PRT LIC: 0-60 PPM: 1YR 3X7 MNT</t>
  </si>
  <si>
    <t>Transform Print License: 0-60 ppm Printer - Annual 3x7 Maintenance</t>
  </si>
  <si>
    <t>TF DR LIC (PER PRT-PER TF)</t>
  </si>
  <si>
    <t>Transform DR License (Per Printer, Per Transform)</t>
  </si>
  <si>
    <t>TF DR LIC: 1YR 1X5 MNT</t>
  </si>
  <si>
    <t>Transform DR License - 1x5 Premium Support</t>
  </si>
  <si>
    <t>TF DR LIC: 1YR 3X7 MNT</t>
  </si>
  <si>
    <t>Transform DR License - Annual 3x7 Maintenance</t>
  </si>
  <si>
    <t>MNFRM DNLDR (EACH ADDITIONAL MNFRM)</t>
  </si>
  <si>
    <t>Mainframe Downloader (Each Additional Mainframe)</t>
  </si>
  <si>
    <t>MNFRM DNLDR (EACH ADD): 1YR 1X5 MNT</t>
  </si>
  <si>
    <t>Mainframe Downloader (Each Additional Mainframe) - 1x5 Premium Support</t>
  </si>
  <si>
    <t>MNFRM DNLDR (EACH ADD): 1YR 3X7 MNT</t>
  </si>
  <si>
    <t>Mainframe Downloader (Each Additional Mainframe) - 3x7 Platinum Support</t>
  </si>
  <si>
    <t>IPDSPRINT COLOR MODULE OPTION</t>
  </si>
  <si>
    <t>IPDSPrint Color Module Option</t>
  </si>
  <si>
    <t>IPDSPRINT COLOR MODULE OPT: 1YR 1X5 MNT</t>
  </si>
  <si>
    <t>IPDSPrint Color Module Option - 1x5 Premium Support</t>
  </si>
  <si>
    <t>IPDSPRINT COLOR MODULE OPT: 1YR 3X7 MNT</t>
  </si>
  <si>
    <t>IPDSPrint Color Module Option - 3x7 Platinum Support</t>
  </si>
  <si>
    <t>IPDSPRINT 2-D BAR CODE OPTION</t>
  </si>
  <si>
    <t>IPDSPrint 2-D Bar Code Option</t>
  </si>
  <si>
    <t>IPDSPRINT 2-D BAR CODE OPT: 1YR 1X5 MNT</t>
  </si>
  <si>
    <t>IPDSPrint 2-D Bar Code Option - 1x5 Premium Support</t>
  </si>
  <si>
    <t>IPDSPRINT 2-D BAR CODE OPT: 1YR 3X7 MNT</t>
  </si>
  <si>
    <t>IPDSPrint 2-D Bar Code Option - 3x7 Platinum Support</t>
  </si>
  <si>
    <t>IPDSPRINT DOUBLE BYTE CHAR SET OPT</t>
  </si>
  <si>
    <t>IPDSPrint Double Byte Character Set Option</t>
  </si>
  <si>
    <t>IPDSPRINT DBL BYTE CHAR OPT: 1YR 1X5 MNT</t>
  </si>
  <si>
    <t>IPDSPrint Double Byte Character Option - 1x5 Premium Support</t>
  </si>
  <si>
    <t>IPDSPRINT DBL BYTE CHAR OPT: 1YR 3X7 MNT</t>
  </si>
  <si>
    <t>IPDSPrint Double Byte Character Option - 3x7 Platinum Support</t>
  </si>
  <si>
    <t>TRNSFRM DR LIC: 1YR 1X5 MNT</t>
  </si>
  <si>
    <t>TRNSFRM DR LIC: 1YR 3X7 MNT</t>
  </si>
  <si>
    <t>Transform DR License - 3x7 Platinum Support</t>
  </si>
  <si>
    <t>PDF LITE (INCLUDES 1 APPLICATION)</t>
  </si>
  <si>
    <t>PDF Lite (Includes 1 Application)</t>
  </si>
  <si>
    <t>PDF LITE: 1YR 1X5 MNT</t>
  </si>
  <si>
    <t>PDF Lite - 1x5 Premium Support</t>
  </si>
  <si>
    <t>PDF LITE: 1YR 3X7 MNT</t>
  </si>
  <si>
    <t>PDF Lite - 3x7 Platinum Support</t>
  </si>
  <si>
    <t>PDF PRO (INCLUDES 1 APPLICATION)</t>
  </si>
  <si>
    <t>PDF Pro (Includes 1 Application)</t>
  </si>
  <si>
    <t>PDF PRO: 1YR 1X5 MNT</t>
  </si>
  <si>
    <t>PDF Pro - 1x5 Premium Support</t>
  </si>
  <si>
    <t>PDF PRO: 1YR 3X7 MNT</t>
  </si>
  <si>
    <t>PDF Pro - 3x7 Platinum Support</t>
  </si>
  <si>
    <t>TRNSFRM LIC TRANSFER (PER PRINTER)</t>
  </si>
  <si>
    <t>Transform License Transfer (Per Printer)</t>
  </si>
  <si>
    <t>TRNSFRM REM CNFG INST &amp; TRNG</t>
  </si>
  <si>
    <t>Transform Remote Configuration, Installation &amp; Training (Per PDEF)</t>
  </si>
  <si>
    <t>RSA WebCRD  </t>
  </si>
  <si>
    <t>RSA WebCRD</t>
  </si>
  <si>
    <t>WEBCRD ENTERPRISE SYSTEM LIC</t>
  </si>
  <si>
    <t>WebCRD Enterprise System License (WebCRD Pro, LDAP, QDirect)</t>
  </si>
  <si>
    <t>WEBCRD ENTERPRISE SYS LIC: 1YR 1X5 MNT</t>
  </si>
  <si>
    <t>WebCRD Enterprise System License - 1x5 Premium Support</t>
  </si>
  <si>
    <t>WEBCRD ENTERPRISE SYS LIC: 1YR 3X7 MNT</t>
  </si>
  <si>
    <t>WebCRD Enterprise System License - 3x7 Platinum Support</t>
  </si>
  <si>
    <t>WEBCRD BASE LIC</t>
  </si>
  <si>
    <t>WebCRD Base License</t>
  </si>
  <si>
    <t>WEBCRD BASE LIC: 1YR 1X5 MNT</t>
  </si>
  <si>
    <t>WebCRD Base License - 1x5 Premium Support</t>
  </si>
  <si>
    <t>WEBCRD BASE LIC: 1YR 3X7 MNT</t>
  </si>
  <si>
    <t>WebCRD Base License - 3x7 Platinum Support</t>
  </si>
  <si>
    <t>WEBCRD PRO (INCLUDES 2 PDEFS)</t>
  </si>
  <si>
    <t>WebCRD Pro (Includes 2 PDEFs)</t>
  </si>
  <si>
    <t>WEBCRD PRO: 1YR 1X5 MNT</t>
  </si>
  <si>
    <t>WebCRD Pro - 1x5 Premium Support</t>
  </si>
  <si>
    <t>WEBCRD PRO: 1YR 3X7 MNT</t>
  </si>
  <si>
    <t>WebCRD Pro - 3x7 Platinum Support</t>
  </si>
  <si>
    <t>UPGD WEBCRD BASE LIC 2 PRO LIC</t>
  </si>
  <si>
    <t>Upgrade from WebCRD Base License to WebCRD Pro License</t>
  </si>
  <si>
    <t>UPGD WEBCRD BASE LIC 2 PRO: 1YR 1X5 MNT</t>
  </si>
  <si>
    <t>Upgrade WebCRD Base License to WebCRD Pro - Annual 1x5 Maintenance</t>
  </si>
  <si>
    <t>UPGD WEBCRD BASE LIC 2 PRO: 1YR 3X7 MNT</t>
  </si>
  <si>
    <t>Upgrade WebCRD Base License to WebCRD Pro - Annual 3x7 Maintenance</t>
  </si>
  <si>
    <t>WEBCRD CUSTOMIZATION: 1YR 1X5 MNT</t>
  </si>
  <si>
    <t>WebCRD Customization - Annual 1x5 Maintenance</t>
  </si>
  <si>
    <t>WEBCRD ADDITIONAL PDEF (PER PRT DEF)</t>
  </si>
  <si>
    <t>WebCRD Additional PDEF (Per Printer Definition)</t>
  </si>
  <si>
    <t>WEBCRD ADDITIONAL PDEF: 1YR 1X5 MNT</t>
  </si>
  <si>
    <t>WebCRD Additional PDEF - 1x5 Premium Support</t>
  </si>
  <si>
    <t>WEBCRD ADDITIONAL PDEF: 1YR 3X7 MNT</t>
  </si>
  <si>
    <t>WebCRD Additional PDEF - 3x7 Platinum Support</t>
  </si>
  <si>
    <t>WEBCRD CENTRALPDF LIC (REQ PC FOR CONV)</t>
  </si>
  <si>
    <t>WebCRD CentralPDF License (Requires PC For Conversion)</t>
  </si>
  <si>
    <t>WEBCRD CENTRALPDF LIC: 1YR 1X5 MNT</t>
  </si>
  <si>
    <t>WebCRD CentralPDF License - 1x5 Premium Support</t>
  </si>
  <si>
    <t>WEBCRD CENTRALPDF LIC: 1YR 3X7 MNT</t>
  </si>
  <si>
    <t>WebCRD CentralPDF License - 3x7 Platinum Support</t>
  </si>
  <si>
    <t>WEBCRD SUREPDF LIC (UP TO 5 PRT CENTERS)</t>
  </si>
  <si>
    <t>WebCRD SurePDF License (Up to 5 Print Centers)</t>
  </si>
  <si>
    <t>WEBCRD SUREPDF LIC: 1YR 1X5 MNT</t>
  </si>
  <si>
    <t>WebCRD SurePDF License - 1x5 Premium Support</t>
  </si>
  <si>
    <t>WEBCRD SUREPDF LIC: 1YR 3X7 MNT</t>
  </si>
  <si>
    <t>WebCRD SurePDF License - 3x7 Platinum Support</t>
  </si>
  <si>
    <t>WEBCRD ENTERPRISE LOGIN (LDAP) MODULE</t>
  </si>
  <si>
    <t>WebCRD Enterprise Login (LDAP) Module</t>
  </si>
  <si>
    <t>WEBCRD ENTR LOGIN MOD: 1YR 1X5 MNT</t>
  </si>
  <si>
    <t>WebCRD Enterprise Login (LDAP) Module - 1x5 Premium Support</t>
  </si>
  <si>
    <t>WEBCRD ENTR LOGIN MOD: 1YR 3X7 MNT</t>
  </si>
  <si>
    <t>WebCRD Enterprise Login (LDAP) Module - 3x7 Platinum Support</t>
  </si>
  <si>
    <t>WEBCRD CREDIT CARD MODULE</t>
  </si>
  <si>
    <t>WebCRD Credit Card Module</t>
  </si>
  <si>
    <t>WEBCRD CREDIT CARD MODULE: 1YR 1X5 MNT</t>
  </si>
  <si>
    <t>WebCRD Credit Card Module - 1x5 Premium Support</t>
  </si>
  <si>
    <t>WEBCRD CREDIT CARD MODULE: 1YR 3X7 MNT</t>
  </si>
  <si>
    <t>WebCRD Credit Card Module - 3x7 Platinum Support</t>
  </si>
  <si>
    <t>WEBCRD ADDL SITE LIC (PER ADDL SITE)</t>
  </si>
  <si>
    <t>WebCRD Additional Site License (Per Additional Site)</t>
  </si>
  <si>
    <t>WEBCRD ADDL SITE LIC: 1YR 1X5 MNT</t>
  </si>
  <si>
    <t>WebCRD Additional Site License - 1x5 Premium Support</t>
  </si>
  <si>
    <t>WEBCRD ADDL SITE LIC: 1YR 3X7 MNT</t>
  </si>
  <si>
    <t>WebCRD Additional Site License - 3x7 Platinum Support</t>
  </si>
  <si>
    <t>WEBCRD AJCE (ADV JOB COST EST) MODULE</t>
  </si>
  <si>
    <t>WebCRD AJCE (Advanced Job Cost Estimating) Module</t>
  </si>
  <si>
    <t>WEBCRD AJCE MODULE: 1YR 1X5 MNT</t>
  </si>
  <si>
    <t>WebCRD AJCE Module - 1x5 Premium Support</t>
  </si>
  <si>
    <t>WEBCRD AJCE MODULE: 1YR 3X7 MNT</t>
  </si>
  <si>
    <t>WebCRD AJCE Module - 3x7 Platinum Support</t>
  </si>
  <si>
    <t>WEBCRD AUTOSTOCK MODULE</t>
  </si>
  <si>
    <t>WebCRD AutoStock Module (Requires AutoStock Implementation Fee)</t>
  </si>
  <si>
    <t>WEBCRD AUTOSTOCK MODULE: 1YR 1X5 MNT</t>
  </si>
  <si>
    <t>WebCRD AutoStock Module - 1x5 Premium Support</t>
  </si>
  <si>
    <t>WEBCRD AUTOSTOCK MODULE: 1YR 3X7 MNT</t>
  </si>
  <si>
    <t>WebCRD AutoStock Module - 3x7 Platinum Support</t>
  </si>
  <si>
    <t>WEBCRD ANALYTICS MODULE: 1YR 1X5 MNT</t>
  </si>
  <si>
    <t>WebCRD Analytics Module - 1x5 Premium Support</t>
  </si>
  <si>
    <t>WEBCRD ANALYTICS MODULE: 1YR 3X7 MNT</t>
  </si>
  <si>
    <t>WebCRD Analytics Module - 3x7 Platinum Support</t>
  </si>
  <si>
    <t>WEBCRD MULTILINGUAL MODULE</t>
  </si>
  <si>
    <t>WebCRD Multilingual Module</t>
  </si>
  <si>
    <t>WEBCRD MULTILING MODULE: 1YR 1X5 MNT</t>
  </si>
  <si>
    <t>WebCRD Multilingual Module - Annual 1x5 Maintenance</t>
  </si>
  <si>
    <t>WEBCRD MULTILING MODULE: 1YR 3X7 MNT</t>
  </si>
  <si>
    <t>WebCRD Multilingual Module - Annual 3x7 Maintenance</t>
  </si>
  <si>
    <t>WEBCRD BACKUP OR DR LIC</t>
  </si>
  <si>
    <t>WebCRD Backup or DR License</t>
  </si>
  <si>
    <t>WEBCRD BACKUP OR DR LIC: 1YR 1X5 MNT</t>
  </si>
  <si>
    <t>WebCRD Backup or DR License - 1x5 Premium Support</t>
  </si>
  <si>
    <t>WEBCRD BACKUP OR DR LIC: 1YR 3X7 MNT</t>
  </si>
  <si>
    <t>WebCRD Backup or DR License - 3x7 Platinum Support</t>
  </si>
  <si>
    <t>WEBCRD DYNAMICS MODULE</t>
  </si>
  <si>
    <t>WebCRD Dynamics Module (Requires Dynamics Implementation Fee)</t>
  </si>
  <si>
    <t>WEBCRD DYNAMICS MODULE: 1YR 1X5 MNT</t>
  </si>
  <si>
    <t>WebCRD Dynamics Module - 1x5 Premium Support</t>
  </si>
  <si>
    <t>WEBCRD DYNAMICS MODULE: 1YR 3X7 MNT</t>
  </si>
  <si>
    <t>WebCRD Dynamics Module - 3x7 Platinum Support</t>
  </si>
  <si>
    <t>WEBCRD SUREPDF LIC (PER PRINT CENTER)</t>
  </si>
  <si>
    <t>WebCRD SurePDF Client License (Per Print Center)</t>
  </si>
  <si>
    <t>WebCRD SurePDF Client License - Annual 1x5 Maintenance</t>
  </si>
  <si>
    <t>WebCRD SurePDF Client License - Annual 3x7 Maintenance</t>
  </si>
  <si>
    <t>FUSION PRO DESIGNER LICENSES (5-PACK)</t>
  </si>
  <si>
    <t>Fusion Pro Designer Licenses (5-pack)</t>
  </si>
  <si>
    <t>FUSION PRO DESIGNER LIC: 1YR 1X5 MNT</t>
  </si>
  <si>
    <t>Fusion Pro Designer Licenses - Annual 1x5 Maintenance</t>
  </si>
  <si>
    <t>FUSION PRO DESIGNER LIC: 1YR 3X7 MNT</t>
  </si>
  <si>
    <t>Fusion Pro Designer Licenses - Annual 3x7 Maintenance</t>
  </si>
  <si>
    <t>WEBCRD OD PROD MODULE: ANNUAL FEE</t>
  </si>
  <si>
    <t>WebCRD OnDemand Production Module - Annual Fee</t>
  </si>
  <si>
    <t>WEBCRD OD DYN DT MODULE: ANNUAL FEE</t>
  </si>
  <si>
    <t>WebCRD OnDemand Dynamics Desktop Module - Annual Fee</t>
  </si>
  <si>
    <t>WEBCRD OD PRINT MIS PKG: ANNUAL FEE</t>
  </si>
  <si>
    <t>WebCRD OnDemand Print MIS Package - Annual Fee</t>
  </si>
  <si>
    <t>WEBCRD OD BOOK ASSY MODULE: ANNUAL FEE</t>
  </si>
  <si>
    <t>WebCRD OnDemand Book Assembly Module - Annual Fee</t>
  </si>
  <si>
    <t>WEBCRD OD ADD 100 GB STORAGE: ANNUAL FEE</t>
  </si>
  <si>
    <t>WebCRD OnDemand Additional 100 GB Storage (Each 100 GB) - Annual Fee</t>
  </si>
  <si>
    <t>WEBCRD OD ADD 1 CPU: ANNUAL FEE</t>
  </si>
  <si>
    <t>WebCRD OnDemand Additional 1 CPU (Each 1 CPU) - Annual Fee</t>
  </si>
  <si>
    <t>WEBCRD OD ADD 1 GB RAM: ANNUAL FEE</t>
  </si>
  <si>
    <t>WebCRD OnDemand Additional 1 GB RAM (Each 1 GB RAM) - Annual Fee</t>
  </si>
  <si>
    <t>WEBCRD CTRLPDF OFFICE LIC (REQUIRES PC)</t>
  </si>
  <si>
    <t>WebCRD CentralPDF Office License (Requires PC for Conversion)</t>
  </si>
  <si>
    <t>WEBCRD CTRLPDF OFFICE LIC: 1YR 1X5 MNT</t>
  </si>
  <si>
    <t>WebCRD CentralPDF Office License - Annual 1x5 Premium Support</t>
  </si>
  <si>
    <t>WEBCRD CTRLPDF OFFICE LIC: 1YR 3X7 MNT</t>
  </si>
  <si>
    <t>WebCRD CentralPDF Office License - Annual 3x7 Platinum Support</t>
  </si>
  <si>
    <t>WEBCRD DYN DT: REQ PC &amp; FUSIONPRO DESKTP</t>
  </si>
  <si>
    <t>WebCRD Dynamics Desktop (Requires PC &amp; FusionPro Desktop)</t>
  </si>
  <si>
    <t>WEBCRD DYN DT MOD: 1YR 1X5 MNT</t>
  </si>
  <si>
    <t>WebCRD Dynamics Desktop Module - Annual 1x5 Premium Support</t>
  </si>
  <si>
    <t>WEBCRD DYN DT MOD: 1YR 3X7 MNT</t>
  </si>
  <si>
    <t>WebCRD Dynamics Desktop Module - Annual 3x7 Platinum Support</t>
  </si>
  <si>
    <t>WEBCRD DYN FUSIONPRO DESKTOP: 1 LIC</t>
  </si>
  <si>
    <t>WebCRD Dynamics - FusionPro Desktop License (Per License)</t>
  </si>
  <si>
    <t>WEBCRD DYN FUSIONPRO DSKTP: 1YR 1X5 MNT</t>
  </si>
  <si>
    <t>WebCRD Dynamics - FusionPro Desktop - Annual 1x5 Premium Support</t>
  </si>
  <si>
    <t>WEBCRD DYN FUSIONPRO DSKTP: 1YR 3X7 MNT</t>
  </si>
  <si>
    <t>WebCRD Dynamics - FusionPro Desktop - Annual 3x7 Platinum Support</t>
  </si>
  <si>
    <t>WEBCRD BOOK ASSEMBLY MODULE</t>
  </si>
  <si>
    <t>WebCRD Book Assembly Module</t>
  </si>
  <si>
    <t>WEBCRD BOOK ASSEMBLY MODULE: 1YR 1X5 MNT</t>
  </si>
  <si>
    <t>WebCRD Book Assembly Module - Annual 1x5 Premium Support</t>
  </si>
  <si>
    <t>WEBCRD BOOK ASSEMBLY MODULE: 1YR 3X7 MNT</t>
  </si>
  <si>
    <t>WebCRD Book Assembly Module - Annual 3x7 Platinum Support</t>
  </si>
  <si>
    <t>WEBCRD PRINT MIS PACKAGE</t>
  </si>
  <si>
    <t>WebCRD Print MIS Package</t>
  </si>
  <si>
    <t>WEBCRD PRINT MIS PACKAGE: 1YR 1X5 MNT</t>
  </si>
  <si>
    <t>WebCRD Print MIS Package - Annual 1x5 Premium Support</t>
  </si>
  <si>
    <t>WebCRD Print MIS Package - Annual 3x7 Platinum Support</t>
  </si>
  <si>
    <t>WEBCRD ADDL SITE LIC IMPLMNT FEE</t>
  </si>
  <si>
    <t>WebCRD Additional Site License Implementation Fee</t>
  </si>
  <si>
    <t>WEBCRD AUTOSTOCK IMPLEMENTATION FEE</t>
  </si>
  <si>
    <t>WebCRD AutoStock Implementation Fee</t>
  </si>
  <si>
    <t>WEBCRD BASE LICENSE: REMOTE INST &amp; TRNG</t>
  </si>
  <si>
    <t>WebCRD Base License - Remote Installation &amp; Training</t>
  </si>
  <si>
    <t>WEBCRD DYNAMICS IMPLEMENTATION FEE</t>
  </si>
  <si>
    <t>WebCRD Dynamics Implementation Fee</t>
  </si>
  <si>
    <t>WEBCRD BASE LIC: RMT INST &amp; TRNG FEE</t>
  </si>
  <si>
    <t>WebCRD Base License - Remote Installation &amp; Training Fee</t>
  </si>
  <si>
    <t>WEBCRD PRO LIC: RMT INST&amp;TRNG FEE</t>
  </si>
  <si>
    <t>WebCRD Pro License - Remote Installation &amp; Training Fee</t>
  </si>
  <si>
    <t>UPGD WEBCRD BASE 2 PRO RMT INST&amp;TRNG FEE</t>
  </si>
  <si>
    <t>Upgrade from WebCRD Base to Pro - Remote Installation &amp; Training Fee</t>
  </si>
  <si>
    <t>WEBCRD: REINTEGRATION FEE</t>
  </si>
  <si>
    <t>WebCRD - Reintegration Fee</t>
  </si>
  <si>
    <t>WEBCRD SUREPDF CLIENT LIC IMPL FEE</t>
  </si>
  <si>
    <t>WebCRD SurePDF Client License - Implementation Fee</t>
  </si>
  <si>
    <t>WEBCRD AUTHENTICATION MOD: IMPL FEE</t>
  </si>
  <si>
    <t>WebCRD Authentication Module - Implementation Fee</t>
  </si>
  <si>
    <t>WEBCRD CREDIT CARD MOD: IMPL FEE</t>
  </si>
  <si>
    <t>WebCRD Credit Card Module - Implementation Fee</t>
  </si>
  <si>
    <t>WEBCRD AJCE MOD: IMPL FEE</t>
  </si>
  <si>
    <t>WebCRD AJCE Module - Implementation Fee</t>
  </si>
  <si>
    <t>WEBCRD CUSTOMIZATION (REQ QUOTE - VARBL)</t>
  </si>
  <si>
    <t>WebCRD Customization (Requires Quote; Variable)</t>
  </si>
  <si>
    <t>WEBCRD CTRLPDF OFFICE LIC: IMPLEMENT FEE</t>
  </si>
  <si>
    <t>WebCRD CentralPDF Office License - Implementation Fee</t>
  </si>
  <si>
    <t>WEBCRD DYN DT MOD: REM INST &amp; TRN FEE</t>
  </si>
  <si>
    <t>WebCRD Book Assembly Module - Implementation Fee</t>
  </si>
  <si>
    <t>WEBCRD BOOK ASSEMBLY MODULE: IMPLMNT FEE</t>
  </si>
  <si>
    <t>WEBCRD PRINT MIS PACKAGE: IMPLMNT FEE</t>
  </si>
  <si>
    <t>WebCRD Print MIS Package - Implementation Fee</t>
  </si>
  <si>
    <t>RSA WebCRD OnDemand   RSA WebCRD OnDemand</t>
  </si>
  <si>
    <t>RSA WebCRD OnDemand</t>
  </si>
  <si>
    <t>WEBCRD PRO ONDEMAND: ANNUAL FEE</t>
  </si>
  <si>
    <t>WebCRD Pro OnDemand - Annual Fee</t>
  </si>
  <si>
    <t>ADD SITE (PER ADD PRT CTR): ANNUAL FEE</t>
  </si>
  <si>
    <t>Additional Site (per additional Print Center) - Annual Fee</t>
  </si>
  <si>
    <t>SUREPDF CL LIC (PER PRT CTR): ANNUAL FEE</t>
  </si>
  <si>
    <t>SurePDF Client License (per Print Center) - Annual Fee</t>
  </si>
  <si>
    <t>CENTRALPDF SERV LIC: ANNUAL FEE</t>
  </si>
  <si>
    <t>CentralPDF Server License - Annual Fee</t>
  </si>
  <si>
    <t>ADV JOB COST EST MODULE: ANNUAL FEE</t>
  </si>
  <si>
    <t>Advanced Job Cost Estimating (AJCE) Module - Annual Fee</t>
  </si>
  <si>
    <t>INVENTORY MODULE: ANNUAL FEE</t>
  </si>
  <si>
    <t>Inventory Module - Annual Fee</t>
  </si>
  <si>
    <t>AUTHENTICATION MODULE: ANNUAL FEE</t>
  </si>
  <si>
    <t>Authentication Module - Annual Fee</t>
  </si>
  <si>
    <t>CREDIT CRD VALIDATION MODULE: ANNUAL FEE</t>
  </si>
  <si>
    <t>Credit Card Validation Module - Annual Fee</t>
  </si>
  <si>
    <t>WEBCRD DYNAMICS MODULE: ANNUAL FEE</t>
  </si>
  <si>
    <t>WebCRD Dynamics Module - Annual Fee</t>
  </si>
  <si>
    <t>WEBCRD ONDEMAND: SETUP &amp; CONFIG &amp; TRAIN</t>
  </si>
  <si>
    <t>WebCRD OnDemand - Setup, Configuration &amp; Training</t>
  </si>
  <si>
    <t>WEBCRD PRT DEF (PER PDEF): SETUP &amp; CNFG</t>
  </si>
  <si>
    <t>WebCRD Printer Definition (Per PDEF) - Setup &amp; Configuration</t>
  </si>
  <si>
    <t>ADD SITE (PER ADD PRT CTR): SETUP &amp; CNFG</t>
  </si>
  <si>
    <t>Additional Site (per additional Print Center) - Setup &amp; Configuration</t>
  </si>
  <si>
    <t>SUREPDF CL LIC: SETP &amp; CFG (PER PRT CTR)</t>
  </si>
  <si>
    <t>SurePDF Client License - Setup &amp; Configuration (per Print Center)</t>
  </si>
  <si>
    <t>CENTRALPDF SERVER LIC: SETUP &amp; CONFIG</t>
  </si>
  <si>
    <t>CentralPDF Server License - Setup &amp; Configuration</t>
  </si>
  <si>
    <t>AJCE MODULE - SETUP &amp; CONFIG</t>
  </si>
  <si>
    <t>AJCE Module - Setup &amp; Configuration</t>
  </si>
  <si>
    <t>INVENTORY MODULE: SETUP &amp; CONFIGURATION</t>
  </si>
  <si>
    <t>Inventory Module - Setup &amp; Configuration</t>
  </si>
  <si>
    <t>AUTHENTICATION MODULE:- SETUP &amp; CONFIG</t>
  </si>
  <si>
    <t>Authentication Module - Setup &amp; Configuration</t>
  </si>
  <si>
    <t>WEBCRD DYNAMICS MODULE: SETUP &amp; CONFIG</t>
  </si>
  <si>
    <t>WebCRD Dynamics Module - Setup &amp; Configuration</t>
  </si>
  <si>
    <t>ADD WEBEX TRAINING (PER HR: 4 HR MIN)</t>
  </si>
  <si>
    <t>Additional WebEx Training (per hour; 4 hour minimum)</t>
  </si>
  <si>
    <t>WEBCRD OD DYN DT MODULE: SETUP &amp; CONFIG</t>
  </si>
  <si>
    <t>WebCRD OnDemand Dynamics Desktop Module - Setup &amp; Configuration</t>
  </si>
  <si>
    <t>WEBCRD OD PRINT MIS PKG: SETUP &amp; CONFIG</t>
  </si>
  <si>
    <t>WebCRD OnDemand Print MIS Package - Setup &amp; Configuration</t>
  </si>
  <si>
    <t>WEBCRD OD ADD SITE: SETUP &amp; CONFIG</t>
  </si>
  <si>
    <t>WebCRD OnDemand Additional Site - Setup &amp; Configuration</t>
  </si>
  <si>
    <t>WEBCRD OD BOOK ASSY MOD - SETUP &amp; CONFIG</t>
  </si>
  <si>
    <t>WebCRD OnDemand Book Assembly Module - Setup &amp; Configuration</t>
  </si>
  <si>
    <t>Scantrip  </t>
  </si>
  <si>
    <t>Scantrip</t>
  </si>
  <si>
    <t>Scantrip Admin</t>
  </si>
  <si>
    <t>Admin 10 Licenses</t>
  </si>
  <si>
    <t>Scantrip MAC 10 Licenses</t>
  </si>
  <si>
    <t>10 Licenses</t>
  </si>
  <si>
    <t>Scantrip MAC OSx</t>
  </si>
  <si>
    <t>ScanTrip Linux</t>
  </si>
  <si>
    <t>Unity  </t>
  </si>
  <si>
    <t>Unity</t>
  </si>
  <si>
    <t>Optional Unity Document Suite DVD Package </t>
  </si>
  <si>
    <t>KM Unity Document Suite</t>
  </si>
  <si>
    <t>Unity Document Suite - 1 Seat License</t>
  </si>
  <si>
    <t>Unity Document Suite - 5 Seat License</t>
  </si>
  <si>
    <t>Unity Document Suite - 25 Seat License</t>
  </si>
  <si>
    <t>Unity Document Suite - 100 Seat license</t>
  </si>
  <si>
    <t>KM Unity Document Suite Upgrade from v6</t>
  </si>
  <si>
    <t>KM Unity Document Suite 1 Seat Upgrade license from v6</t>
  </si>
  <si>
    <t>KM Unity Document Suite Upgrade from v6 - 5 seat license</t>
  </si>
  <si>
    <t>KM Unity Document Suite Upgrade from v6 - 25 seat license</t>
  </si>
  <si>
    <t>KM Unity Document Suite Upgrade from v6 - 100 seat license</t>
  </si>
  <si>
    <r>
      <t xml:space="preserve">AutoStore 6 Express </t>
    </r>
    <r>
      <rPr>
        <vertAlign val="superscript"/>
        <sz val="9"/>
        <color rgb="FF000000"/>
        <rFont val="Calibri"/>
        <family val="2"/>
        <scheme val="minor"/>
      </rPr>
      <t xml:space="preserve">1 </t>
    </r>
  </si>
  <si>
    <r>
      <t xml:space="preserve">7640016701 </t>
    </r>
    <r>
      <rPr>
        <vertAlign val="superscript"/>
        <sz val="9"/>
        <color rgb="FF000000"/>
        <rFont val="Calibri"/>
        <family val="2"/>
        <scheme val="minor"/>
      </rPr>
      <t xml:space="preserve">2 </t>
    </r>
  </si>
  <si>
    <r>
      <t xml:space="preserve">7640016919 </t>
    </r>
    <r>
      <rPr>
        <vertAlign val="superscript"/>
        <sz val="9"/>
        <color rgb="FF000000"/>
        <rFont val="Calibri"/>
        <family val="2"/>
        <scheme val="minor"/>
      </rPr>
      <t xml:space="preserve">3 </t>
    </r>
  </si>
  <si>
    <r>
      <t xml:space="preserve">AutoStore 6 Express Advanced Options </t>
    </r>
    <r>
      <rPr>
        <vertAlign val="superscript"/>
        <sz val="9"/>
        <color rgb="FF000000"/>
        <rFont val="Calibri"/>
        <family val="2"/>
        <scheme val="minor"/>
      </rPr>
      <t xml:space="preserve">1 </t>
    </r>
  </si>
  <si>
    <r>
      <t xml:space="preserve">7640016919 </t>
    </r>
    <r>
      <rPr>
        <vertAlign val="superscript"/>
        <sz val="9"/>
        <color rgb="FF000000"/>
        <rFont val="Calibri"/>
        <family val="2"/>
        <scheme val="minor"/>
      </rPr>
      <t xml:space="preserve">2 </t>
    </r>
  </si>
  <si>
    <r>
      <t xml:space="preserve">AutoStore 6 Workflow </t>
    </r>
    <r>
      <rPr>
        <vertAlign val="superscript"/>
        <sz val="9"/>
        <color rgb="FF000000"/>
        <rFont val="Calibri"/>
        <family val="2"/>
        <scheme val="minor"/>
      </rPr>
      <t xml:space="preserve">1 </t>
    </r>
  </si>
  <si>
    <r>
      <t xml:space="preserve">7640016773 </t>
    </r>
    <r>
      <rPr>
        <vertAlign val="superscript"/>
        <sz val="9"/>
        <color rgb="FF000000"/>
        <rFont val="Calibri"/>
        <family val="2"/>
        <scheme val="minor"/>
      </rPr>
      <t xml:space="preserve">2 </t>
    </r>
  </si>
  <si>
    <r>
      <t xml:space="preserve">AutoStore 6 Workflow Advanced Options </t>
    </r>
    <r>
      <rPr>
        <vertAlign val="superscript"/>
        <sz val="9"/>
        <color rgb="FF000000"/>
        <rFont val="Calibri"/>
        <family val="2"/>
        <scheme val="minor"/>
      </rPr>
      <t xml:space="preserve">1 </t>
    </r>
  </si>
  <si>
    <r>
      <t xml:space="preserve">Bluebeam Standard </t>
    </r>
    <r>
      <rPr>
        <vertAlign val="superscript"/>
        <sz val="9"/>
        <color rgb="FF000000"/>
        <rFont val="Calibri"/>
        <family val="2"/>
        <scheme val="minor"/>
      </rPr>
      <t xml:space="preserve">1 </t>
    </r>
  </si>
  <si>
    <r>
      <t xml:space="preserve">Bluebeam Academic </t>
    </r>
    <r>
      <rPr>
        <vertAlign val="superscript"/>
        <sz val="9"/>
        <color rgb="FF000000"/>
        <rFont val="Calibri"/>
        <family val="2"/>
        <scheme val="minor"/>
      </rPr>
      <t xml:space="preserve">1 </t>
    </r>
  </si>
  <si>
    <r>
      <t xml:space="preserve">99862000BS </t>
    </r>
    <r>
      <rPr>
        <vertAlign val="superscript"/>
        <sz val="9"/>
        <color rgb="FF000000"/>
        <rFont val="Calibri"/>
        <family val="2"/>
        <scheme val="minor"/>
      </rPr>
      <t xml:space="preserve">1 </t>
    </r>
  </si>
  <si>
    <r>
      <t xml:space="preserve">0814062201 </t>
    </r>
    <r>
      <rPr>
        <vertAlign val="superscript"/>
        <sz val="9"/>
        <color rgb="FF000000"/>
        <rFont val="Calibri"/>
        <family val="2"/>
        <scheme val="minor"/>
      </rPr>
      <t xml:space="preserve">2 </t>
    </r>
  </si>
  <si>
    <r>
      <t xml:space="preserve">0814682701 </t>
    </r>
    <r>
      <rPr>
        <vertAlign val="superscript"/>
        <sz val="9"/>
        <color rgb="FF000000"/>
        <rFont val="Calibri"/>
        <family val="2"/>
        <scheme val="minor"/>
      </rPr>
      <t xml:space="preserve">3 </t>
    </r>
  </si>
  <si>
    <r>
      <t xml:space="preserve">7640039 </t>
    </r>
    <r>
      <rPr>
        <vertAlign val="superscript"/>
        <sz val="9"/>
        <color rgb="FF000000"/>
        <rFont val="Calibri"/>
        <family val="2"/>
        <scheme val="minor"/>
      </rPr>
      <t xml:space="preserve">4 </t>
    </r>
  </si>
  <si>
    <r>
      <t xml:space="preserve">ChartMD Bundle </t>
    </r>
    <r>
      <rPr>
        <vertAlign val="superscript"/>
        <sz val="9"/>
        <color rgb="FF000000"/>
        <rFont val="Calibri"/>
        <family val="2"/>
        <scheme val="minor"/>
      </rPr>
      <t xml:space="preserve">1 </t>
    </r>
  </si>
  <si>
    <r>
      <t xml:space="preserve">corporate_announcement </t>
    </r>
    <r>
      <rPr>
        <vertAlign val="superscript"/>
        <sz val="9"/>
        <color rgb="FF000000"/>
        <rFont val="Calibri"/>
        <family val="2"/>
        <scheme val="minor"/>
      </rPr>
      <t xml:space="preserve">1 </t>
    </r>
  </si>
  <si>
    <r>
      <t xml:space="preserve">DSF5_ASP </t>
    </r>
    <r>
      <rPr>
        <vertAlign val="superscript"/>
        <sz val="9"/>
        <color rgb="FF000000"/>
        <rFont val="Calibri"/>
        <family val="2"/>
        <scheme val="minor"/>
      </rPr>
      <t xml:space="preserve">1 </t>
    </r>
  </si>
  <si>
    <r>
      <t xml:space="preserve">7640017471 </t>
    </r>
    <r>
      <rPr>
        <vertAlign val="superscript"/>
        <sz val="9"/>
        <color rgb="FF000000"/>
        <rFont val="Calibri"/>
        <family val="2"/>
        <scheme val="minor"/>
      </rPr>
      <t xml:space="preserve">2 </t>
    </r>
  </si>
  <si>
    <r>
      <t xml:space="preserve">7640017472 </t>
    </r>
    <r>
      <rPr>
        <vertAlign val="superscript"/>
        <sz val="9"/>
        <color rgb="FF000000"/>
        <rFont val="Calibri"/>
        <family val="2"/>
        <scheme val="minor"/>
      </rPr>
      <t xml:space="preserve">3 </t>
    </r>
  </si>
  <si>
    <r>
      <t xml:space="preserve">7640017474 </t>
    </r>
    <r>
      <rPr>
        <vertAlign val="superscript"/>
        <sz val="9"/>
        <color rgb="FF000000"/>
        <rFont val="Calibri"/>
        <family val="2"/>
        <scheme val="minor"/>
      </rPr>
      <t xml:space="preserve">4 </t>
    </r>
  </si>
  <si>
    <r>
      <t xml:space="preserve">7640017475 </t>
    </r>
    <r>
      <rPr>
        <vertAlign val="superscript"/>
        <sz val="9"/>
        <color rgb="FF000000"/>
        <rFont val="Calibri"/>
        <family val="2"/>
        <scheme val="minor"/>
      </rPr>
      <t xml:space="preserve">5 </t>
    </r>
  </si>
  <si>
    <r>
      <t xml:space="preserve">7640017476 </t>
    </r>
    <r>
      <rPr>
        <vertAlign val="superscript"/>
        <sz val="9"/>
        <color rgb="FF000000"/>
        <rFont val="Calibri"/>
        <family val="2"/>
        <scheme val="minor"/>
      </rPr>
      <t xml:space="preserve">6 </t>
    </r>
  </si>
  <si>
    <r>
      <t xml:space="preserve">7640017478 </t>
    </r>
    <r>
      <rPr>
        <vertAlign val="superscript"/>
        <sz val="9"/>
        <color rgb="FF000000"/>
        <rFont val="Calibri"/>
        <family val="2"/>
        <scheme val="minor"/>
      </rPr>
      <t xml:space="preserve">7 </t>
    </r>
  </si>
  <si>
    <r>
      <t xml:space="preserve">7640017479 </t>
    </r>
    <r>
      <rPr>
        <vertAlign val="superscript"/>
        <sz val="9"/>
        <color rgb="FF000000"/>
        <rFont val="Calibri"/>
        <family val="2"/>
        <scheme val="minor"/>
      </rPr>
      <t xml:space="preserve">8 </t>
    </r>
  </si>
  <si>
    <r>
      <t xml:space="preserve">7640017480 </t>
    </r>
    <r>
      <rPr>
        <vertAlign val="superscript"/>
        <sz val="9"/>
        <color rgb="FF000000"/>
        <rFont val="Calibri"/>
        <family val="2"/>
        <scheme val="minor"/>
      </rPr>
      <t xml:space="preserve">9 </t>
    </r>
  </si>
  <si>
    <r>
      <t xml:space="preserve">7640017487 </t>
    </r>
    <r>
      <rPr>
        <vertAlign val="superscript"/>
        <sz val="9"/>
        <color rgb="FF000000"/>
        <rFont val="Calibri"/>
        <family val="2"/>
        <scheme val="minor"/>
      </rPr>
      <t xml:space="preserve">10 </t>
    </r>
  </si>
  <si>
    <r>
      <t xml:space="preserve">7640017488 </t>
    </r>
    <r>
      <rPr>
        <vertAlign val="superscript"/>
        <sz val="9"/>
        <color rgb="FF000000"/>
        <rFont val="Calibri"/>
        <family val="2"/>
        <scheme val="minor"/>
      </rPr>
      <t xml:space="preserve">11 </t>
    </r>
  </si>
  <si>
    <r>
      <t xml:space="preserve">7640017456 </t>
    </r>
    <r>
      <rPr>
        <vertAlign val="superscript"/>
        <sz val="9"/>
        <color rgb="FF000000"/>
        <rFont val="Calibri"/>
        <family val="2"/>
        <scheme val="minor"/>
      </rPr>
      <t xml:space="preserve">12 </t>
    </r>
  </si>
  <si>
    <r>
      <t xml:space="preserve">DSF5_Express </t>
    </r>
    <r>
      <rPr>
        <vertAlign val="superscript"/>
        <sz val="9"/>
        <color rgb="FF000000"/>
        <rFont val="Calibri"/>
        <family val="2"/>
        <scheme val="minor"/>
      </rPr>
      <t xml:space="preserve">1 </t>
    </r>
  </si>
  <si>
    <r>
      <t xml:space="preserve">7640017487 </t>
    </r>
    <r>
      <rPr>
        <vertAlign val="superscript"/>
        <sz val="9"/>
        <color rgb="FF000000"/>
        <rFont val="Calibri"/>
        <family val="2"/>
        <scheme val="minor"/>
      </rPr>
      <t xml:space="preserve">2 </t>
    </r>
  </si>
  <si>
    <r>
      <t xml:space="preserve">7640017488 </t>
    </r>
    <r>
      <rPr>
        <vertAlign val="superscript"/>
        <sz val="9"/>
        <color rgb="FF000000"/>
        <rFont val="Calibri"/>
        <family val="2"/>
        <scheme val="minor"/>
      </rPr>
      <t xml:space="preserve">3 </t>
    </r>
  </si>
  <si>
    <r>
      <t xml:space="preserve">DSF5_Full </t>
    </r>
    <r>
      <rPr>
        <vertAlign val="superscript"/>
        <sz val="9"/>
        <color rgb="FF000000"/>
        <rFont val="Calibri"/>
        <family val="2"/>
        <scheme val="minor"/>
      </rPr>
      <t xml:space="preserve">1 </t>
    </r>
  </si>
  <si>
    <r>
      <t xml:space="preserve">7640017412 </t>
    </r>
    <r>
      <rPr>
        <vertAlign val="superscript"/>
        <sz val="9"/>
        <color rgb="FF000000"/>
        <rFont val="Calibri"/>
        <family val="2"/>
        <scheme val="minor"/>
      </rPr>
      <t xml:space="preserve">2 </t>
    </r>
  </si>
  <si>
    <r>
      <t xml:space="preserve">7640017423 </t>
    </r>
    <r>
      <rPr>
        <vertAlign val="superscript"/>
        <sz val="9"/>
        <color rgb="FF000000"/>
        <rFont val="Calibri"/>
        <family val="2"/>
        <scheme val="minor"/>
      </rPr>
      <t xml:space="preserve">3 </t>
    </r>
  </si>
  <si>
    <r>
      <t xml:space="preserve">7640017424 </t>
    </r>
    <r>
      <rPr>
        <vertAlign val="superscript"/>
        <sz val="9"/>
        <color rgb="FF000000"/>
        <rFont val="Calibri"/>
        <family val="2"/>
        <scheme val="minor"/>
      </rPr>
      <t xml:space="preserve">4 </t>
    </r>
  </si>
  <si>
    <r>
      <t xml:space="preserve">7640017425 </t>
    </r>
    <r>
      <rPr>
        <vertAlign val="superscript"/>
        <sz val="9"/>
        <color rgb="FF000000"/>
        <rFont val="Calibri"/>
        <family val="2"/>
        <scheme val="minor"/>
      </rPr>
      <t xml:space="preserve">5 </t>
    </r>
  </si>
  <si>
    <r>
      <t xml:space="preserve">7640017426 </t>
    </r>
    <r>
      <rPr>
        <vertAlign val="superscript"/>
        <sz val="9"/>
        <color rgb="FF000000"/>
        <rFont val="Calibri"/>
        <family val="2"/>
        <scheme val="minor"/>
      </rPr>
      <t xml:space="preserve">6 </t>
    </r>
  </si>
  <si>
    <r>
      <t xml:space="preserve">7640017427 </t>
    </r>
    <r>
      <rPr>
        <vertAlign val="superscript"/>
        <sz val="9"/>
        <color rgb="FF000000"/>
        <rFont val="Calibri"/>
        <family val="2"/>
        <scheme val="minor"/>
      </rPr>
      <t xml:space="preserve">7 </t>
    </r>
  </si>
  <si>
    <r>
      <t xml:space="preserve">7640017428 </t>
    </r>
    <r>
      <rPr>
        <vertAlign val="superscript"/>
        <sz val="9"/>
        <color rgb="FF000000"/>
        <rFont val="Calibri"/>
        <family val="2"/>
        <scheme val="minor"/>
      </rPr>
      <t xml:space="preserve">8 </t>
    </r>
  </si>
  <si>
    <r>
      <t xml:space="preserve">7640017429 </t>
    </r>
    <r>
      <rPr>
        <vertAlign val="superscript"/>
        <sz val="9"/>
        <color rgb="FF000000"/>
        <rFont val="Calibri"/>
        <family val="2"/>
        <scheme val="minor"/>
      </rPr>
      <t xml:space="preserve">9 </t>
    </r>
  </si>
  <si>
    <r>
      <t xml:space="preserve">7640017430 </t>
    </r>
    <r>
      <rPr>
        <vertAlign val="superscript"/>
        <sz val="9"/>
        <color rgb="FF000000"/>
        <rFont val="Calibri"/>
        <family val="2"/>
        <scheme val="minor"/>
      </rPr>
      <t xml:space="preserve">10 </t>
    </r>
  </si>
  <si>
    <r>
      <t xml:space="preserve">7640017431 </t>
    </r>
    <r>
      <rPr>
        <vertAlign val="superscript"/>
        <sz val="9"/>
        <color rgb="FF000000"/>
        <rFont val="Calibri"/>
        <family val="2"/>
        <scheme val="minor"/>
      </rPr>
      <t xml:space="preserve">11 </t>
    </r>
  </si>
  <si>
    <r>
      <t xml:space="preserve">7640017432 </t>
    </r>
    <r>
      <rPr>
        <vertAlign val="superscript"/>
        <sz val="9"/>
        <color rgb="FF000000"/>
        <rFont val="Calibri"/>
        <family val="2"/>
        <scheme val="minor"/>
      </rPr>
      <t xml:space="preserve">12 </t>
    </r>
  </si>
  <si>
    <r>
      <t xml:space="preserve">7640017433 </t>
    </r>
    <r>
      <rPr>
        <vertAlign val="superscript"/>
        <sz val="9"/>
        <color rgb="FF000000"/>
        <rFont val="Calibri"/>
        <family val="2"/>
        <scheme val="minor"/>
      </rPr>
      <t xml:space="preserve">13 </t>
    </r>
  </si>
  <si>
    <r>
      <t xml:space="preserve">7640017434 </t>
    </r>
    <r>
      <rPr>
        <vertAlign val="superscript"/>
        <sz val="9"/>
        <color rgb="FF000000"/>
        <rFont val="Calibri"/>
        <family val="2"/>
        <scheme val="minor"/>
      </rPr>
      <t xml:space="preserve">14 </t>
    </r>
  </si>
  <si>
    <r>
      <t xml:space="preserve">7640017443 </t>
    </r>
    <r>
      <rPr>
        <vertAlign val="superscript"/>
        <sz val="9"/>
        <color rgb="FF000000"/>
        <rFont val="Calibri"/>
        <family val="2"/>
        <scheme val="minor"/>
      </rPr>
      <t xml:space="preserve">15 </t>
    </r>
  </si>
  <si>
    <r>
      <t xml:space="preserve">7640017446 </t>
    </r>
    <r>
      <rPr>
        <vertAlign val="superscript"/>
        <sz val="9"/>
        <color rgb="FF000000"/>
        <rFont val="Calibri"/>
        <family val="2"/>
        <scheme val="minor"/>
      </rPr>
      <t xml:space="preserve">16 </t>
    </r>
  </si>
  <si>
    <r>
      <t xml:space="preserve">7640017487 </t>
    </r>
    <r>
      <rPr>
        <vertAlign val="superscript"/>
        <sz val="9"/>
        <color rgb="FF000000"/>
        <rFont val="Calibri"/>
        <family val="2"/>
        <scheme val="minor"/>
      </rPr>
      <t xml:space="preserve">17 </t>
    </r>
  </si>
  <si>
    <r>
      <t xml:space="preserve">7640017488 </t>
    </r>
    <r>
      <rPr>
        <vertAlign val="superscript"/>
        <sz val="9"/>
        <color rgb="FF000000"/>
        <rFont val="Calibri"/>
        <family val="2"/>
        <scheme val="minor"/>
      </rPr>
      <t xml:space="preserve">18 </t>
    </r>
  </si>
  <si>
    <r>
      <t xml:space="preserve">7640017419 </t>
    </r>
    <r>
      <rPr>
        <vertAlign val="superscript"/>
        <sz val="9"/>
        <color rgb="FF000000"/>
        <rFont val="Calibri"/>
        <family val="2"/>
        <scheme val="minor"/>
      </rPr>
      <t xml:space="preserve">19 </t>
    </r>
  </si>
  <si>
    <r>
      <t xml:space="preserve">7640017420 </t>
    </r>
    <r>
      <rPr>
        <vertAlign val="superscript"/>
        <sz val="9"/>
        <color rgb="FF000000"/>
        <rFont val="Calibri"/>
        <family val="2"/>
        <scheme val="minor"/>
      </rPr>
      <t xml:space="preserve">20 </t>
    </r>
  </si>
  <si>
    <r>
      <t xml:space="preserve">7640017413 </t>
    </r>
    <r>
      <rPr>
        <vertAlign val="superscript"/>
        <sz val="9"/>
        <color rgb="FF000000"/>
        <rFont val="Calibri"/>
        <family val="2"/>
        <scheme val="minor"/>
      </rPr>
      <t xml:space="preserve">21 </t>
    </r>
  </si>
  <si>
    <r>
      <t xml:space="preserve">7640017414 </t>
    </r>
    <r>
      <rPr>
        <vertAlign val="superscript"/>
        <sz val="9"/>
        <color rgb="FF000000"/>
        <rFont val="Calibri"/>
        <family val="2"/>
        <scheme val="minor"/>
      </rPr>
      <t xml:space="preserve">22 </t>
    </r>
  </si>
  <si>
    <r>
      <t xml:space="preserve">Dispatcher Phoenix </t>
    </r>
    <r>
      <rPr>
        <vertAlign val="superscript"/>
        <sz val="9"/>
        <color rgb="FF000000"/>
        <rFont val="Calibri"/>
        <family val="2"/>
        <scheme val="minor"/>
      </rPr>
      <t xml:space="preserve">1 </t>
    </r>
  </si>
  <si>
    <r>
      <t xml:space="preserve">7640001125 </t>
    </r>
    <r>
      <rPr>
        <vertAlign val="superscript"/>
        <sz val="9"/>
        <color rgb="FF000000"/>
        <rFont val="Calibri"/>
        <family val="2"/>
        <scheme val="minor"/>
      </rPr>
      <t xml:space="preserve">2 </t>
    </r>
  </si>
  <si>
    <r>
      <t xml:space="preserve">7640014447 </t>
    </r>
    <r>
      <rPr>
        <vertAlign val="superscript"/>
        <sz val="9"/>
        <color rgb="FF000000"/>
        <rFont val="Calibri"/>
        <family val="2"/>
        <scheme val="minor"/>
      </rPr>
      <t xml:space="preserve">3 </t>
    </r>
  </si>
  <si>
    <r>
      <t xml:space="preserve">Dispatcher Phoenix Legal </t>
    </r>
    <r>
      <rPr>
        <vertAlign val="superscript"/>
        <sz val="9"/>
        <color rgb="FF000000"/>
        <rFont val="Calibri"/>
        <family val="2"/>
        <scheme val="minor"/>
      </rPr>
      <t xml:space="preserve">1 </t>
    </r>
  </si>
  <si>
    <r>
      <t xml:space="preserve">7640015724 </t>
    </r>
    <r>
      <rPr>
        <vertAlign val="superscript"/>
        <sz val="9"/>
        <color rgb="FF000000"/>
        <rFont val="Calibri"/>
        <family val="2"/>
        <scheme val="minor"/>
      </rPr>
      <t xml:space="preserve">2 </t>
    </r>
  </si>
  <si>
    <r>
      <t xml:space="preserve">7640015792 </t>
    </r>
    <r>
      <rPr>
        <vertAlign val="superscript"/>
        <sz val="9"/>
        <color rgb="FF000000"/>
        <rFont val="Calibri"/>
        <family val="2"/>
        <scheme val="minor"/>
      </rPr>
      <t xml:space="preserve">4 </t>
    </r>
  </si>
  <si>
    <r>
      <t xml:space="preserve">Dispatcher Phoenix Professional </t>
    </r>
    <r>
      <rPr>
        <vertAlign val="superscript"/>
        <sz val="9"/>
        <color rgb="FF000000"/>
        <rFont val="Calibri"/>
        <family val="2"/>
        <scheme val="minor"/>
      </rPr>
      <t xml:space="preserve">1 </t>
    </r>
  </si>
  <si>
    <r>
      <t xml:space="preserve">7640014446 </t>
    </r>
    <r>
      <rPr>
        <vertAlign val="superscript"/>
        <sz val="9"/>
        <color rgb="FF000000"/>
        <rFont val="Calibri"/>
        <family val="2"/>
        <scheme val="minor"/>
      </rPr>
      <t xml:space="preserve">2 </t>
    </r>
  </si>
  <si>
    <r>
      <t xml:space="preserve">int_ecopyV5 </t>
    </r>
    <r>
      <rPr>
        <vertAlign val="superscript"/>
        <sz val="9"/>
        <color rgb="FF000000"/>
        <rFont val="Calibri"/>
        <family val="2"/>
        <scheme val="minor"/>
      </rPr>
      <t xml:space="preserve">1 </t>
    </r>
  </si>
  <si>
    <r>
      <t xml:space="preserve">7640014205 </t>
    </r>
    <r>
      <rPr>
        <vertAlign val="superscript"/>
        <sz val="9"/>
        <color rgb="FF000000"/>
        <rFont val="Calibri"/>
        <family val="2"/>
        <scheme val="minor"/>
      </rPr>
      <t xml:space="preserve">2 </t>
    </r>
  </si>
  <si>
    <r>
      <t xml:space="preserve">7640014206 </t>
    </r>
    <r>
      <rPr>
        <vertAlign val="superscript"/>
        <sz val="9"/>
        <color rgb="FF000000"/>
        <rFont val="Calibri"/>
        <family val="2"/>
        <scheme val="minor"/>
      </rPr>
      <t xml:space="preserve">3 </t>
    </r>
  </si>
  <si>
    <r>
      <t xml:space="preserve">7640014207 </t>
    </r>
    <r>
      <rPr>
        <vertAlign val="superscript"/>
        <sz val="9"/>
        <color rgb="FF000000"/>
        <rFont val="Calibri"/>
        <family val="2"/>
        <scheme val="minor"/>
      </rPr>
      <t xml:space="preserve">4 </t>
    </r>
  </si>
  <si>
    <r>
      <t xml:space="preserve">7640014208 </t>
    </r>
    <r>
      <rPr>
        <vertAlign val="superscript"/>
        <sz val="9"/>
        <color rgb="FF000000"/>
        <rFont val="Calibri"/>
        <family val="2"/>
        <scheme val="minor"/>
      </rPr>
      <t xml:space="preserve">5 </t>
    </r>
  </si>
  <si>
    <r>
      <t xml:space="preserve">7640014209 </t>
    </r>
    <r>
      <rPr>
        <vertAlign val="superscript"/>
        <sz val="9"/>
        <color rgb="FF000000"/>
        <rFont val="Calibri"/>
        <family val="2"/>
        <scheme val="minor"/>
      </rPr>
      <t xml:space="preserve">6 </t>
    </r>
  </si>
  <si>
    <r>
      <t xml:space="preserve">7640014210 </t>
    </r>
    <r>
      <rPr>
        <vertAlign val="superscript"/>
        <sz val="9"/>
        <color rgb="FF000000"/>
        <rFont val="Calibri"/>
        <family val="2"/>
        <scheme val="minor"/>
      </rPr>
      <t xml:space="preserve">7 </t>
    </r>
  </si>
  <si>
    <r>
      <t xml:space="preserve">7640014318 </t>
    </r>
    <r>
      <rPr>
        <vertAlign val="superscript"/>
        <sz val="9"/>
        <color rgb="FF000000"/>
        <rFont val="Calibri"/>
        <family val="2"/>
        <scheme val="minor"/>
      </rPr>
      <t xml:space="preserve">8 </t>
    </r>
  </si>
  <si>
    <r>
      <t xml:space="preserve">7640014319 </t>
    </r>
    <r>
      <rPr>
        <vertAlign val="superscript"/>
        <sz val="9"/>
        <color rgb="FF000000"/>
        <rFont val="Calibri"/>
        <family val="2"/>
        <scheme val="minor"/>
      </rPr>
      <t xml:space="preserve">9 </t>
    </r>
  </si>
  <si>
    <r>
      <t xml:space="preserve">7640014574 </t>
    </r>
    <r>
      <rPr>
        <vertAlign val="superscript"/>
        <sz val="9"/>
        <color rgb="FF000000"/>
        <rFont val="Calibri"/>
        <family val="2"/>
        <scheme val="minor"/>
      </rPr>
      <t xml:space="preserve">10 </t>
    </r>
  </si>
  <si>
    <r>
      <t xml:space="preserve">int_ecopyVV5 </t>
    </r>
    <r>
      <rPr>
        <vertAlign val="superscript"/>
        <sz val="9"/>
        <color rgb="FF000000"/>
        <rFont val="Calibri"/>
        <family val="2"/>
        <scheme val="minor"/>
      </rPr>
      <t xml:space="preserve">1 </t>
    </r>
  </si>
  <si>
    <r>
      <t xml:space="preserve">ecopy_loyalty </t>
    </r>
    <r>
      <rPr>
        <vertAlign val="superscript"/>
        <sz val="9"/>
        <color rgb="FF000000"/>
        <rFont val="Calibri"/>
        <family val="2"/>
        <scheme val="minor"/>
      </rPr>
      <t xml:space="preserve">1 </t>
    </r>
  </si>
  <si>
    <r>
      <t xml:space="preserve">ePPO v6 </t>
    </r>
    <r>
      <rPr>
        <vertAlign val="superscript"/>
        <sz val="9"/>
        <color rgb="FF000000"/>
        <rFont val="Calibri"/>
        <family val="2"/>
        <scheme val="minor"/>
      </rPr>
      <t xml:space="preserve">1 </t>
    </r>
  </si>
  <si>
    <r>
      <t xml:space="preserve">7640015650 </t>
    </r>
    <r>
      <rPr>
        <vertAlign val="superscript"/>
        <sz val="9"/>
        <color rgb="FF000000"/>
        <rFont val="Calibri"/>
        <family val="2"/>
        <scheme val="minor"/>
      </rPr>
      <t xml:space="preserve">2 </t>
    </r>
  </si>
  <si>
    <r>
      <t xml:space="preserve">7640015651 </t>
    </r>
    <r>
      <rPr>
        <vertAlign val="superscript"/>
        <sz val="9"/>
        <color rgb="FF000000"/>
        <rFont val="Calibri"/>
        <family val="2"/>
        <scheme val="minor"/>
      </rPr>
      <t xml:space="preserve">3 </t>
    </r>
  </si>
  <si>
    <r>
      <t xml:space="preserve">7640015652 </t>
    </r>
    <r>
      <rPr>
        <vertAlign val="superscript"/>
        <sz val="9"/>
        <color rgb="FF000000"/>
        <rFont val="Calibri"/>
        <family val="2"/>
        <scheme val="minor"/>
      </rPr>
      <t xml:space="preserve">4 </t>
    </r>
  </si>
  <si>
    <r>
      <t xml:space="preserve">7640015653 </t>
    </r>
    <r>
      <rPr>
        <vertAlign val="superscript"/>
        <sz val="9"/>
        <color rgb="FF000000"/>
        <rFont val="Calibri"/>
        <family val="2"/>
        <scheme val="minor"/>
      </rPr>
      <t xml:space="preserve">5 </t>
    </r>
  </si>
  <si>
    <r>
      <t xml:space="preserve">7640015654 </t>
    </r>
    <r>
      <rPr>
        <vertAlign val="superscript"/>
        <sz val="9"/>
        <color rgb="FF000000"/>
        <rFont val="Calibri"/>
        <family val="2"/>
        <scheme val="minor"/>
      </rPr>
      <t xml:space="preserve">6 </t>
    </r>
  </si>
  <si>
    <r>
      <t xml:space="preserve">7640015711 </t>
    </r>
    <r>
      <rPr>
        <vertAlign val="superscript"/>
        <sz val="9"/>
        <color rgb="FF000000"/>
        <rFont val="Calibri"/>
        <family val="2"/>
        <scheme val="minor"/>
      </rPr>
      <t xml:space="preserve">7 </t>
    </r>
  </si>
  <si>
    <r>
      <t xml:space="preserve">7640015712 </t>
    </r>
    <r>
      <rPr>
        <vertAlign val="superscript"/>
        <sz val="9"/>
        <color rgb="FF000000"/>
        <rFont val="Calibri"/>
        <family val="2"/>
        <scheme val="minor"/>
      </rPr>
      <t xml:space="preserve">8 </t>
    </r>
  </si>
  <si>
    <r>
      <t xml:space="preserve">7640015713 </t>
    </r>
    <r>
      <rPr>
        <vertAlign val="superscript"/>
        <sz val="9"/>
        <color rgb="FF000000"/>
        <rFont val="Calibri"/>
        <family val="2"/>
        <scheme val="minor"/>
      </rPr>
      <t xml:space="preserve">9 </t>
    </r>
  </si>
  <si>
    <r>
      <t xml:space="preserve">7640015714 </t>
    </r>
    <r>
      <rPr>
        <vertAlign val="superscript"/>
        <sz val="9"/>
        <color rgb="FF000000"/>
        <rFont val="Calibri"/>
        <family val="2"/>
        <scheme val="minor"/>
      </rPr>
      <t xml:space="preserve">10 </t>
    </r>
  </si>
  <si>
    <r>
      <t xml:space="preserve">7640015715 </t>
    </r>
    <r>
      <rPr>
        <vertAlign val="superscript"/>
        <sz val="9"/>
        <color rgb="FF000000"/>
        <rFont val="Calibri"/>
        <family val="2"/>
        <scheme val="minor"/>
      </rPr>
      <t xml:space="preserve">11 </t>
    </r>
  </si>
  <si>
    <r>
      <t xml:space="preserve">7640015696 </t>
    </r>
    <r>
      <rPr>
        <vertAlign val="superscript"/>
        <sz val="9"/>
        <color rgb="FF000000"/>
        <rFont val="Calibri"/>
        <family val="2"/>
        <scheme val="minor"/>
      </rPr>
      <t xml:space="preserve">12 </t>
    </r>
  </si>
  <si>
    <r>
      <t xml:space="preserve">7640015697 </t>
    </r>
    <r>
      <rPr>
        <vertAlign val="superscript"/>
        <sz val="9"/>
        <color rgb="FF000000"/>
        <rFont val="Calibri"/>
        <family val="2"/>
        <scheme val="minor"/>
      </rPr>
      <t xml:space="preserve">13 </t>
    </r>
  </si>
  <si>
    <r>
      <t xml:space="preserve">7640015698 </t>
    </r>
    <r>
      <rPr>
        <vertAlign val="superscript"/>
        <sz val="9"/>
        <color rgb="FF000000"/>
        <rFont val="Calibri"/>
        <family val="2"/>
        <scheme val="minor"/>
      </rPr>
      <t xml:space="preserve">14 </t>
    </r>
  </si>
  <si>
    <r>
      <t xml:space="preserve">7640015699 </t>
    </r>
    <r>
      <rPr>
        <vertAlign val="superscript"/>
        <sz val="9"/>
        <color rgb="FF000000"/>
        <rFont val="Calibri"/>
        <family val="2"/>
        <scheme val="minor"/>
      </rPr>
      <t xml:space="preserve">15 </t>
    </r>
  </si>
  <si>
    <r>
      <t xml:space="preserve">7640015700 </t>
    </r>
    <r>
      <rPr>
        <vertAlign val="superscript"/>
        <sz val="9"/>
        <color rgb="FF000000"/>
        <rFont val="Calibri"/>
        <family val="2"/>
        <scheme val="minor"/>
      </rPr>
      <t xml:space="preserve">16 </t>
    </r>
  </si>
  <si>
    <r>
      <t xml:space="preserve">7640015701 </t>
    </r>
    <r>
      <rPr>
        <vertAlign val="superscript"/>
        <sz val="9"/>
        <color rgb="FF000000"/>
        <rFont val="Calibri"/>
        <family val="2"/>
        <scheme val="minor"/>
      </rPr>
      <t xml:space="preserve">17 </t>
    </r>
  </si>
  <si>
    <r>
      <t xml:space="preserve">7640015702 </t>
    </r>
    <r>
      <rPr>
        <vertAlign val="superscript"/>
        <sz val="9"/>
        <color rgb="FF000000"/>
        <rFont val="Calibri"/>
        <family val="2"/>
        <scheme val="minor"/>
      </rPr>
      <t xml:space="preserve">18 </t>
    </r>
  </si>
  <si>
    <r>
      <t xml:space="preserve">7640015703 </t>
    </r>
    <r>
      <rPr>
        <vertAlign val="superscript"/>
        <sz val="9"/>
        <color rgb="FF000000"/>
        <rFont val="Calibri"/>
        <family val="2"/>
        <scheme val="minor"/>
      </rPr>
      <t xml:space="preserve">19 </t>
    </r>
  </si>
  <si>
    <r>
      <t xml:space="preserve">7640015704 </t>
    </r>
    <r>
      <rPr>
        <vertAlign val="superscript"/>
        <sz val="9"/>
        <color rgb="FF000000"/>
        <rFont val="Calibri"/>
        <family val="2"/>
        <scheme val="minor"/>
      </rPr>
      <t xml:space="preserve">20 </t>
    </r>
  </si>
  <si>
    <r>
      <t xml:space="preserve">7640015705 </t>
    </r>
    <r>
      <rPr>
        <vertAlign val="superscript"/>
        <sz val="9"/>
        <color rgb="FF000000"/>
        <rFont val="Calibri"/>
        <family val="2"/>
        <scheme val="minor"/>
      </rPr>
      <t xml:space="preserve">21 </t>
    </r>
  </si>
  <si>
    <r>
      <t xml:space="preserve">7640015706 </t>
    </r>
    <r>
      <rPr>
        <vertAlign val="superscript"/>
        <sz val="9"/>
        <color rgb="FF000000"/>
        <rFont val="Calibri"/>
        <family val="2"/>
        <scheme val="minor"/>
      </rPr>
      <t xml:space="preserve">22 </t>
    </r>
  </si>
  <si>
    <r>
      <t xml:space="preserve">7640015707 </t>
    </r>
    <r>
      <rPr>
        <vertAlign val="superscript"/>
        <sz val="9"/>
        <color rgb="FF000000"/>
        <rFont val="Calibri"/>
        <family val="2"/>
        <scheme val="minor"/>
      </rPr>
      <t xml:space="preserve">23 </t>
    </r>
  </si>
  <si>
    <r>
      <t xml:space="preserve">7640015708 </t>
    </r>
    <r>
      <rPr>
        <vertAlign val="superscript"/>
        <sz val="9"/>
        <color rgb="FF000000"/>
        <rFont val="Calibri"/>
        <family val="2"/>
        <scheme val="minor"/>
      </rPr>
      <t xml:space="preserve">24 </t>
    </r>
  </si>
  <si>
    <r>
      <t xml:space="preserve">7640015709 </t>
    </r>
    <r>
      <rPr>
        <vertAlign val="superscript"/>
        <sz val="9"/>
        <color rgb="FF000000"/>
        <rFont val="Calibri"/>
        <family val="2"/>
        <scheme val="minor"/>
      </rPr>
      <t xml:space="preserve">25 </t>
    </r>
  </si>
  <si>
    <r>
      <t xml:space="preserve">7640015710 </t>
    </r>
    <r>
      <rPr>
        <vertAlign val="superscript"/>
        <sz val="9"/>
        <color rgb="FF000000"/>
        <rFont val="Calibri"/>
        <family val="2"/>
        <scheme val="minor"/>
      </rPr>
      <t xml:space="preserve">26 </t>
    </r>
  </si>
  <si>
    <r>
      <t xml:space="preserve">ecopyV5 </t>
    </r>
    <r>
      <rPr>
        <vertAlign val="superscript"/>
        <sz val="9"/>
        <color rgb="FF000000"/>
        <rFont val="Calibri"/>
        <family val="2"/>
        <scheme val="minor"/>
      </rPr>
      <t xml:space="preserve">1 </t>
    </r>
  </si>
  <si>
    <r>
      <t xml:space="preserve">7640014235 </t>
    </r>
    <r>
      <rPr>
        <vertAlign val="superscript"/>
        <sz val="9"/>
        <color rgb="FF000000"/>
        <rFont val="Calibri"/>
        <family val="2"/>
        <scheme val="minor"/>
      </rPr>
      <t xml:space="preserve">2 </t>
    </r>
  </si>
  <si>
    <r>
      <t xml:space="preserve">7640014236 </t>
    </r>
    <r>
      <rPr>
        <vertAlign val="superscript"/>
        <sz val="9"/>
        <color rgb="FF000000"/>
        <rFont val="Calibri"/>
        <family val="2"/>
        <scheme val="minor"/>
      </rPr>
      <t xml:space="preserve">3 </t>
    </r>
  </si>
  <si>
    <r>
      <t xml:space="preserve">7640014237 </t>
    </r>
    <r>
      <rPr>
        <vertAlign val="superscript"/>
        <sz val="9"/>
        <color rgb="FF000000"/>
        <rFont val="Calibri"/>
        <family val="2"/>
        <scheme val="minor"/>
      </rPr>
      <t xml:space="preserve">4 </t>
    </r>
  </si>
  <si>
    <r>
      <t xml:space="preserve">7640014241 </t>
    </r>
    <r>
      <rPr>
        <vertAlign val="superscript"/>
        <sz val="9"/>
        <color rgb="FF000000"/>
        <rFont val="Calibri"/>
        <family val="2"/>
        <scheme val="minor"/>
      </rPr>
      <t xml:space="preserve">5 </t>
    </r>
  </si>
  <si>
    <r>
      <t xml:space="preserve">7640014242 </t>
    </r>
    <r>
      <rPr>
        <vertAlign val="superscript"/>
        <sz val="9"/>
        <color rgb="FF000000"/>
        <rFont val="Calibri"/>
        <family val="2"/>
        <scheme val="minor"/>
      </rPr>
      <t xml:space="preserve">6 </t>
    </r>
  </si>
  <si>
    <r>
      <t xml:space="preserve">7640014243 </t>
    </r>
    <r>
      <rPr>
        <vertAlign val="superscript"/>
        <sz val="9"/>
        <color rgb="FF000000"/>
        <rFont val="Calibri"/>
        <family val="2"/>
        <scheme val="minor"/>
      </rPr>
      <t xml:space="preserve">7 </t>
    </r>
  </si>
  <si>
    <r>
      <t xml:space="preserve">EQ5EFSU13PB </t>
    </r>
    <r>
      <rPr>
        <vertAlign val="superscript"/>
        <sz val="9"/>
        <color rgb="FF000000"/>
        <rFont val="Calibri"/>
        <family val="2"/>
        <scheme val="minor"/>
      </rPr>
      <t xml:space="preserve">1 </t>
    </r>
  </si>
  <si>
    <r>
      <t xml:space="preserve">EQ5EFSU14PB </t>
    </r>
    <r>
      <rPr>
        <vertAlign val="superscript"/>
        <sz val="9"/>
        <color rgb="FF000000"/>
        <rFont val="Calibri"/>
        <family val="2"/>
        <scheme val="minor"/>
      </rPr>
      <t xml:space="preserve">2 </t>
    </r>
  </si>
  <si>
    <r>
      <t xml:space="preserve">EQ5EFSU15PB </t>
    </r>
    <r>
      <rPr>
        <vertAlign val="superscript"/>
        <sz val="9"/>
        <color rgb="FF000000"/>
        <rFont val="Calibri"/>
        <family val="2"/>
        <scheme val="minor"/>
      </rPr>
      <t xml:space="preserve">3 </t>
    </r>
  </si>
  <si>
    <r>
      <t xml:space="preserve">EQ5EFSU11PB </t>
    </r>
    <r>
      <rPr>
        <vertAlign val="superscript"/>
        <sz val="9"/>
        <color rgb="FF000000"/>
        <rFont val="Calibri"/>
        <family val="2"/>
        <scheme val="minor"/>
      </rPr>
      <t xml:space="preserve">4 </t>
    </r>
  </si>
  <si>
    <r>
      <t xml:space="preserve">7640001054 </t>
    </r>
    <r>
      <rPr>
        <vertAlign val="superscript"/>
        <sz val="9"/>
        <color rgb="FF000000"/>
        <rFont val="Calibri"/>
        <family val="2"/>
        <scheme val="minor"/>
      </rPr>
      <t xml:space="preserve">1 </t>
    </r>
  </si>
  <si>
    <r>
      <t xml:space="preserve">7640002396 </t>
    </r>
    <r>
      <rPr>
        <vertAlign val="superscript"/>
        <sz val="9"/>
        <color rgb="FF000000"/>
        <rFont val="Calibri"/>
        <family val="2"/>
        <scheme val="minor"/>
      </rPr>
      <t xml:space="preserve">2 </t>
    </r>
  </si>
  <si>
    <r>
      <t xml:space="preserve">Equitrac_Smart_Print </t>
    </r>
    <r>
      <rPr>
        <vertAlign val="superscript"/>
        <sz val="9"/>
        <color rgb="FF000000"/>
        <rFont val="Calibri"/>
        <family val="2"/>
        <scheme val="minor"/>
      </rPr>
      <t xml:space="preserve">1 </t>
    </r>
  </si>
  <si>
    <r>
      <t xml:space="preserve">EQ5EESC11PB </t>
    </r>
    <r>
      <rPr>
        <vertAlign val="superscript"/>
        <sz val="9"/>
        <color rgb="FF000000"/>
        <rFont val="Calibri"/>
        <family val="2"/>
        <scheme val="minor"/>
      </rPr>
      <t xml:space="preserve">2 </t>
    </r>
  </si>
  <si>
    <r>
      <t xml:space="preserve">45112696 </t>
    </r>
    <r>
      <rPr>
        <vertAlign val="superscript"/>
        <sz val="9"/>
        <color rgb="FF000000"/>
        <rFont val="Calibri"/>
        <family val="2"/>
        <scheme val="minor"/>
      </rPr>
      <t xml:space="preserve">1 </t>
    </r>
  </si>
  <si>
    <r>
      <t xml:space="preserve">45112742 </t>
    </r>
    <r>
      <rPr>
        <vertAlign val="superscript"/>
        <sz val="9"/>
        <color rgb="FF000000"/>
        <rFont val="Calibri"/>
        <family val="2"/>
        <scheme val="minor"/>
      </rPr>
      <t xml:space="preserve">2 </t>
    </r>
  </si>
  <si>
    <r>
      <t xml:space="preserve">45112775 </t>
    </r>
    <r>
      <rPr>
        <vertAlign val="superscript"/>
        <sz val="9"/>
        <color rgb="FF000000"/>
        <rFont val="Calibri"/>
        <family val="2"/>
        <scheme val="minor"/>
      </rPr>
      <t xml:space="preserve">3 </t>
    </r>
  </si>
  <si>
    <r>
      <t xml:space="preserve">45066641 </t>
    </r>
    <r>
      <rPr>
        <vertAlign val="superscript"/>
        <sz val="9"/>
        <color rgb="FF000000"/>
        <rFont val="Calibri"/>
        <family val="2"/>
        <scheme val="minor"/>
      </rPr>
      <t xml:space="preserve">4 </t>
    </r>
  </si>
  <si>
    <r>
      <t xml:space="preserve">45112179 </t>
    </r>
    <r>
      <rPr>
        <vertAlign val="superscript"/>
        <sz val="9"/>
        <color rgb="FF000000"/>
        <rFont val="Calibri"/>
        <family val="2"/>
        <scheme val="minor"/>
      </rPr>
      <t xml:space="preserve">5 </t>
    </r>
  </si>
  <si>
    <r>
      <t xml:space="preserve">45112181 </t>
    </r>
    <r>
      <rPr>
        <vertAlign val="superscript"/>
        <sz val="9"/>
        <color rgb="FF000000"/>
        <rFont val="Calibri"/>
        <family val="2"/>
        <scheme val="minor"/>
      </rPr>
      <t xml:space="preserve">6 </t>
    </r>
  </si>
  <si>
    <r>
      <t xml:space="preserve">45112733 </t>
    </r>
    <r>
      <rPr>
        <vertAlign val="superscript"/>
        <sz val="9"/>
        <color rgb="FF000000"/>
        <rFont val="Calibri"/>
        <family val="2"/>
        <scheme val="minor"/>
      </rPr>
      <t xml:space="preserve">7 </t>
    </r>
  </si>
  <si>
    <r>
      <t xml:space="preserve">45112779 </t>
    </r>
    <r>
      <rPr>
        <vertAlign val="superscript"/>
        <sz val="9"/>
        <color rgb="FF000000"/>
        <rFont val="Calibri"/>
        <family val="2"/>
        <scheme val="minor"/>
      </rPr>
      <t xml:space="preserve">8 </t>
    </r>
  </si>
  <si>
    <r>
      <t xml:space="preserve">45112781 </t>
    </r>
    <r>
      <rPr>
        <vertAlign val="superscript"/>
        <sz val="9"/>
        <color rgb="FF000000"/>
        <rFont val="Calibri"/>
        <family val="2"/>
        <scheme val="minor"/>
      </rPr>
      <t xml:space="preserve">9 </t>
    </r>
  </si>
  <si>
    <r>
      <t xml:space="preserve">100000006466 </t>
    </r>
    <r>
      <rPr>
        <vertAlign val="superscript"/>
        <sz val="9"/>
        <color rgb="FF000000"/>
        <rFont val="Calibri"/>
        <family val="2"/>
        <scheme val="minor"/>
      </rPr>
      <t xml:space="preserve">10 </t>
    </r>
  </si>
  <si>
    <r>
      <t xml:space="preserve">7640016343 </t>
    </r>
    <r>
      <rPr>
        <vertAlign val="superscript"/>
        <sz val="9"/>
        <color rgb="FF000000"/>
        <rFont val="Calibri"/>
        <family val="2"/>
        <scheme val="minor"/>
      </rPr>
      <t xml:space="preserve">11 </t>
    </r>
  </si>
  <si>
    <r>
      <t xml:space="preserve">7640016345 </t>
    </r>
    <r>
      <rPr>
        <vertAlign val="superscript"/>
        <sz val="9"/>
        <color rgb="FF000000"/>
        <rFont val="Calibri"/>
        <family val="2"/>
        <scheme val="minor"/>
      </rPr>
      <t xml:space="preserve">12 </t>
    </r>
  </si>
  <si>
    <r>
      <t xml:space="preserve">45112729 </t>
    </r>
    <r>
      <rPr>
        <vertAlign val="superscript"/>
        <sz val="9"/>
        <color rgb="FF000000"/>
        <rFont val="Calibri"/>
        <family val="2"/>
        <scheme val="minor"/>
      </rPr>
      <t xml:space="preserve">13 </t>
    </r>
  </si>
  <si>
    <r>
      <t xml:space="preserve">Connect_to_OnBase_App </t>
    </r>
    <r>
      <rPr>
        <vertAlign val="superscript"/>
        <sz val="9"/>
        <color rgb="FF000000"/>
        <rFont val="Calibri"/>
        <family val="2"/>
        <scheme val="minor"/>
      </rPr>
      <t xml:space="preserve">1 </t>
    </r>
  </si>
  <si>
    <r>
      <t xml:space="preserve">7640018470 </t>
    </r>
    <r>
      <rPr>
        <vertAlign val="superscript"/>
        <sz val="9"/>
        <color rgb="FF000000"/>
        <rFont val="Calibri"/>
        <family val="2"/>
        <scheme val="minor"/>
      </rPr>
      <t xml:space="preserve">2 </t>
    </r>
  </si>
  <si>
    <r>
      <t xml:space="preserve">iPro </t>
    </r>
    <r>
      <rPr>
        <vertAlign val="superscript"/>
        <sz val="9"/>
        <color rgb="FF000000"/>
        <rFont val="Calibri"/>
        <family val="2"/>
        <scheme val="minor"/>
      </rPr>
      <t xml:space="preserve">1 </t>
    </r>
  </si>
  <si>
    <r>
      <t xml:space="preserve">itc_systems </t>
    </r>
    <r>
      <rPr>
        <vertAlign val="superscript"/>
        <sz val="9"/>
        <color rgb="FF000000"/>
        <rFont val="Calibri"/>
        <family val="2"/>
        <scheme val="minor"/>
      </rPr>
      <t xml:space="preserve">1 </t>
    </r>
  </si>
  <si>
    <r>
      <t xml:space="preserve">7640007734 </t>
    </r>
    <r>
      <rPr>
        <vertAlign val="superscript"/>
        <sz val="9"/>
        <color rgb="FF000000"/>
        <rFont val="Calibri"/>
        <family val="2"/>
        <scheme val="minor"/>
      </rPr>
      <t xml:space="preserve">2 </t>
    </r>
  </si>
  <si>
    <r>
      <t xml:space="preserve">7640009386 </t>
    </r>
    <r>
      <rPr>
        <vertAlign val="superscript"/>
        <sz val="9"/>
        <color rgb="FF000000"/>
        <rFont val="Calibri"/>
        <family val="2"/>
        <scheme val="minor"/>
      </rPr>
      <t xml:space="preserve">3 </t>
    </r>
  </si>
  <si>
    <r>
      <t xml:space="preserve">LPT One </t>
    </r>
    <r>
      <rPr>
        <vertAlign val="superscript"/>
        <sz val="9"/>
        <color rgb="FF000000"/>
        <rFont val="Calibri"/>
        <family val="2"/>
        <scheme val="minor"/>
      </rPr>
      <t xml:space="preserve">1 </t>
    </r>
  </si>
  <si>
    <r>
      <t xml:space="preserve">7640001632 </t>
    </r>
    <r>
      <rPr>
        <vertAlign val="superscript"/>
        <sz val="9"/>
        <color rgb="FF000000"/>
        <rFont val="Calibri"/>
        <family val="2"/>
        <scheme val="minor"/>
      </rPr>
      <t xml:space="preserve">2 </t>
    </r>
  </si>
  <si>
    <r>
      <t xml:space="preserve">7640001071 </t>
    </r>
    <r>
      <rPr>
        <vertAlign val="superscript"/>
        <sz val="9"/>
        <color rgb="FF000000"/>
        <rFont val="Calibri"/>
        <family val="2"/>
        <scheme val="minor"/>
      </rPr>
      <t xml:space="preserve">3 </t>
    </r>
  </si>
  <si>
    <r>
      <t xml:space="preserve">PC Reservation </t>
    </r>
    <r>
      <rPr>
        <vertAlign val="superscript"/>
        <sz val="9"/>
        <color rgb="FF000000"/>
        <rFont val="Calibri"/>
        <family val="2"/>
        <scheme val="minor"/>
      </rPr>
      <t xml:space="preserve">1 </t>
    </r>
  </si>
  <si>
    <r>
      <t xml:space="preserve">Jamex Vending </t>
    </r>
    <r>
      <rPr>
        <vertAlign val="superscript"/>
        <sz val="9"/>
        <color rgb="FF000000"/>
        <rFont val="Calibri"/>
        <family val="2"/>
        <scheme val="minor"/>
      </rPr>
      <t xml:space="preserve">1 </t>
    </r>
  </si>
  <si>
    <r>
      <t xml:space="preserve">4599234 </t>
    </r>
    <r>
      <rPr>
        <vertAlign val="superscript"/>
        <sz val="9"/>
        <color rgb="FF000000"/>
        <rFont val="Calibri"/>
        <family val="2"/>
        <scheme val="minor"/>
      </rPr>
      <t xml:space="preserve">2 </t>
    </r>
  </si>
  <si>
    <r>
      <t xml:space="preserve">7640001073 </t>
    </r>
    <r>
      <rPr>
        <vertAlign val="superscript"/>
        <sz val="9"/>
        <color rgb="FF000000"/>
        <rFont val="Calibri"/>
        <family val="2"/>
        <scheme val="minor"/>
      </rPr>
      <t xml:space="preserve">3 </t>
    </r>
  </si>
  <si>
    <r>
      <t xml:space="preserve">7640003069 </t>
    </r>
    <r>
      <rPr>
        <vertAlign val="superscript"/>
        <sz val="9"/>
        <color rgb="FF000000"/>
        <rFont val="Calibri"/>
        <family val="2"/>
        <scheme val="minor"/>
      </rPr>
      <t xml:space="preserve">4 </t>
    </r>
  </si>
  <si>
    <r>
      <t xml:space="preserve">7640001055 </t>
    </r>
    <r>
      <rPr>
        <vertAlign val="superscript"/>
        <sz val="9"/>
        <color rgb="FF000000"/>
        <rFont val="Calibri"/>
        <family val="2"/>
        <scheme val="minor"/>
      </rPr>
      <t xml:space="preserve">5 </t>
    </r>
  </si>
  <si>
    <r>
      <t xml:space="preserve">7640007942 </t>
    </r>
    <r>
      <rPr>
        <vertAlign val="superscript"/>
        <sz val="9"/>
        <color rgb="FF000000"/>
        <rFont val="Calibri"/>
        <family val="2"/>
        <scheme val="minor"/>
      </rPr>
      <t xml:space="preserve">1 </t>
    </r>
  </si>
  <si>
    <r>
      <t xml:space="preserve">MPI </t>
    </r>
    <r>
      <rPr>
        <vertAlign val="superscript"/>
        <sz val="9"/>
        <color rgb="FF000000"/>
        <rFont val="Calibri"/>
        <family val="2"/>
        <scheme val="minor"/>
      </rPr>
      <t xml:space="preserve">1 </t>
    </r>
  </si>
  <si>
    <r>
      <t xml:space="preserve">7640005150 </t>
    </r>
    <r>
      <rPr>
        <vertAlign val="superscript"/>
        <sz val="9"/>
        <color rgb="FF000000"/>
        <rFont val="Calibri"/>
        <family val="2"/>
        <scheme val="minor"/>
      </rPr>
      <t xml:space="preserve">2 </t>
    </r>
  </si>
  <si>
    <r>
      <t xml:space="preserve">7640005151 </t>
    </r>
    <r>
      <rPr>
        <vertAlign val="superscript"/>
        <sz val="9"/>
        <color rgb="FF000000"/>
        <rFont val="Calibri"/>
        <family val="2"/>
        <scheme val="minor"/>
      </rPr>
      <t xml:space="preserve">3 </t>
    </r>
  </si>
  <si>
    <r>
      <t xml:space="preserve">7640005152 </t>
    </r>
    <r>
      <rPr>
        <vertAlign val="superscript"/>
        <sz val="9"/>
        <color rgb="FF000000"/>
        <rFont val="Calibri"/>
        <family val="2"/>
        <scheme val="minor"/>
      </rPr>
      <t xml:space="preserve">4 </t>
    </r>
  </si>
  <si>
    <r>
      <t xml:space="preserve">7640005153 </t>
    </r>
    <r>
      <rPr>
        <vertAlign val="superscript"/>
        <sz val="9"/>
        <color rgb="FF000000"/>
        <rFont val="Calibri"/>
        <family val="2"/>
        <scheme val="minor"/>
      </rPr>
      <t xml:space="preserve">5 </t>
    </r>
  </si>
  <si>
    <r>
      <t xml:space="preserve">7640005154 </t>
    </r>
    <r>
      <rPr>
        <vertAlign val="superscript"/>
        <sz val="9"/>
        <color rgb="FF000000"/>
        <rFont val="Calibri"/>
        <family val="2"/>
        <scheme val="minor"/>
      </rPr>
      <t xml:space="preserve">6 </t>
    </r>
  </si>
  <si>
    <r>
      <t xml:space="preserve">7640005155 </t>
    </r>
    <r>
      <rPr>
        <vertAlign val="superscript"/>
        <sz val="9"/>
        <color rgb="FF000000"/>
        <rFont val="Calibri"/>
        <family val="2"/>
        <scheme val="minor"/>
      </rPr>
      <t xml:space="preserve">7 </t>
    </r>
  </si>
  <si>
    <r>
      <t xml:space="preserve">7640005156 </t>
    </r>
    <r>
      <rPr>
        <vertAlign val="superscript"/>
        <sz val="9"/>
        <color rgb="FF000000"/>
        <rFont val="Calibri"/>
        <family val="2"/>
        <scheme val="minor"/>
      </rPr>
      <t xml:space="preserve">8 </t>
    </r>
  </si>
  <si>
    <r>
      <t xml:space="preserve">7640005157 </t>
    </r>
    <r>
      <rPr>
        <vertAlign val="superscript"/>
        <sz val="9"/>
        <color rgb="FF000000"/>
        <rFont val="Calibri"/>
        <family val="2"/>
        <scheme val="minor"/>
      </rPr>
      <t xml:space="preserve">9 </t>
    </r>
  </si>
  <si>
    <r>
      <t xml:space="preserve">7640005158 </t>
    </r>
    <r>
      <rPr>
        <vertAlign val="superscript"/>
        <sz val="9"/>
        <color rgb="FF000000"/>
        <rFont val="Calibri"/>
        <family val="2"/>
        <scheme val="minor"/>
      </rPr>
      <t xml:space="preserve">10 </t>
    </r>
  </si>
  <si>
    <r>
      <t xml:space="preserve">7640005159 </t>
    </r>
    <r>
      <rPr>
        <vertAlign val="superscript"/>
        <sz val="9"/>
        <color rgb="FF000000"/>
        <rFont val="Calibri"/>
        <family val="2"/>
        <scheme val="minor"/>
      </rPr>
      <t xml:space="preserve">11 </t>
    </r>
  </si>
  <si>
    <r>
      <t xml:space="preserve">7640005160 </t>
    </r>
    <r>
      <rPr>
        <vertAlign val="superscript"/>
        <sz val="9"/>
        <color rgb="FF000000"/>
        <rFont val="Calibri"/>
        <family val="2"/>
        <scheme val="minor"/>
      </rPr>
      <t xml:space="preserve">12 </t>
    </r>
  </si>
  <si>
    <r>
      <t xml:space="preserve">7640012626 </t>
    </r>
    <r>
      <rPr>
        <vertAlign val="superscript"/>
        <sz val="9"/>
        <color rgb="FF000000"/>
        <rFont val="Calibri"/>
        <family val="2"/>
        <scheme val="minor"/>
      </rPr>
      <t xml:space="preserve">13 </t>
    </r>
  </si>
  <si>
    <r>
      <t xml:space="preserve">7640012627 </t>
    </r>
    <r>
      <rPr>
        <vertAlign val="superscript"/>
        <sz val="9"/>
        <color rgb="FF000000"/>
        <rFont val="Calibri"/>
        <family val="2"/>
        <scheme val="minor"/>
      </rPr>
      <t xml:space="preserve">14 </t>
    </r>
  </si>
  <si>
    <r>
      <t xml:space="preserve">7640012628 </t>
    </r>
    <r>
      <rPr>
        <vertAlign val="superscript"/>
        <sz val="9"/>
        <color rgb="FF000000"/>
        <rFont val="Calibri"/>
        <family val="2"/>
        <scheme val="minor"/>
      </rPr>
      <t xml:space="preserve">15 </t>
    </r>
  </si>
  <si>
    <r>
      <t xml:space="preserve">7640012629 </t>
    </r>
    <r>
      <rPr>
        <vertAlign val="superscript"/>
        <sz val="9"/>
        <color rgb="FF000000"/>
        <rFont val="Calibri"/>
        <family val="2"/>
        <scheme val="minor"/>
      </rPr>
      <t xml:space="preserve">16 </t>
    </r>
  </si>
  <si>
    <r>
      <t xml:space="preserve">7640012630 </t>
    </r>
    <r>
      <rPr>
        <vertAlign val="superscript"/>
        <sz val="9"/>
        <color rgb="FF000000"/>
        <rFont val="Calibri"/>
        <family val="2"/>
        <scheme val="minor"/>
      </rPr>
      <t xml:space="preserve">17 </t>
    </r>
  </si>
  <si>
    <r>
      <t xml:space="preserve">7640012631 </t>
    </r>
    <r>
      <rPr>
        <vertAlign val="superscript"/>
        <sz val="9"/>
        <color rgb="FF000000"/>
        <rFont val="Calibri"/>
        <family val="2"/>
        <scheme val="minor"/>
      </rPr>
      <t xml:space="preserve">18 </t>
    </r>
  </si>
  <si>
    <r>
      <t xml:space="preserve">7640012632 </t>
    </r>
    <r>
      <rPr>
        <vertAlign val="superscript"/>
        <sz val="9"/>
        <color rgb="FF000000"/>
        <rFont val="Calibri"/>
        <family val="2"/>
        <scheme val="minor"/>
      </rPr>
      <t xml:space="preserve">19 </t>
    </r>
  </si>
  <si>
    <r>
      <t xml:space="preserve">7640006806 </t>
    </r>
    <r>
      <rPr>
        <vertAlign val="superscript"/>
        <sz val="9"/>
        <color rgb="FF000000"/>
        <rFont val="Calibri"/>
        <family val="2"/>
        <scheme val="minor"/>
      </rPr>
      <t xml:space="preserve">1 </t>
    </r>
  </si>
  <si>
    <r>
      <t xml:space="preserve">7640002886 </t>
    </r>
    <r>
      <rPr>
        <vertAlign val="superscript"/>
        <sz val="9"/>
        <color rgb="FF000000"/>
        <rFont val="Calibri"/>
        <family val="2"/>
        <scheme val="minor"/>
      </rPr>
      <t xml:space="preserve">2 </t>
    </r>
  </si>
  <si>
    <r>
      <t xml:space="preserve">7640006807 </t>
    </r>
    <r>
      <rPr>
        <vertAlign val="superscript"/>
        <sz val="9"/>
        <color rgb="FF000000"/>
        <rFont val="Calibri"/>
        <family val="2"/>
        <scheme val="minor"/>
      </rPr>
      <t xml:space="preserve">3 </t>
    </r>
  </si>
  <si>
    <r>
      <t xml:space="preserve">7640006894 </t>
    </r>
    <r>
      <rPr>
        <vertAlign val="superscript"/>
        <sz val="9"/>
        <color rgb="FF000000"/>
        <rFont val="Calibri"/>
        <family val="2"/>
        <scheme val="minor"/>
      </rPr>
      <t xml:space="preserve">4 </t>
    </r>
  </si>
  <si>
    <r>
      <t xml:space="preserve">7640006895 </t>
    </r>
    <r>
      <rPr>
        <vertAlign val="superscript"/>
        <sz val="9"/>
        <color rgb="FF000000"/>
        <rFont val="Calibri"/>
        <family val="2"/>
        <scheme val="minor"/>
      </rPr>
      <t xml:space="preserve">5 </t>
    </r>
  </si>
  <si>
    <r>
      <t xml:space="preserve">7640008444 </t>
    </r>
    <r>
      <rPr>
        <vertAlign val="superscript"/>
        <sz val="9"/>
        <color rgb="FF000000"/>
        <rFont val="Calibri"/>
        <family val="2"/>
        <scheme val="minor"/>
      </rPr>
      <t xml:space="preserve">1 </t>
    </r>
  </si>
  <si>
    <r>
      <t xml:space="preserve">7640006805 </t>
    </r>
    <r>
      <rPr>
        <vertAlign val="superscript"/>
        <sz val="9"/>
        <color rgb="FF000000"/>
        <rFont val="Calibri"/>
        <family val="2"/>
        <scheme val="minor"/>
      </rPr>
      <t xml:space="preserve">1 </t>
    </r>
  </si>
  <si>
    <r>
      <t xml:space="preserve">MicroPress Solo </t>
    </r>
    <r>
      <rPr>
        <vertAlign val="superscript"/>
        <sz val="9"/>
        <color rgb="FF000000"/>
        <rFont val="Calibri"/>
        <family val="2"/>
        <scheme val="minor"/>
      </rPr>
      <t xml:space="preserve">1 </t>
    </r>
  </si>
  <si>
    <r>
      <t xml:space="preserve">7640006800 </t>
    </r>
    <r>
      <rPr>
        <vertAlign val="superscript"/>
        <sz val="9"/>
        <color rgb="FF000000"/>
        <rFont val="Calibri"/>
        <family val="2"/>
        <scheme val="minor"/>
      </rPr>
      <t xml:space="preserve">2 </t>
    </r>
  </si>
  <si>
    <r>
      <t xml:space="preserve">7640006801 </t>
    </r>
    <r>
      <rPr>
        <vertAlign val="superscript"/>
        <sz val="9"/>
        <color rgb="FF000000"/>
        <rFont val="Calibri"/>
        <family val="2"/>
        <scheme val="minor"/>
      </rPr>
      <t xml:space="preserve">3 </t>
    </r>
  </si>
  <si>
    <r>
      <t xml:space="preserve">7640006802 </t>
    </r>
    <r>
      <rPr>
        <vertAlign val="superscript"/>
        <sz val="9"/>
        <color rgb="FF000000"/>
        <rFont val="Calibri"/>
        <family val="2"/>
        <scheme val="minor"/>
      </rPr>
      <t xml:space="preserve">4 </t>
    </r>
  </si>
  <si>
    <r>
      <t xml:space="preserve">7640006803 </t>
    </r>
    <r>
      <rPr>
        <vertAlign val="superscript"/>
        <sz val="9"/>
        <color rgb="FF000000"/>
        <rFont val="Calibri"/>
        <family val="2"/>
        <scheme val="minor"/>
      </rPr>
      <t xml:space="preserve">5 </t>
    </r>
  </si>
  <si>
    <r>
      <t xml:space="preserve">7640008055 </t>
    </r>
    <r>
      <rPr>
        <vertAlign val="superscript"/>
        <sz val="9"/>
        <color rgb="FF000000"/>
        <rFont val="Calibri"/>
        <family val="2"/>
        <scheme val="minor"/>
      </rPr>
      <t xml:space="preserve">6 </t>
    </r>
  </si>
  <si>
    <r>
      <t xml:space="preserve">7640008303 </t>
    </r>
    <r>
      <rPr>
        <vertAlign val="superscript"/>
        <sz val="9"/>
        <color rgb="FF000000"/>
        <rFont val="Calibri"/>
        <family val="2"/>
        <scheme val="minor"/>
      </rPr>
      <t xml:space="preserve">7 </t>
    </r>
  </si>
  <si>
    <r>
      <t xml:space="preserve">7640006895 </t>
    </r>
    <r>
      <rPr>
        <vertAlign val="superscript"/>
        <sz val="9"/>
        <color rgb="FF000000"/>
        <rFont val="Calibri"/>
        <family val="2"/>
        <scheme val="minor"/>
      </rPr>
      <t xml:space="preserve">8 </t>
    </r>
  </si>
  <si>
    <r>
      <t xml:space="preserve">Open Text FaxPress Enterprise Edition </t>
    </r>
    <r>
      <rPr>
        <vertAlign val="superscript"/>
        <sz val="9"/>
        <color rgb="FF000000"/>
        <rFont val="Calibri"/>
        <family val="2"/>
        <scheme val="minor"/>
      </rPr>
      <t xml:space="preserve">1 </t>
    </r>
  </si>
  <si>
    <r>
      <t xml:space="preserve">7640014044 </t>
    </r>
    <r>
      <rPr>
        <vertAlign val="superscript"/>
        <sz val="9"/>
        <color rgb="FF000000"/>
        <rFont val="Calibri"/>
        <family val="2"/>
        <scheme val="minor"/>
      </rPr>
      <t xml:space="preserve">2 </t>
    </r>
  </si>
  <si>
    <r>
      <t xml:space="preserve">7640014045 </t>
    </r>
    <r>
      <rPr>
        <vertAlign val="superscript"/>
        <sz val="9"/>
        <color rgb="FF000000"/>
        <rFont val="Calibri"/>
        <family val="2"/>
        <scheme val="minor"/>
      </rPr>
      <t xml:space="preserve">3 </t>
    </r>
  </si>
  <si>
    <r>
      <t xml:space="preserve">7640014046 </t>
    </r>
    <r>
      <rPr>
        <vertAlign val="superscript"/>
        <sz val="9"/>
        <color rgb="FF000000"/>
        <rFont val="Calibri"/>
        <family val="2"/>
        <scheme val="minor"/>
      </rPr>
      <t xml:space="preserve">4 </t>
    </r>
  </si>
  <si>
    <r>
      <t xml:space="preserve">7640014052 </t>
    </r>
    <r>
      <rPr>
        <vertAlign val="superscript"/>
        <sz val="9"/>
        <color rgb="FF000000"/>
        <rFont val="Calibri"/>
        <family val="2"/>
        <scheme val="minor"/>
      </rPr>
      <t xml:space="preserve">5 </t>
    </r>
  </si>
  <si>
    <r>
      <t xml:space="preserve">7640014070 </t>
    </r>
    <r>
      <rPr>
        <vertAlign val="superscript"/>
        <sz val="9"/>
        <color rgb="FF000000"/>
        <rFont val="Calibri"/>
        <family val="2"/>
        <scheme val="minor"/>
      </rPr>
      <t xml:space="preserve">6 </t>
    </r>
  </si>
  <si>
    <r>
      <t xml:space="preserve">7640014075 </t>
    </r>
    <r>
      <rPr>
        <vertAlign val="superscript"/>
        <sz val="9"/>
        <color rgb="FF000000"/>
        <rFont val="Calibri"/>
        <family val="2"/>
        <scheme val="minor"/>
      </rPr>
      <t xml:space="preserve">7 </t>
    </r>
  </si>
  <si>
    <r>
      <t xml:space="preserve">7640014077 </t>
    </r>
    <r>
      <rPr>
        <vertAlign val="superscript"/>
        <sz val="9"/>
        <color rgb="FF000000"/>
        <rFont val="Calibri"/>
        <family val="2"/>
        <scheme val="minor"/>
      </rPr>
      <t xml:space="preserve">8 </t>
    </r>
  </si>
  <si>
    <r>
      <t xml:space="preserve">Open Text FaxPress Premier Edition </t>
    </r>
    <r>
      <rPr>
        <vertAlign val="superscript"/>
        <sz val="9"/>
        <color rgb="FF000000"/>
        <rFont val="Calibri"/>
        <family val="2"/>
        <scheme val="minor"/>
      </rPr>
      <t xml:space="preserve">1 </t>
    </r>
  </si>
  <si>
    <r>
      <t xml:space="preserve">7640014025 </t>
    </r>
    <r>
      <rPr>
        <vertAlign val="superscript"/>
        <sz val="9"/>
        <color rgb="FF000000"/>
        <rFont val="Calibri"/>
        <family val="2"/>
        <scheme val="minor"/>
      </rPr>
      <t xml:space="preserve">2 </t>
    </r>
  </si>
  <si>
    <r>
      <t xml:space="preserve">7640014026 </t>
    </r>
    <r>
      <rPr>
        <vertAlign val="superscript"/>
        <sz val="9"/>
        <color rgb="FF000000"/>
        <rFont val="Calibri"/>
        <family val="2"/>
        <scheme val="minor"/>
      </rPr>
      <t xml:space="preserve">3 </t>
    </r>
  </si>
  <si>
    <r>
      <t xml:space="preserve">7640014027 </t>
    </r>
    <r>
      <rPr>
        <vertAlign val="superscript"/>
        <sz val="9"/>
        <color rgb="FF000000"/>
        <rFont val="Calibri"/>
        <family val="2"/>
        <scheme val="minor"/>
      </rPr>
      <t xml:space="preserve">4 </t>
    </r>
  </si>
  <si>
    <r>
      <t xml:space="preserve">7640014035 </t>
    </r>
    <r>
      <rPr>
        <vertAlign val="superscript"/>
        <sz val="9"/>
        <color rgb="FF000000"/>
        <rFont val="Calibri"/>
        <family val="2"/>
        <scheme val="minor"/>
      </rPr>
      <t xml:space="preserve">5 </t>
    </r>
  </si>
  <si>
    <r>
      <t xml:space="preserve">OpenText Fax Appliance </t>
    </r>
    <r>
      <rPr>
        <vertAlign val="superscript"/>
        <sz val="9"/>
        <color rgb="FF000000"/>
        <rFont val="Calibri"/>
        <family val="2"/>
        <scheme val="minor"/>
      </rPr>
      <t xml:space="preserve">1 </t>
    </r>
  </si>
  <si>
    <r>
      <t xml:space="preserve">SCPFAPG2LINEM </t>
    </r>
    <r>
      <rPr>
        <vertAlign val="superscript"/>
        <sz val="9"/>
        <color rgb="FF000000"/>
        <rFont val="Calibri"/>
        <family val="2"/>
        <scheme val="minor"/>
      </rPr>
      <t xml:space="preserve">2 </t>
    </r>
  </si>
  <si>
    <r>
      <t xml:space="preserve">SCPFAPG2LINEA </t>
    </r>
    <r>
      <rPr>
        <vertAlign val="superscript"/>
        <sz val="9"/>
        <color rgb="FF000000"/>
        <rFont val="Calibri"/>
        <family val="2"/>
        <scheme val="minor"/>
      </rPr>
      <t xml:space="preserve">3 </t>
    </r>
  </si>
  <si>
    <r>
      <t xml:space="preserve">SCPFAPG2LINEAR </t>
    </r>
    <r>
      <rPr>
        <vertAlign val="superscript"/>
        <sz val="9"/>
        <color rgb="FF000000"/>
        <rFont val="Calibri"/>
        <family val="2"/>
        <scheme val="minor"/>
      </rPr>
      <t xml:space="preserve">4 </t>
    </r>
  </si>
  <si>
    <r>
      <t xml:space="preserve">SCPFAPG2LINEMR </t>
    </r>
    <r>
      <rPr>
        <vertAlign val="superscript"/>
        <sz val="9"/>
        <color rgb="FF000000"/>
        <rFont val="Calibri"/>
        <family val="2"/>
        <scheme val="minor"/>
      </rPr>
      <t xml:space="preserve">5 </t>
    </r>
  </si>
  <si>
    <r>
      <t xml:space="preserve">PFASERVICE </t>
    </r>
    <r>
      <rPr>
        <vertAlign val="superscript"/>
        <sz val="9"/>
        <color rgb="FF000000"/>
        <rFont val="Calibri"/>
        <family val="2"/>
        <scheme val="minor"/>
      </rPr>
      <t xml:space="preserve">6 </t>
    </r>
  </si>
  <si>
    <r>
      <t xml:space="preserve">7640014019 </t>
    </r>
    <r>
      <rPr>
        <vertAlign val="superscript"/>
        <sz val="9"/>
        <color rgb="FF000000"/>
        <rFont val="Calibri"/>
        <family val="2"/>
        <scheme val="minor"/>
      </rPr>
      <t xml:space="preserve">2 </t>
    </r>
  </si>
  <si>
    <r>
      <t xml:space="preserve">7640014023 </t>
    </r>
    <r>
      <rPr>
        <vertAlign val="superscript"/>
        <sz val="9"/>
        <color rgb="FF000000"/>
        <rFont val="Calibri"/>
        <family val="2"/>
        <scheme val="minor"/>
      </rPr>
      <t xml:space="preserve">3 </t>
    </r>
  </si>
  <si>
    <r>
      <t xml:space="preserve">OTRFAdv </t>
    </r>
    <r>
      <rPr>
        <vertAlign val="superscript"/>
        <sz val="9"/>
        <color rgb="FF000000"/>
        <rFont val="Calibri"/>
        <family val="2"/>
        <scheme val="minor"/>
      </rPr>
      <t xml:space="preserve">1 </t>
    </r>
  </si>
  <si>
    <r>
      <t xml:space="preserve">7640014075 </t>
    </r>
    <r>
      <rPr>
        <vertAlign val="superscript"/>
        <sz val="9"/>
        <color rgb="FF000000"/>
        <rFont val="Calibri"/>
        <family val="2"/>
        <scheme val="minor"/>
      </rPr>
      <t xml:space="preserve">2 </t>
    </r>
  </si>
  <si>
    <r>
      <t xml:space="preserve">7640014077 </t>
    </r>
    <r>
      <rPr>
        <vertAlign val="superscript"/>
        <sz val="9"/>
        <color rgb="FF000000"/>
        <rFont val="Calibri"/>
        <family val="2"/>
        <scheme val="minor"/>
      </rPr>
      <t xml:space="preserve">3 </t>
    </r>
  </si>
  <si>
    <r>
      <t xml:space="preserve">OTRFCom </t>
    </r>
    <r>
      <rPr>
        <vertAlign val="superscript"/>
        <sz val="9"/>
        <color rgb="FF000000"/>
        <rFont val="Calibri"/>
        <family val="2"/>
        <scheme val="minor"/>
      </rPr>
      <t xml:space="preserve">1 </t>
    </r>
  </si>
  <si>
    <r>
      <t xml:space="preserve">SCPRFPGBSNA </t>
    </r>
    <r>
      <rPr>
        <vertAlign val="superscript"/>
        <sz val="9"/>
        <color rgb="FF000000"/>
        <rFont val="Calibri"/>
        <family val="2"/>
        <scheme val="minor"/>
      </rPr>
      <t xml:space="preserve">2 </t>
    </r>
  </si>
  <si>
    <r>
      <t xml:space="preserve">7640014075 </t>
    </r>
    <r>
      <rPr>
        <vertAlign val="superscript"/>
        <sz val="9"/>
        <color rgb="FF000000"/>
        <rFont val="Calibri"/>
        <family val="2"/>
        <scheme val="minor"/>
      </rPr>
      <t xml:space="preserve">3 </t>
    </r>
  </si>
  <si>
    <r>
      <t xml:space="preserve">7640014077 </t>
    </r>
    <r>
      <rPr>
        <vertAlign val="superscript"/>
        <sz val="9"/>
        <color rgb="FF000000"/>
        <rFont val="Calibri"/>
        <family val="2"/>
        <scheme val="minor"/>
      </rPr>
      <t xml:space="preserve">4 </t>
    </r>
  </si>
  <si>
    <r>
      <t xml:space="preserve">PES </t>
    </r>
    <r>
      <rPr>
        <vertAlign val="superscript"/>
        <sz val="9"/>
        <color rgb="FF000000"/>
        <rFont val="Calibri"/>
        <family val="2"/>
        <scheme val="minor"/>
      </rPr>
      <t xml:space="preserve">1 </t>
    </r>
  </si>
  <si>
    <r>
      <t xml:space="preserve">A0DY015 </t>
    </r>
    <r>
      <rPr>
        <vertAlign val="superscript"/>
        <sz val="9"/>
        <color rgb="FF000000"/>
        <rFont val="Calibri"/>
        <family val="2"/>
        <scheme val="minor"/>
      </rPr>
      <t xml:space="preserve">2 </t>
    </r>
  </si>
  <si>
    <r>
      <t xml:space="preserve">7640005064 </t>
    </r>
    <r>
      <rPr>
        <vertAlign val="superscript"/>
        <sz val="9"/>
        <color rgb="FF000000"/>
        <rFont val="Calibri"/>
        <family val="2"/>
        <scheme val="minor"/>
      </rPr>
      <t xml:space="preserve">3 </t>
    </r>
  </si>
  <si>
    <r>
      <t xml:space="preserve">7640008394 </t>
    </r>
    <r>
      <rPr>
        <vertAlign val="superscript"/>
        <sz val="9"/>
        <color rgb="FF000000"/>
        <rFont val="Calibri"/>
        <family val="2"/>
        <scheme val="minor"/>
      </rPr>
      <t xml:space="preserve">4 </t>
    </r>
  </si>
  <si>
    <r>
      <t xml:space="preserve">A0DY0YA </t>
    </r>
    <r>
      <rPr>
        <vertAlign val="superscript"/>
        <sz val="9"/>
        <color rgb="FF000000"/>
        <rFont val="Calibri"/>
        <family val="2"/>
        <scheme val="minor"/>
      </rPr>
      <t xml:space="preserve">5 </t>
    </r>
  </si>
  <si>
    <r>
      <t xml:space="preserve">PerformanceMatters </t>
    </r>
    <r>
      <rPr>
        <vertAlign val="superscript"/>
        <sz val="9"/>
        <color rgb="FF000000"/>
        <rFont val="Calibri"/>
        <family val="2"/>
        <scheme val="minor"/>
      </rPr>
      <t xml:space="preserve">1 </t>
    </r>
  </si>
  <si>
    <r>
      <t xml:space="preserve">Pharos System Software </t>
    </r>
    <r>
      <rPr>
        <vertAlign val="superscript"/>
        <sz val="9"/>
        <color rgb="FF000000"/>
        <rFont val="Calibri"/>
        <family val="2"/>
        <scheme val="minor"/>
      </rPr>
      <t xml:space="preserve">1 </t>
    </r>
  </si>
  <si>
    <r>
      <t xml:space="preserve">7640013711 </t>
    </r>
    <r>
      <rPr>
        <vertAlign val="superscript"/>
        <sz val="9"/>
        <color rgb="FF000000"/>
        <rFont val="Calibri"/>
        <family val="2"/>
        <scheme val="minor"/>
      </rPr>
      <t xml:space="preserve">2 </t>
    </r>
  </si>
  <si>
    <r>
      <t xml:space="preserve">7640013606 </t>
    </r>
    <r>
      <rPr>
        <vertAlign val="superscript"/>
        <sz val="9"/>
        <color rgb="FF000000"/>
        <rFont val="Calibri"/>
        <family val="2"/>
        <scheme val="minor"/>
      </rPr>
      <t xml:space="preserve">3 </t>
    </r>
  </si>
  <si>
    <r>
      <t xml:space="preserve">7640013724 </t>
    </r>
    <r>
      <rPr>
        <vertAlign val="superscript"/>
        <sz val="9"/>
        <color rgb="FF000000"/>
        <rFont val="Calibri"/>
        <family val="2"/>
        <scheme val="minor"/>
      </rPr>
      <t xml:space="preserve">4 </t>
    </r>
  </si>
  <si>
    <r>
      <t xml:space="preserve">PlanetPress7 </t>
    </r>
    <r>
      <rPr>
        <vertAlign val="superscript"/>
        <sz val="9"/>
        <color rgb="FF000000"/>
        <rFont val="Calibri"/>
        <family val="2"/>
        <scheme val="minor"/>
      </rPr>
      <t xml:space="preserve">1 </t>
    </r>
  </si>
  <si>
    <r>
      <t xml:space="preserve">7640016079 </t>
    </r>
    <r>
      <rPr>
        <vertAlign val="superscript"/>
        <sz val="9"/>
        <color rgb="FF000000"/>
        <rFont val="Calibri"/>
        <family val="2"/>
        <scheme val="minor"/>
      </rPr>
      <t xml:space="preserve">2 </t>
    </r>
  </si>
  <si>
    <r>
      <t xml:space="preserve">7640016080 </t>
    </r>
    <r>
      <rPr>
        <vertAlign val="superscript"/>
        <sz val="9"/>
        <color rgb="FF000000"/>
        <rFont val="Calibri"/>
        <family val="2"/>
        <scheme val="minor"/>
      </rPr>
      <t xml:space="preserve">3 </t>
    </r>
  </si>
  <si>
    <r>
      <t xml:space="preserve">7640016081 </t>
    </r>
    <r>
      <rPr>
        <vertAlign val="superscript"/>
        <sz val="9"/>
        <color rgb="FF000000"/>
        <rFont val="Calibri"/>
        <family val="2"/>
        <scheme val="minor"/>
      </rPr>
      <t xml:space="preserve">4 </t>
    </r>
  </si>
  <si>
    <r>
      <t xml:space="preserve">7640016082 </t>
    </r>
    <r>
      <rPr>
        <vertAlign val="superscript"/>
        <sz val="9"/>
        <color rgb="FF000000"/>
        <rFont val="Calibri"/>
        <family val="2"/>
        <scheme val="minor"/>
      </rPr>
      <t xml:space="preserve">5 </t>
    </r>
  </si>
  <si>
    <r>
      <t xml:space="preserve">7640008009 </t>
    </r>
    <r>
      <rPr>
        <vertAlign val="superscript"/>
        <sz val="9"/>
        <color rgb="FF000000"/>
        <rFont val="Calibri"/>
        <family val="2"/>
        <scheme val="minor"/>
      </rPr>
      <t xml:space="preserve">6 </t>
    </r>
  </si>
  <si>
    <r>
      <t xml:space="preserve">7640005082 </t>
    </r>
    <r>
      <rPr>
        <vertAlign val="superscript"/>
        <sz val="9"/>
        <color rgb="FF000000"/>
        <rFont val="Calibri"/>
        <family val="2"/>
        <scheme val="minor"/>
      </rPr>
      <t xml:space="preserve">7 </t>
    </r>
  </si>
  <si>
    <r>
      <t xml:space="preserve">7640008015 </t>
    </r>
    <r>
      <rPr>
        <vertAlign val="superscript"/>
        <sz val="9"/>
        <color rgb="FF000000"/>
        <rFont val="Calibri"/>
        <family val="2"/>
        <scheme val="minor"/>
      </rPr>
      <t xml:space="preserve">8 </t>
    </r>
  </si>
  <si>
    <r>
      <t xml:space="preserve">7640008016 </t>
    </r>
    <r>
      <rPr>
        <vertAlign val="superscript"/>
        <sz val="9"/>
        <color rgb="FF000000"/>
        <rFont val="Calibri"/>
        <family val="2"/>
        <scheme val="minor"/>
      </rPr>
      <t xml:space="preserve">9 </t>
    </r>
  </si>
  <si>
    <r>
      <t xml:space="preserve">7640008017 </t>
    </r>
    <r>
      <rPr>
        <vertAlign val="superscript"/>
        <sz val="9"/>
        <color rgb="FF000000"/>
        <rFont val="Calibri"/>
        <family val="2"/>
        <scheme val="minor"/>
      </rPr>
      <t xml:space="preserve">10 </t>
    </r>
  </si>
  <si>
    <r>
      <t xml:space="preserve">7640008018 </t>
    </r>
    <r>
      <rPr>
        <vertAlign val="superscript"/>
        <sz val="9"/>
        <color rgb="FF000000"/>
        <rFont val="Calibri"/>
        <family val="2"/>
        <scheme val="minor"/>
      </rPr>
      <t xml:space="preserve">11 </t>
    </r>
  </si>
  <si>
    <r>
      <t xml:space="preserve">7640008019 </t>
    </r>
    <r>
      <rPr>
        <vertAlign val="superscript"/>
        <sz val="9"/>
        <color rgb="FF000000"/>
        <rFont val="Calibri"/>
        <family val="2"/>
        <scheme val="minor"/>
      </rPr>
      <t xml:space="preserve">12 </t>
    </r>
  </si>
  <si>
    <r>
      <t xml:space="preserve">7640001275 </t>
    </r>
    <r>
      <rPr>
        <vertAlign val="superscript"/>
        <sz val="9"/>
        <color rgb="FF000000"/>
        <rFont val="Calibri"/>
        <family val="2"/>
        <scheme val="minor"/>
      </rPr>
      <t xml:space="preserve">13 </t>
    </r>
  </si>
  <si>
    <r>
      <t xml:space="preserve">PlanetPress Capture </t>
    </r>
    <r>
      <rPr>
        <vertAlign val="superscript"/>
        <sz val="9"/>
        <color rgb="FF000000"/>
        <rFont val="Calibri"/>
        <family val="2"/>
        <scheme val="minor"/>
      </rPr>
      <t xml:space="preserve">1 </t>
    </r>
  </si>
  <si>
    <r>
      <t xml:space="preserve">7640017561 </t>
    </r>
    <r>
      <rPr>
        <vertAlign val="superscript"/>
        <sz val="9"/>
        <color rgb="FF000000"/>
        <rFont val="Calibri"/>
        <family val="2"/>
        <scheme val="minor"/>
      </rPr>
      <t xml:space="preserve">2 </t>
    </r>
  </si>
  <si>
    <r>
      <t xml:space="preserve">7640001275 </t>
    </r>
    <r>
      <rPr>
        <vertAlign val="superscript"/>
        <sz val="9"/>
        <color rgb="FF000000"/>
        <rFont val="Calibri"/>
        <family val="2"/>
        <scheme val="minor"/>
      </rPr>
      <t xml:space="preserve">3 </t>
    </r>
  </si>
  <si>
    <r>
      <t xml:space="preserve">7640003087 </t>
    </r>
    <r>
      <rPr>
        <vertAlign val="superscript"/>
        <sz val="9"/>
        <color rgb="FF000000"/>
        <rFont val="Calibri"/>
        <family val="2"/>
        <scheme val="minor"/>
      </rPr>
      <t xml:space="preserve">1 </t>
    </r>
  </si>
  <si>
    <r>
      <t xml:space="preserve">A0X40Y1 </t>
    </r>
    <r>
      <rPr>
        <vertAlign val="superscript"/>
        <sz val="9"/>
        <color rgb="FF000000"/>
        <rFont val="Calibri"/>
        <family val="2"/>
        <scheme val="minor"/>
      </rPr>
      <t xml:space="preserve">2 </t>
    </r>
  </si>
  <si>
    <r>
      <t xml:space="preserve">7640003102 </t>
    </r>
    <r>
      <rPr>
        <vertAlign val="superscript"/>
        <sz val="9"/>
        <color rgb="FF000000"/>
        <rFont val="Calibri"/>
        <family val="2"/>
        <scheme val="minor"/>
      </rPr>
      <t xml:space="preserve">3 </t>
    </r>
  </si>
  <si>
    <r>
      <t xml:space="preserve">PrintShop Mail 7 </t>
    </r>
    <r>
      <rPr>
        <vertAlign val="superscript"/>
        <sz val="9"/>
        <color rgb="FF000000"/>
        <rFont val="Calibri"/>
        <family val="2"/>
        <scheme val="minor"/>
      </rPr>
      <t xml:space="preserve">1 </t>
    </r>
  </si>
  <si>
    <r>
      <t xml:space="preserve">7640016926 </t>
    </r>
    <r>
      <rPr>
        <vertAlign val="superscript"/>
        <sz val="9"/>
        <color rgb="FF000000"/>
        <rFont val="Calibri"/>
        <family val="2"/>
        <scheme val="minor"/>
      </rPr>
      <t xml:space="preserve">2 </t>
    </r>
  </si>
  <si>
    <r>
      <t xml:space="preserve">7640017504 </t>
    </r>
    <r>
      <rPr>
        <vertAlign val="superscript"/>
        <sz val="9"/>
        <color rgb="FF000000"/>
        <rFont val="Calibri"/>
        <family val="2"/>
        <scheme val="minor"/>
      </rPr>
      <t xml:space="preserve">1 </t>
    </r>
  </si>
  <si>
    <r>
      <t xml:space="preserve">7640017512 </t>
    </r>
    <r>
      <rPr>
        <vertAlign val="superscript"/>
        <sz val="9"/>
        <color rgb="FF000000"/>
        <rFont val="Calibri"/>
        <family val="2"/>
        <scheme val="minor"/>
      </rPr>
      <t xml:space="preserve">2 </t>
    </r>
  </si>
  <si>
    <r>
      <t xml:space="preserve">7640003121 </t>
    </r>
    <r>
      <rPr>
        <vertAlign val="superscript"/>
        <sz val="9"/>
        <color rgb="FF000000"/>
        <rFont val="Calibri"/>
        <family val="2"/>
        <scheme val="minor"/>
      </rPr>
      <t xml:space="preserve">1 </t>
    </r>
  </si>
  <si>
    <r>
      <t xml:space="preserve">7640003125 </t>
    </r>
    <r>
      <rPr>
        <vertAlign val="superscript"/>
        <sz val="9"/>
        <color rgb="FF000000"/>
        <rFont val="Calibri"/>
        <family val="2"/>
        <scheme val="minor"/>
      </rPr>
      <t xml:space="preserve">2 </t>
    </r>
  </si>
  <si>
    <r>
      <t xml:space="preserve">7640003133 </t>
    </r>
    <r>
      <rPr>
        <vertAlign val="superscript"/>
        <sz val="9"/>
        <color rgb="FF000000"/>
        <rFont val="Calibri"/>
        <family val="2"/>
        <scheme val="minor"/>
      </rPr>
      <t xml:space="preserve">3 </t>
    </r>
  </si>
  <si>
    <r>
      <t xml:space="preserve">7640003135 </t>
    </r>
    <r>
      <rPr>
        <vertAlign val="superscript"/>
        <sz val="9"/>
        <color rgb="FF000000"/>
        <rFont val="Calibri"/>
        <family val="2"/>
        <scheme val="minor"/>
      </rPr>
      <t xml:space="preserve">4 </t>
    </r>
  </si>
  <si>
    <r>
      <t xml:space="preserve">7640003122 </t>
    </r>
    <r>
      <rPr>
        <vertAlign val="superscript"/>
        <sz val="9"/>
        <color rgb="FF000000"/>
        <rFont val="Calibri"/>
        <family val="2"/>
        <scheme val="minor"/>
      </rPr>
      <t xml:space="preserve">5 </t>
    </r>
  </si>
  <si>
    <r>
      <t xml:space="preserve">7640003124 </t>
    </r>
    <r>
      <rPr>
        <vertAlign val="superscript"/>
        <sz val="9"/>
        <color rgb="FF000000"/>
        <rFont val="Calibri"/>
        <family val="2"/>
        <scheme val="minor"/>
      </rPr>
      <t xml:space="preserve">6 </t>
    </r>
  </si>
  <si>
    <r>
      <t xml:space="preserve">7640003126 </t>
    </r>
    <r>
      <rPr>
        <vertAlign val="superscript"/>
        <sz val="9"/>
        <color rgb="FF000000"/>
        <rFont val="Calibri"/>
        <family val="2"/>
        <scheme val="minor"/>
      </rPr>
      <t xml:space="preserve">7 </t>
    </r>
  </si>
  <si>
    <r>
      <t xml:space="preserve">7640003128 </t>
    </r>
    <r>
      <rPr>
        <vertAlign val="superscript"/>
        <sz val="9"/>
        <color rgb="FF000000"/>
        <rFont val="Calibri"/>
        <family val="2"/>
        <scheme val="minor"/>
      </rPr>
      <t xml:space="preserve">8 </t>
    </r>
  </si>
  <si>
    <r>
      <t xml:space="preserve">7640003130 </t>
    </r>
    <r>
      <rPr>
        <vertAlign val="superscript"/>
        <sz val="9"/>
        <color rgb="FF000000"/>
        <rFont val="Calibri"/>
        <family val="2"/>
        <scheme val="minor"/>
      </rPr>
      <t xml:space="preserve">9 </t>
    </r>
  </si>
  <si>
    <r>
      <t xml:space="preserve">7640003132 </t>
    </r>
    <r>
      <rPr>
        <vertAlign val="superscript"/>
        <sz val="9"/>
        <color rgb="FF000000"/>
        <rFont val="Calibri"/>
        <family val="2"/>
        <scheme val="minor"/>
      </rPr>
      <t xml:space="preserve">10 </t>
    </r>
  </si>
  <si>
    <r>
      <t xml:space="preserve">7640003134 </t>
    </r>
    <r>
      <rPr>
        <vertAlign val="superscript"/>
        <sz val="9"/>
        <color rgb="FF000000"/>
        <rFont val="Calibri"/>
        <family val="2"/>
        <scheme val="minor"/>
      </rPr>
      <t xml:space="preserve">11 </t>
    </r>
  </si>
  <si>
    <r>
      <t xml:space="preserve">7640003136 </t>
    </r>
    <r>
      <rPr>
        <vertAlign val="superscript"/>
        <sz val="9"/>
        <color rgb="FF000000"/>
        <rFont val="Calibri"/>
        <family val="2"/>
        <scheme val="minor"/>
      </rPr>
      <t xml:space="preserve">12 </t>
    </r>
  </si>
  <si>
    <r>
      <t xml:space="preserve">7640003138 </t>
    </r>
    <r>
      <rPr>
        <vertAlign val="superscript"/>
        <sz val="9"/>
        <color rgb="FF000000"/>
        <rFont val="Calibri"/>
        <family val="2"/>
        <scheme val="minor"/>
      </rPr>
      <t xml:space="preserve">13 </t>
    </r>
  </si>
  <si>
    <r>
      <t xml:space="preserve">7640003140 </t>
    </r>
    <r>
      <rPr>
        <vertAlign val="superscript"/>
        <sz val="9"/>
        <color rgb="FF000000"/>
        <rFont val="Calibri"/>
        <family val="2"/>
        <scheme val="minor"/>
      </rPr>
      <t xml:space="preserve">14 </t>
    </r>
  </si>
  <si>
    <r>
      <t xml:space="preserve">7640003142 </t>
    </r>
    <r>
      <rPr>
        <vertAlign val="superscript"/>
        <sz val="9"/>
        <color rgb="FF000000"/>
        <rFont val="Calibri"/>
        <family val="2"/>
        <scheme val="minor"/>
      </rPr>
      <t xml:space="preserve">15 </t>
    </r>
  </si>
  <si>
    <r>
      <t xml:space="preserve">7640003144 </t>
    </r>
    <r>
      <rPr>
        <vertAlign val="superscript"/>
        <sz val="9"/>
        <color rgb="FF000000"/>
        <rFont val="Calibri"/>
        <family val="2"/>
        <scheme val="minor"/>
      </rPr>
      <t xml:space="preserve">16 </t>
    </r>
  </si>
  <si>
    <r>
      <t xml:space="preserve">7640003146 </t>
    </r>
    <r>
      <rPr>
        <vertAlign val="superscript"/>
        <sz val="9"/>
        <color rgb="FF000000"/>
        <rFont val="Calibri"/>
        <family val="2"/>
        <scheme val="minor"/>
      </rPr>
      <t xml:space="preserve">17 </t>
    </r>
  </si>
  <si>
    <r>
      <t xml:space="preserve">7640003148 </t>
    </r>
    <r>
      <rPr>
        <vertAlign val="superscript"/>
        <sz val="9"/>
        <color rgb="FF000000"/>
        <rFont val="Calibri"/>
        <family val="2"/>
        <scheme val="minor"/>
      </rPr>
      <t xml:space="preserve">18 </t>
    </r>
  </si>
  <si>
    <r>
      <t xml:space="preserve">7640003150 </t>
    </r>
    <r>
      <rPr>
        <vertAlign val="superscript"/>
        <sz val="9"/>
        <color rgb="FF000000"/>
        <rFont val="Calibri"/>
        <family val="2"/>
        <scheme val="minor"/>
      </rPr>
      <t xml:space="preserve">19 </t>
    </r>
  </si>
  <si>
    <r>
      <t xml:space="preserve">7640003152 </t>
    </r>
    <r>
      <rPr>
        <vertAlign val="superscript"/>
        <sz val="9"/>
        <color rgb="FF000000"/>
        <rFont val="Calibri"/>
        <family val="2"/>
        <scheme val="minor"/>
      </rPr>
      <t xml:space="preserve">20 </t>
    </r>
  </si>
  <si>
    <r>
      <t xml:space="preserve">7640003154 </t>
    </r>
    <r>
      <rPr>
        <vertAlign val="superscript"/>
        <sz val="9"/>
        <color rgb="FF000000"/>
        <rFont val="Calibri"/>
        <family val="2"/>
        <scheme val="minor"/>
      </rPr>
      <t xml:space="preserve">21 </t>
    </r>
  </si>
  <si>
    <r>
      <t xml:space="preserve">7640003156 </t>
    </r>
    <r>
      <rPr>
        <vertAlign val="superscript"/>
        <sz val="9"/>
        <color rgb="FF000000"/>
        <rFont val="Calibri"/>
        <family val="2"/>
        <scheme val="minor"/>
      </rPr>
      <t xml:space="preserve">22 </t>
    </r>
  </si>
  <si>
    <r>
      <t xml:space="preserve">7640003158 </t>
    </r>
    <r>
      <rPr>
        <vertAlign val="superscript"/>
        <sz val="9"/>
        <color rgb="FF000000"/>
        <rFont val="Calibri"/>
        <family val="2"/>
        <scheme val="minor"/>
      </rPr>
      <t xml:space="preserve">23 </t>
    </r>
  </si>
  <si>
    <r>
      <t xml:space="preserve">DocRecord </t>
    </r>
    <r>
      <rPr>
        <vertAlign val="superscript"/>
        <sz val="9"/>
        <color rgb="FF000000"/>
        <rFont val="Calibri"/>
        <family val="2"/>
        <scheme val="minor"/>
      </rPr>
      <t xml:space="preserve">1 </t>
    </r>
  </si>
  <si>
    <r>
      <t xml:space="preserve">7640002917 </t>
    </r>
    <r>
      <rPr>
        <vertAlign val="superscript"/>
        <sz val="9"/>
        <color rgb="FF000000"/>
        <rFont val="Calibri"/>
        <family val="2"/>
        <scheme val="minor"/>
      </rPr>
      <t xml:space="preserve">1 </t>
    </r>
  </si>
  <si>
    <r>
      <t xml:space="preserve">7640002918 </t>
    </r>
    <r>
      <rPr>
        <vertAlign val="superscript"/>
        <sz val="9"/>
        <color rgb="FF000000"/>
        <rFont val="Calibri"/>
        <family val="2"/>
        <scheme val="minor"/>
      </rPr>
      <t xml:space="preserve">2 </t>
    </r>
  </si>
  <si>
    <r>
      <t xml:space="preserve">7640004338 </t>
    </r>
    <r>
      <rPr>
        <vertAlign val="superscript"/>
        <sz val="9"/>
        <color rgb="FF000000"/>
        <rFont val="Calibri"/>
        <family val="2"/>
        <scheme val="minor"/>
      </rPr>
      <t xml:space="preserve">3 </t>
    </r>
  </si>
  <si>
    <r>
      <t xml:space="preserve">7640003030 </t>
    </r>
    <r>
      <rPr>
        <vertAlign val="superscript"/>
        <sz val="9"/>
        <color rgb="FF000000"/>
        <rFont val="Calibri"/>
        <family val="2"/>
        <scheme val="minor"/>
      </rPr>
      <t xml:space="preserve">4 </t>
    </r>
  </si>
  <si>
    <r>
      <t xml:space="preserve">7640003031 </t>
    </r>
    <r>
      <rPr>
        <vertAlign val="superscript"/>
        <sz val="9"/>
        <color rgb="FF000000"/>
        <rFont val="Calibri"/>
        <family val="2"/>
        <scheme val="minor"/>
      </rPr>
      <t xml:space="preserve">5 </t>
    </r>
  </si>
  <si>
    <r>
      <t xml:space="preserve">Prism_Scanpath </t>
    </r>
    <r>
      <rPr>
        <vertAlign val="superscript"/>
        <sz val="9"/>
        <color rgb="FF000000"/>
        <rFont val="Calibri"/>
        <family val="2"/>
        <scheme val="minor"/>
      </rPr>
      <t xml:space="preserve">1 </t>
    </r>
  </si>
  <si>
    <r>
      <t xml:space="preserve">PrismFlow Products </t>
    </r>
    <r>
      <rPr>
        <vertAlign val="superscript"/>
        <sz val="9"/>
        <color rgb="FF000000"/>
        <rFont val="Calibri"/>
        <family val="2"/>
        <scheme val="minor"/>
      </rPr>
      <t xml:space="preserve">1 </t>
    </r>
  </si>
  <si>
    <r>
      <t xml:space="preserve">7640015849 </t>
    </r>
    <r>
      <rPr>
        <vertAlign val="superscript"/>
        <sz val="9"/>
        <color rgb="FF000000"/>
        <rFont val="Calibri"/>
        <family val="2"/>
        <scheme val="minor"/>
      </rPr>
      <t xml:space="preserve">2 </t>
    </r>
  </si>
  <si>
    <r>
      <t xml:space="preserve">7640015850 </t>
    </r>
    <r>
      <rPr>
        <vertAlign val="superscript"/>
        <sz val="9"/>
        <color rgb="FF000000"/>
        <rFont val="Calibri"/>
        <family val="2"/>
        <scheme val="minor"/>
      </rPr>
      <t xml:space="preserve">3 </t>
    </r>
  </si>
  <si>
    <r>
      <t xml:space="preserve">reflection_pg </t>
    </r>
    <r>
      <rPr>
        <vertAlign val="superscript"/>
        <sz val="9"/>
        <color rgb="FF000000"/>
        <rFont val="Calibri"/>
        <family val="2"/>
        <scheme val="minor"/>
      </rPr>
      <t xml:space="preserve">1 </t>
    </r>
  </si>
  <si>
    <r>
      <t xml:space="preserve">7640007949 </t>
    </r>
    <r>
      <rPr>
        <vertAlign val="superscript"/>
        <sz val="9"/>
        <color rgb="FF000000"/>
        <rFont val="Calibri"/>
        <family val="2"/>
        <scheme val="minor"/>
      </rPr>
      <t xml:space="preserve">2 </t>
    </r>
  </si>
  <si>
    <r>
      <t xml:space="preserve">7640008047 </t>
    </r>
    <r>
      <rPr>
        <vertAlign val="superscript"/>
        <sz val="9"/>
        <color rgb="FF000000"/>
        <rFont val="Calibri"/>
        <family val="2"/>
        <scheme val="minor"/>
      </rPr>
      <t xml:space="preserve">3 </t>
    </r>
  </si>
  <si>
    <r>
      <t xml:space="preserve">RSAQDirect </t>
    </r>
    <r>
      <rPr>
        <vertAlign val="superscript"/>
        <sz val="9"/>
        <color rgb="FF000000"/>
        <rFont val="Calibri"/>
        <family val="2"/>
        <scheme val="minor"/>
      </rPr>
      <t xml:space="preserve">1 </t>
    </r>
  </si>
  <si>
    <r>
      <t xml:space="preserve">7640004734 </t>
    </r>
    <r>
      <rPr>
        <vertAlign val="superscript"/>
        <sz val="9"/>
        <color rgb="FF000000"/>
        <rFont val="Calibri"/>
        <family val="2"/>
        <scheme val="minor"/>
      </rPr>
      <t xml:space="preserve">2 </t>
    </r>
  </si>
  <si>
    <r>
      <t xml:space="preserve">7640004737 </t>
    </r>
    <r>
      <rPr>
        <vertAlign val="superscript"/>
        <sz val="9"/>
        <color rgb="FF000000"/>
        <rFont val="Calibri"/>
        <family val="2"/>
        <scheme val="minor"/>
      </rPr>
      <t xml:space="preserve">3 </t>
    </r>
  </si>
  <si>
    <r>
      <t xml:space="preserve">7640004740 </t>
    </r>
    <r>
      <rPr>
        <vertAlign val="superscript"/>
        <sz val="9"/>
        <color rgb="FF000000"/>
        <rFont val="Calibri"/>
        <family val="2"/>
        <scheme val="minor"/>
      </rPr>
      <t xml:space="preserve">4 </t>
    </r>
  </si>
  <si>
    <r>
      <t xml:space="preserve">7640004743 </t>
    </r>
    <r>
      <rPr>
        <vertAlign val="superscript"/>
        <sz val="9"/>
        <color rgb="FF000000"/>
        <rFont val="Calibri"/>
        <family val="2"/>
        <scheme val="minor"/>
      </rPr>
      <t xml:space="preserve">5 </t>
    </r>
  </si>
  <si>
    <r>
      <t xml:space="preserve">7640005045 </t>
    </r>
    <r>
      <rPr>
        <vertAlign val="superscript"/>
        <sz val="9"/>
        <color rgb="FF000000"/>
        <rFont val="Calibri"/>
        <family val="2"/>
        <scheme val="minor"/>
      </rPr>
      <t xml:space="preserve">6 </t>
    </r>
  </si>
  <si>
    <r>
      <t xml:space="preserve">7640004805 </t>
    </r>
    <r>
      <rPr>
        <vertAlign val="superscript"/>
        <sz val="9"/>
        <color rgb="FF000000"/>
        <rFont val="Calibri"/>
        <family val="2"/>
        <scheme val="minor"/>
      </rPr>
      <t xml:space="preserve">7 </t>
    </r>
  </si>
  <si>
    <r>
      <t xml:space="preserve">7640017640 </t>
    </r>
    <r>
      <rPr>
        <vertAlign val="superscript"/>
        <sz val="9"/>
        <color rgb="FF000000"/>
        <rFont val="Calibri"/>
        <family val="2"/>
        <scheme val="minor"/>
      </rPr>
      <t xml:space="preserve">8 </t>
    </r>
  </si>
  <si>
    <r>
      <t xml:space="preserve">RSA_QDirect_MRS </t>
    </r>
    <r>
      <rPr>
        <vertAlign val="superscript"/>
        <sz val="9"/>
        <color rgb="FF000000"/>
        <rFont val="Calibri"/>
        <family val="2"/>
        <scheme val="minor"/>
      </rPr>
      <t xml:space="preserve">1 </t>
    </r>
  </si>
  <si>
    <r>
      <t xml:space="preserve">7640015082 </t>
    </r>
    <r>
      <rPr>
        <vertAlign val="superscript"/>
        <sz val="9"/>
        <color rgb="FF000000"/>
        <rFont val="Calibri"/>
        <family val="2"/>
        <scheme val="minor"/>
      </rPr>
      <t xml:space="preserve">2 </t>
    </r>
  </si>
  <si>
    <r>
      <t xml:space="preserve">RSA_QDirect </t>
    </r>
    <r>
      <rPr>
        <vertAlign val="superscript"/>
        <sz val="9"/>
        <color rgb="FF000000"/>
        <rFont val="Calibri"/>
        <family val="2"/>
        <scheme val="minor"/>
      </rPr>
      <t xml:space="preserve">1 </t>
    </r>
  </si>
  <si>
    <r>
      <t xml:space="preserve">7640007498 </t>
    </r>
    <r>
      <rPr>
        <vertAlign val="superscript"/>
        <sz val="9"/>
        <color rgb="FF000000"/>
        <rFont val="Calibri"/>
        <family val="2"/>
        <scheme val="minor"/>
      </rPr>
      <t xml:space="preserve">2 </t>
    </r>
  </si>
  <si>
    <r>
      <t xml:space="preserve">RSARDOPrint </t>
    </r>
    <r>
      <rPr>
        <vertAlign val="superscript"/>
        <sz val="9"/>
        <color rgb="FF000000"/>
        <rFont val="Calibri"/>
        <family val="2"/>
        <scheme val="minor"/>
      </rPr>
      <t xml:space="preserve">1 </t>
    </r>
  </si>
  <si>
    <r>
      <t xml:space="preserve">7640007612 </t>
    </r>
    <r>
      <rPr>
        <vertAlign val="superscript"/>
        <sz val="9"/>
        <color rgb="FF000000"/>
        <rFont val="Calibri"/>
        <family val="2"/>
        <scheme val="minor"/>
      </rPr>
      <t xml:space="preserve">2 </t>
    </r>
  </si>
  <si>
    <r>
      <t xml:space="preserve">7640007615 </t>
    </r>
    <r>
      <rPr>
        <vertAlign val="superscript"/>
        <sz val="9"/>
        <color rgb="FF000000"/>
        <rFont val="Calibri"/>
        <family val="2"/>
        <scheme val="minor"/>
      </rPr>
      <t xml:space="preserve">3 </t>
    </r>
  </si>
  <si>
    <r>
      <t xml:space="preserve">7640009480 </t>
    </r>
    <r>
      <rPr>
        <vertAlign val="superscript"/>
        <sz val="9"/>
        <color rgb="FF000000"/>
        <rFont val="Calibri"/>
        <family val="2"/>
        <scheme val="minor"/>
      </rPr>
      <t xml:space="preserve">4 </t>
    </r>
  </si>
  <si>
    <r>
      <t xml:space="preserve">RSA_TicketMe </t>
    </r>
    <r>
      <rPr>
        <vertAlign val="superscript"/>
        <sz val="9"/>
        <color rgb="FF000000"/>
        <rFont val="Calibri"/>
        <family val="2"/>
        <scheme val="minor"/>
      </rPr>
      <t xml:space="preserve">1 </t>
    </r>
  </si>
  <si>
    <r>
      <t xml:space="preserve">7640015093 </t>
    </r>
    <r>
      <rPr>
        <vertAlign val="superscript"/>
        <sz val="9"/>
        <color rgb="FF000000"/>
        <rFont val="Calibri"/>
        <family val="2"/>
        <scheme val="minor"/>
      </rPr>
      <t xml:space="preserve">2 </t>
    </r>
  </si>
  <si>
    <r>
      <t xml:space="preserve">RSATransform </t>
    </r>
    <r>
      <rPr>
        <vertAlign val="superscript"/>
        <sz val="9"/>
        <color rgb="FF000000"/>
        <rFont val="Calibri"/>
        <family val="2"/>
        <scheme val="minor"/>
      </rPr>
      <t xml:space="preserve">1 </t>
    </r>
  </si>
  <si>
    <r>
      <t xml:space="preserve">7640004720 </t>
    </r>
    <r>
      <rPr>
        <vertAlign val="superscript"/>
        <sz val="9"/>
        <color rgb="FF000000"/>
        <rFont val="Calibri"/>
        <family val="2"/>
        <scheme val="minor"/>
      </rPr>
      <t xml:space="preserve">2 </t>
    </r>
  </si>
  <si>
    <r>
      <t xml:space="preserve">7640004734 </t>
    </r>
    <r>
      <rPr>
        <vertAlign val="superscript"/>
        <sz val="9"/>
        <color rgb="FF000000"/>
        <rFont val="Calibri"/>
        <family val="2"/>
        <scheme val="minor"/>
      </rPr>
      <t xml:space="preserve">3 </t>
    </r>
  </si>
  <si>
    <r>
      <t xml:space="preserve">7640004737 </t>
    </r>
    <r>
      <rPr>
        <vertAlign val="superscript"/>
        <sz val="9"/>
        <color rgb="FF000000"/>
        <rFont val="Calibri"/>
        <family val="2"/>
        <scheme val="minor"/>
      </rPr>
      <t xml:space="preserve">4 </t>
    </r>
  </si>
  <si>
    <r>
      <t xml:space="preserve">7640004749 </t>
    </r>
    <r>
      <rPr>
        <vertAlign val="superscript"/>
        <sz val="9"/>
        <color rgb="FF000000"/>
        <rFont val="Calibri"/>
        <family val="2"/>
        <scheme val="minor"/>
      </rPr>
      <t xml:space="preserve">5 </t>
    </r>
  </si>
  <si>
    <r>
      <t xml:space="preserve">7640015069 </t>
    </r>
    <r>
      <rPr>
        <vertAlign val="superscript"/>
        <sz val="9"/>
        <color rgb="FF000000"/>
        <rFont val="Calibri"/>
        <family val="2"/>
        <scheme val="minor"/>
      </rPr>
      <t xml:space="preserve">6 </t>
    </r>
  </si>
  <si>
    <r>
      <t xml:space="preserve">7640015072 </t>
    </r>
    <r>
      <rPr>
        <vertAlign val="superscript"/>
        <sz val="9"/>
        <color rgb="FF000000"/>
        <rFont val="Calibri"/>
        <family val="2"/>
        <scheme val="minor"/>
      </rPr>
      <t xml:space="preserve">7 </t>
    </r>
  </si>
  <si>
    <r>
      <t xml:space="preserve">RSAWebCRD </t>
    </r>
    <r>
      <rPr>
        <vertAlign val="superscript"/>
        <sz val="9"/>
        <color rgb="FF000000"/>
        <rFont val="Calibri"/>
        <family val="2"/>
        <scheme val="minor"/>
      </rPr>
      <t xml:space="preserve">1 </t>
    </r>
  </si>
  <si>
    <r>
      <t xml:space="preserve">7640004740 </t>
    </r>
    <r>
      <rPr>
        <vertAlign val="superscript"/>
        <sz val="9"/>
        <color rgb="FF000000"/>
        <rFont val="Calibri"/>
        <family val="2"/>
        <scheme val="minor"/>
      </rPr>
      <t xml:space="preserve">2 </t>
    </r>
  </si>
  <si>
    <r>
      <t xml:space="preserve">7640004743 </t>
    </r>
    <r>
      <rPr>
        <vertAlign val="superscript"/>
        <sz val="9"/>
        <color rgb="FF000000"/>
        <rFont val="Calibri"/>
        <family val="2"/>
        <scheme val="minor"/>
      </rPr>
      <t xml:space="preserve">3 </t>
    </r>
  </si>
  <si>
    <r>
      <t xml:space="preserve">7640005045 </t>
    </r>
    <r>
      <rPr>
        <vertAlign val="superscript"/>
        <sz val="9"/>
        <color rgb="FF000000"/>
        <rFont val="Calibri"/>
        <family val="2"/>
        <scheme val="minor"/>
      </rPr>
      <t xml:space="preserve">4 </t>
    </r>
  </si>
  <si>
    <r>
      <t xml:space="preserve">7640004890 </t>
    </r>
    <r>
      <rPr>
        <vertAlign val="superscript"/>
        <sz val="9"/>
        <color rgb="FF000000"/>
        <rFont val="Calibri"/>
        <family val="2"/>
        <scheme val="minor"/>
      </rPr>
      <t xml:space="preserve">5 </t>
    </r>
  </si>
  <si>
    <r>
      <t xml:space="preserve">7640004893 </t>
    </r>
    <r>
      <rPr>
        <vertAlign val="superscript"/>
        <sz val="9"/>
        <color rgb="FF000000"/>
        <rFont val="Calibri"/>
        <family val="2"/>
        <scheme val="minor"/>
      </rPr>
      <t xml:space="preserve">6 </t>
    </r>
  </si>
  <si>
    <r>
      <t xml:space="preserve">7640004896 </t>
    </r>
    <r>
      <rPr>
        <vertAlign val="superscript"/>
        <sz val="9"/>
        <color rgb="FF000000"/>
        <rFont val="Calibri"/>
        <family val="2"/>
        <scheme val="minor"/>
      </rPr>
      <t xml:space="preserve">7 </t>
    </r>
  </si>
  <si>
    <r>
      <t xml:space="preserve">7640005204 </t>
    </r>
    <r>
      <rPr>
        <vertAlign val="superscript"/>
        <sz val="9"/>
        <color rgb="FF000000"/>
        <rFont val="Calibri"/>
        <family val="2"/>
        <scheme val="minor"/>
      </rPr>
      <t xml:space="preserve">8 </t>
    </r>
  </si>
  <si>
    <r>
      <t xml:space="preserve">7640017640 </t>
    </r>
    <r>
      <rPr>
        <vertAlign val="superscript"/>
        <sz val="9"/>
        <color rgb="FF000000"/>
        <rFont val="Calibri"/>
        <family val="2"/>
        <scheme val="minor"/>
      </rPr>
      <t xml:space="preserve">9 </t>
    </r>
  </si>
  <si>
    <r>
      <t xml:space="preserve">RSAWebCRD_OnDemand </t>
    </r>
    <r>
      <rPr>
        <vertAlign val="superscript"/>
        <sz val="9"/>
        <color rgb="FF000000"/>
        <rFont val="Calibri"/>
        <family val="2"/>
        <scheme val="minor"/>
      </rPr>
      <t xml:space="preserve">1 </t>
    </r>
  </si>
  <si>
    <r>
      <t xml:space="preserve">7640008132 </t>
    </r>
    <r>
      <rPr>
        <vertAlign val="superscript"/>
        <sz val="9"/>
        <color rgb="FF000000"/>
        <rFont val="Calibri"/>
        <family val="2"/>
        <scheme val="minor"/>
      </rPr>
      <t xml:space="preserve">2 </t>
    </r>
  </si>
  <si>
    <r>
      <t xml:space="preserve">Unity </t>
    </r>
    <r>
      <rPr>
        <vertAlign val="superscript"/>
        <sz val="9"/>
        <color rgb="FF000000"/>
        <rFont val="Calibri"/>
        <family val="2"/>
        <scheme val="minor"/>
      </rPr>
      <t xml:space="preserve">1 </t>
    </r>
  </si>
  <si>
    <r>
      <t xml:space="preserve">A45V0Y1 </t>
    </r>
    <r>
      <rPr>
        <vertAlign val="superscript"/>
        <sz val="9"/>
        <color rgb="FF000000"/>
        <rFont val="Calibri"/>
        <family val="2"/>
        <scheme val="minor"/>
      </rPr>
      <t xml:space="preserve">2 </t>
    </r>
  </si>
  <si>
    <r>
      <t xml:space="preserve">A48Y0Y1 </t>
    </r>
    <r>
      <rPr>
        <vertAlign val="superscript"/>
        <sz val="9"/>
        <color rgb="FF000000"/>
        <rFont val="Calibri"/>
        <family val="2"/>
        <scheme val="minor"/>
      </rPr>
      <t xml:space="preserve">3 </t>
    </r>
  </si>
  <si>
    <r>
      <t xml:space="preserve">A4920Y1 </t>
    </r>
    <r>
      <rPr>
        <vertAlign val="superscript"/>
        <sz val="9"/>
        <color rgb="FF000000"/>
        <rFont val="Calibri"/>
        <family val="2"/>
        <scheme val="minor"/>
      </rPr>
      <t xml:space="preserve">4 </t>
    </r>
  </si>
  <si>
    <r>
      <t xml:space="preserve">A4930Y1 </t>
    </r>
    <r>
      <rPr>
        <vertAlign val="superscript"/>
        <sz val="9"/>
        <color rgb="FF000000"/>
        <rFont val="Calibri"/>
        <family val="2"/>
        <scheme val="minor"/>
      </rPr>
      <t xml:space="preserve">5 </t>
    </r>
  </si>
  <si>
    <r>
      <t xml:space="preserve">A49A0Y1 </t>
    </r>
    <r>
      <rPr>
        <vertAlign val="superscript"/>
        <sz val="9"/>
        <color rgb="FF000000"/>
        <rFont val="Calibri"/>
        <family val="2"/>
        <scheme val="minor"/>
      </rPr>
      <t xml:space="preserve">6 </t>
    </r>
  </si>
  <si>
    <r>
      <t xml:space="preserve">A4P30Y1 </t>
    </r>
    <r>
      <rPr>
        <vertAlign val="superscript"/>
        <sz val="9"/>
        <color rgb="FF000000"/>
        <rFont val="Calibri"/>
        <family val="2"/>
        <scheme val="minor"/>
      </rPr>
      <t xml:space="preserve">7 </t>
    </r>
  </si>
  <si>
    <r>
      <t xml:space="preserve">A4P40Y1 </t>
    </r>
    <r>
      <rPr>
        <vertAlign val="superscript"/>
        <sz val="9"/>
        <color rgb="FF000000"/>
        <rFont val="Calibri"/>
        <family val="2"/>
        <scheme val="minor"/>
      </rPr>
      <t xml:space="preserve">8 </t>
    </r>
  </si>
  <si>
    <r>
      <t xml:space="preserve">A4P50Y1 </t>
    </r>
    <r>
      <rPr>
        <vertAlign val="superscript"/>
        <sz val="9"/>
        <color rgb="FF000000"/>
        <rFont val="Calibri"/>
        <family val="2"/>
        <scheme val="minor"/>
      </rPr>
      <t xml:space="preserve">9 </t>
    </r>
  </si>
  <si>
    <r>
      <t xml:space="preserve">A4P60Y1 </t>
    </r>
    <r>
      <rPr>
        <vertAlign val="superscript"/>
        <sz val="9"/>
        <color rgb="FF000000"/>
        <rFont val="Calibri"/>
        <family val="2"/>
        <scheme val="minor"/>
      </rPr>
      <t xml:space="preserve">10 </t>
    </r>
  </si>
  <si>
    <t>MS Purchase Price</t>
  </si>
  <si>
    <t>State of Mississippi -  Solutions</t>
  </si>
  <si>
    <t>Solutions can be lease, please contact local sales for a quote</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</si>
</sst>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000"/>
    <numFmt numFmtId="167" formatCode="&quot;$&quot;#,##0.00000"/>
    <numFmt numFmtId="168" formatCode="&quot;$&quot;#,##0.0000"/>
    <numFmt numFmtId="169" formatCode="#,##0;\-#,##0;&quot;-&quot;"/>
    <numFmt numFmtId="170" formatCode="_-* #,##0.00_-;\-* #,##0.00_-;_-* &quot;-&quot;??_-;_-@_-"/>
    <numFmt numFmtId="171" formatCode="_-&quot;¥&quot;* #,##0.00_-;\-&quot;¥&quot;* #,##0.00_-;_-&quot;¥&quot;* &quot;-&quot;??_-;_-@_-"/>
    <numFmt numFmtId="172" formatCode="_([$€]* #,##0.00_);_([$€]* \(#,##0.00\);_([$€]* &quot;-&quot;??_);_(@_)"/>
    <numFmt numFmtId="173" formatCode="_-* #,##0\ _P_t_s_-;\-* #,##0\ _P_t_s_-;_-* &quot;-&quot;\ _P_t_s_-;_-@_-"/>
    <numFmt numFmtId="174" formatCode="_-* #,##0.00\ _P_t_s_-;\-* #,##0.00\ _P_t_s_-;_-* &quot;-&quot;??\ _P_t_s_-;_-@_-"/>
    <numFmt numFmtId="175" formatCode="_-* #,##0.00\ &quot;F&quot;_-;\-* #,##0.00\ &quot;F&quot;_-;_-* &quot;-&quot;??\ &quot;F&quot;_-;_-@_-"/>
    <numFmt numFmtId="176" formatCode="_-* #,##0.00\ _P_t_a_-;\-* #,##0.00\ _P_t_a_-;_-* &quot;-&quot;??\ _P_t_a_-;_-@_-"/>
    <numFmt numFmtId="177" formatCode="_-&quot;£&quot;* #,##0_-;\-&quot;£&quot;* #,##0_-;_-&quot;£&quot;* &quot;-&quot;_-;_-@_-"/>
    <numFmt numFmtId="178" formatCode="_-&quot;£&quot;* #,##0.00_-;\-&quot;£&quot;* #,##0.00_-;_-&quot;£&quot;* &quot;-&quot;??_-;_-@_-"/>
    <numFmt numFmtId="179" formatCode="0.00_ "/>
    <numFmt numFmtId="180" formatCode="_(* #,##0.00_);_(* &quot;¥&quot;\(#,##0.00&quot;¥&quot;\);_(* &quot;-&quot;??_);_(@_)"/>
    <numFmt numFmtId="181" formatCode="0.00000"/>
    <numFmt numFmtId="182" formatCode="&quot;¥&quot;#,##0;&quot;¥&quot;\-#,##0"/>
    <numFmt numFmtId="183" formatCode="[$€-2]\ #,##0.00;[$€-2]\ \-#,##0.00"/>
    <numFmt numFmtId="184" formatCode="[$$-409]#,##0.00"/>
    <numFmt numFmtId="185" formatCode="0_);[Red]\(0\)"/>
    <numFmt numFmtId="186" formatCode="_(&quot;$&quot;* #,##0.0000_);_(&quot;$&quot;* \(#,##0.0000\);_(&quot;$&quot;* &quot;-&quot;????_);_(@_)"/>
  </numFmts>
  <fonts count="100">
    <font>
      <sz val="10"/>
      <name val="Arial"/>
    </font>
    <font>
      <sz val="11"/>
      <color theme="1"/>
      <name val="Calibri"/>
      <family val="2"/>
      <scheme val="minor"/>
    </font>
    <font>
      <sz val="10"/>
      <color theme="1"/>
      <name val="Arial"/>
      <family val="2"/>
    </font>
    <font>
      <sz val="10"/>
      <name val="Arial"/>
      <family val="2"/>
    </font>
    <font>
      <sz val="12"/>
      <name val="Times New Roman"/>
      <family val="1"/>
    </font>
    <font>
      <sz val="8"/>
      <name val="Arial"/>
      <family val="2"/>
    </font>
    <font>
      <b/>
      <sz val="12"/>
      <name val="Arial"/>
      <family val="2"/>
    </font>
    <font>
      <sz val="12"/>
      <color indexed="10"/>
      <name val="Times New Roman"/>
      <family val="1"/>
    </font>
    <font>
      <b/>
      <sz val="10"/>
      <name val="Arial"/>
      <family val="2"/>
    </font>
    <font>
      <sz val="10"/>
      <name val="Arial"/>
      <family val="2"/>
    </font>
    <font>
      <sz val="9"/>
      <name val="Arial"/>
      <family val="2"/>
    </font>
    <font>
      <b/>
      <sz val="18"/>
      <name val="Arial"/>
      <family val="2"/>
    </font>
    <font>
      <b/>
      <sz val="12"/>
      <color indexed="12"/>
      <name val="Arial"/>
      <family val="2"/>
    </font>
    <font>
      <b/>
      <i/>
      <sz val="9"/>
      <name val="Arial"/>
      <family val="2"/>
    </font>
    <font>
      <sz val="11"/>
      <name val="ＭＳ Ｐゴシック"/>
      <charset val="128"/>
    </font>
    <font>
      <b/>
      <sz val="9"/>
      <name val="Arial"/>
      <family val="2"/>
    </font>
    <font>
      <sz val="9"/>
      <color indexed="12"/>
      <name val="Arial"/>
      <family val="2"/>
    </font>
    <font>
      <b/>
      <sz val="11"/>
      <name val="Arial"/>
      <family val="2"/>
    </font>
    <font>
      <b/>
      <sz val="11"/>
      <color indexed="12"/>
      <name val="Arial"/>
      <family val="2"/>
    </font>
    <font>
      <sz val="9"/>
      <color indexed="10"/>
      <name val="Arial"/>
      <family val="2"/>
    </font>
    <font>
      <b/>
      <sz val="14"/>
      <name val="Arial"/>
      <family val="2"/>
    </font>
    <font>
      <sz val="11"/>
      <color indexed="8"/>
      <name val="Calibri"/>
      <family val="2"/>
    </font>
    <font>
      <sz val="11"/>
      <color indexed="9"/>
      <name val="Calibri"/>
      <family val="2"/>
    </font>
    <font>
      <sz val="11"/>
      <color indexed="20"/>
      <name val="Calibri"/>
      <family val="2"/>
    </font>
    <font>
      <sz val="10"/>
      <color indexed="8"/>
      <name val="Arial"/>
      <family val="2"/>
    </font>
    <font>
      <b/>
      <sz val="11"/>
      <color indexed="52"/>
      <name val="Calibri"/>
      <family val="2"/>
    </font>
    <font>
      <b/>
      <sz val="11"/>
      <color indexed="9"/>
      <name val="Calibri"/>
      <family val="2"/>
    </font>
    <font>
      <sz val="11"/>
      <color theme="1"/>
      <name val="Calibri"/>
      <family val="2"/>
      <scheme val="minor"/>
    </font>
    <font>
      <sz val="11"/>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rgb="FF0000FF"/>
      <name val="Arial"/>
      <family val="2"/>
    </font>
    <font>
      <sz val="11"/>
      <color indexed="62"/>
      <name val="Calibri"/>
      <family val="2"/>
    </font>
    <font>
      <sz val="11"/>
      <color indexed="52"/>
      <name val="Calibri"/>
      <family val="2"/>
    </font>
    <font>
      <sz val="11"/>
      <color indexed="60"/>
      <name val="Calibri"/>
      <family val="2"/>
    </font>
    <font>
      <sz val="10"/>
      <name val="Century Gothic"/>
      <family val="2"/>
    </font>
    <font>
      <b/>
      <sz val="11"/>
      <color indexed="63"/>
      <name val="Calibri"/>
      <family val="2"/>
    </font>
    <font>
      <b/>
      <sz val="12"/>
      <color indexed="8"/>
      <name val="Arial"/>
      <family val="2"/>
    </font>
    <font>
      <b/>
      <i/>
      <sz val="12"/>
      <color indexed="8"/>
      <name val="Arial"/>
      <family val="2"/>
    </font>
    <font>
      <sz val="12"/>
      <color indexed="8"/>
      <name val="Arial"/>
      <family val="2"/>
    </font>
    <font>
      <i/>
      <sz val="12"/>
      <color indexed="8"/>
      <name val="Arial"/>
      <family val="2"/>
    </font>
    <font>
      <b/>
      <sz val="16"/>
      <color indexed="8"/>
      <name val="Arial"/>
      <family val="2"/>
    </font>
    <font>
      <sz val="12"/>
      <color indexed="14"/>
      <name val="Arial"/>
      <family val="2"/>
    </font>
    <font>
      <b/>
      <sz val="18"/>
      <color indexed="56"/>
      <name val="Cambria"/>
      <family val="2"/>
    </font>
    <font>
      <b/>
      <sz val="11"/>
      <color indexed="8"/>
      <name val="Calibri"/>
      <family val="2"/>
    </font>
    <font>
      <sz val="11"/>
      <color indexed="10"/>
      <name val="Calibri"/>
      <family val="2"/>
    </font>
    <font>
      <sz val="10"/>
      <name val="丸ｺﾞｼｯｸ"/>
      <family val="3"/>
      <charset val="128"/>
    </font>
    <font>
      <sz val="10"/>
      <name val="ＭＳ Ｐゴシック"/>
      <family val="3"/>
      <charset val="128"/>
    </font>
    <font>
      <sz val="12"/>
      <name val="Osaka"/>
      <family val="3"/>
      <charset val="128"/>
    </font>
    <font>
      <sz val="10"/>
      <name val="Century"/>
      <family val="1"/>
    </font>
    <font>
      <b/>
      <sz val="12"/>
      <color theme="0"/>
      <name val="Calibri"/>
      <family val="2"/>
    </font>
    <font>
      <sz val="11"/>
      <name val="Calibri"/>
      <family val="2"/>
      <scheme val="minor"/>
    </font>
    <font>
      <b/>
      <sz val="14"/>
      <name val="Calibri"/>
      <family val="2"/>
      <scheme val="minor"/>
    </font>
    <font>
      <b/>
      <sz val="11"/>
      <color rgb="FFFF0000"/>
      <name val="Calibri"/>
      <family val="2"/>
      <scheme val="minor"/>
    </font>
    <font>
      <b/>
      <sz val="11"/>
      <color theme="0"/>
      <name val="Calibri"/>
      <family val="2"/>
      <scheme val="minor"/>
    </font>
    <font>
      <b/>
      <sz val="9"/>
      <name val="Calibri"/>
      <family val="2"/>
    </font>
    <font>
      <b/>
      <sz val="11"/>
      <name val="Calibri"/>
      <family val="2"/>
      <scheme val="minor"/>
    </font>
    <font>
      <i/>
      <sz val="11"/>
      <name val="Calibri"/>
      <family val="2"/>
      <scheme val="minor"/>
    </font>
    <font>
      <b/>
      <i/>
      <sz val="11"/>
      <name val="Calibri"/>
      <family val="2"/>
      <scheme val="minor"/>
    </font>
    <font>
      <b/>
      <i/>
      <sz val="11"/>
      <color indexed="30"/>
      <name val="Calibri"/>
      <family val="2"/>
      <scheme val="minor"/>
    </font>
    <font>
      <sz val="11"/>
      <name val="Calibri"/>
      <family val="2"/>
    </font>
    <font>
      <i/>
      <sz val="9"/>
      <name val="Arial"/>
      <family val="2"/>
    </font>
    <font>
      <b/>
      <sz val="11"/>
      <color indexed="30"/>
      <name val="Calibri"/>
      <family val="2"/>
      <scheme val="minor"/>
    </font>
    <font>
      <sz val="10"/>
      <name val="Arial"/>
      <family val="2"/>
    </font>
    <font>
      <sz val="11"/>
      <color indexed="8"/>
      <name val="Calibri"/>
      <family val="2"/>
      <scheme val="minor"/>
    </font>
    <font>
      <sz val="11"/>
      <color theme="0"/>
      <name val="Calibri"/>
      <family val="2"/>
    </font>
    <font>
      <b/>
      <sz val="12"/>
      <color theme="1"/>
      <name val="Calibri"/>
      <family val="2"/>
      <scheme val="minor"/>
    </font>
    <font>
      <b/>
      <sz val="12"/>
      <name val="Calibri"/>
      <family val="2"/>
    </font>
    <font>
      <b/>
      <sz val="12"/>
      <color indexed="12"/>
      <name val="Calibri"/>
      <family val="2"/>
    </font>
    <font>
      <sz val="10"/>
      <name val="Calibri"/>
      <family val="2"/>
    </font>
    <font>
      <b/>
      <sz val="10"/>
      <color indexed="10"/>
      <name val="Calibri"/>
      <family val="2"/>
    </font>
    <font>
      <b/>
      <sz val="9"/>
      <color indexed="10"/>
      <name val="Calibri"/>
      <family val="2"/>
    </font>
    <font>
      <b/>
      <sz val="10"/>
      <color indexed="9"/>
      <name val="Calibri"/>
      <family val="2"/>
    </font>
    <font>
      <b/>
      <sz val="14"/>
      <color indexed="9"/>
      <name val="Calibri"/>
      <family val="2"/>
    </font>
    <font>
      <b/>
      <sz val="9"/>
      <color indexed="9"/>
      <name val="Calibri"/>
      <family val="2"/>
    </font>
    <font>
      <sz val="11"/>
      <name val="Cambria"/>
      <family val="1"/>
    </font>
    <font>
      <i/>
      <sz val="11"/>
      <name val="Calibri"/>
      <family val="2"/>
    </font>
    <font>
      <sz val="10"/>
      <color indexed="10"/>
      <name val="Calibri"/>
      <family val="2"/>
    </font>
    <font>
      <b/>
      <sz val="11"/>
      <name val="Calibri"/>
      <family val="2"/>
    </font>
    <font>
      <sz val="12"/>
      <name val="Calibri"/>
      <family val="2"/>
      <scheme val="minor"/>
    </font>
    <font>
      <b/>
      <sz val="12"/>
      <name val="Calibri"/>
      <family val="2"/>
      <scheme val="minor"/>
    </font>
    <font>
      <sz val="12"/>
      <name val="Calibri"/>
      <family val="2"/>
    </font>
    <font>
      <b/>
      <sz val="14"/>
      <color theme="0"/>
      <name val="Calibri"/>
      <family val="2"/>
    </font>
    <font>
      <b/>
      <sz val="12"/>
      <color rgb="FF0000FF"/>
      <name val="Calibri"/>
      <family val="2"/>
      <scheme val="minor"/>
    </font>
    <font>
      <b/>
      <sz val="10"/>
      <name val="Calibri"/>
      <family val="2"/>
    </font>
    <font>
      <sz val="11"/>
      <color rgb="FFFF0000"/>
      <name val="Calibri"/>
      <family val="2"/>
      <scheme val="minor"/>
    </font>
    <font>
      <sz val="14"/>
      <name val="Calibri"/>
      <family val="2"/>
      <scheme val="minor"/>
    </font>
    <font>
      <b/>
      <sz val="11"/>
      <color rgb="FF0000FF"/>
      <name val="Calibri"/>
      <family val="2"/>
      <scheme val="minor"/>
    </font>
    <font>
      <b/>
      <sz val="11"/>
      <color rgb="FF0000FF"/>
      <name val="Calibri"/>
      <family val="2"/>
    </font>
    <font>
      <b/>
      <sz val="11"/>
      <color theme="1"/>
      <name val="Calibri"/>
      <family val="2"/>
      <scheme val="minor"/>
    </font>
    <font>
      <sz val="1"/>
      <color rgb="FF000000"/>
      <name val="Arial"/>
      <family val="2"/>
    </font>
    <font>
      <sz val="10"/>
      <name val="Calibri"/>
      <family val="2"/>
      <scheme val="minor"/>
    </font>
    <font>
      <b/>
      <sz val="10"/>
      <color rgb="FFFFFFFF"/>
      <name val="Calibri"/>
      <family val="2"/>
      <scheme val="minor"/>
    </font>
    <font>
      <sz val="9"/>
      <color rgb="FF000000"/>
      <name val="Calibri"/>
      <family val="2"/>
      <scheme val="minor"/>
    </font>
    <font>
      <vertAlign val="superscript"/>
      <sz val="9"/>
      <color rgb="FF000000"/>
      <name val="Calibri"/>
      <family val="2"/>
      <scheme val="minor"/>
    </font>
    <font>
      <sz val="1"/>
      <color rgb="FF000000"/>
      <name val="Calibri"/>
      <family val="2"/>
      <scheme val="minor"/>
    </font>
    <font>
      <b/>
      <sz val="10"/>
      <name val="Calibri"/>
      <family val="2"/>
      <scheme val="minor"/>
    </font>
  </fonts>
  <fills count="44">
    <fill>
      <patternFill patternType="none"/>
    </fill>
    <fill>
      <patternFill patternType="gray125"/>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solid">
        <fgColor indexed="54"/>
        <bgColor indexed="64"/>
      </patternFill>
    </fill>
    <fill>
      <patternFill patternType="solid">
        <fgColor indexed="26"/>
        <bgColor indexed="64"/>
      </patternFill>
    </fill>
    <fill>
      <patternFill patternType="solid">
        <fgColor theme="0"/>
        <bgColor indexed="64"/>
      </patternFill>
    </fill>
    <fill>
      <patternFill patternType="solid">
        <fgColor rgb="FF0070C0"/>
        <bgColor indexed="64"/>
      </patternFill>
    </fill>
    <fill>
      <patternFill patternType="solid">
        <fgColor theme="1"/>
        <bgColor indexed="64"/>
      </patternFill>
    </fill>
    <fill>
      <patternFill patternType="solid">
        <fgColor theme="8" tint="0.39997558519241921"/>
        <bgColor indexed="64"/>
      </patternFill>
    </fill>
    <fill>
      <patternFill patternType="solid">
        <fgColor indexed="8"/>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rgb="FF92CDDC"/>
        <bgColor indexed="64"/>
      </patternFill>
    </fill>
    <fill>
      <patternFill patternType="solid">
        <fgColor rgb="FF00000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s>
  <cellStyleXfs count="257">
    <xf numFmtId="0" fontId="0" fillId="0" borderId="0"/>
    <xf numFmtId="0" fontId="14" fillId="0" borderId="0"/>
    <xf numFmtId="0" fontId="3" fillId="0" borderId="0"/>
    <xf numFmtId="0" fontId="3" fillId="0" borderId="0" applyNumberFormat="0" applyFill="0" applyBorder="0" applyAlignment="0" applyProtection="0"/>
    <xf numFmtId="0" fontId="3" fillId="0" borderId="0"/>
    <xf numFmtId="0"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69" fontId="24" fillId="0" borderId="0" applyFill="0" applyBorder="0" applyAlignment="0"/>
    <xf numFmtId="0" fontId="25" fillId="23" borderId="9" applyNumberFormat="0" applyAlignment="0" applyProtection="0"/>
    <xf numFmtId="0" fontId="25" fillId="23" borderId="9" applyNumberFormat="0" applyAlignment="0" applyProtection="0"/>
    <xf numFmtId="0" fontId="26" fillId="24" borderId="10" applyNumberFormat="0" applyAlignment="0" applyProtection="0"/>
    <xf numFmtId="0" fontId="26" fillId="24" borderId="10" applyNumberFormat="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1" fontId="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1" fontId="3" fillId="0" borderId="0" applyFont="0" applyFill="0" applyBorder="0" applyAlignment="0" applyProtection="0"/>
    <xf numFmtId="172" fontId="28" fillId="0" borderId="0" applyFont="0" applyFill="0" applyBorder="0" applyAlignment="0" applyProtection="0">
      <alignment vertical="center"/>
    </xf>
    <xf numFmtId="0" fontId="29" fillId="0" borderId="0" applyNumberFormat="0" applyFill="0" applyBorder="0" applyAlignment="0" applyProtection="0"/>
    <xf numFmtId="0" fontId="29" fillId="0" borderId="0" applyNumberFormat="0" applyFill="0" applyBorder="0" applyAlignment="0" applyProtection="0"/>
    <xf numFmtId="0" fontId="30" fillId="7" borderId="0" applyNumberFormat="0" applyBorder="0" applyAlignment="0" applyProtection="0"/>
    <xf numFmtId="0" fontId="30" fillId="7" borderId="0" applyNumberFormat="0" applyBorder="0" applyAlignment="0" applyProtection="0"/>
    <xf numFmtId="0" fontId="6" fillId="0" borderId="11" applyNumberFormat="0" applyAlignment="0" applyProtection="0">
      <alignment horizontal="left" vertical="center"/>
    </xf>
    <xf numFmtId="0" fontId="6" fillId="0" borderId="2">
      <alignment horizontal="left" vertical="center"/>
    </xf>
    <xf numFmtId="0" fontId="31" fillId="0" borderId="12" applyNumberFormat="0" applyFill="0" applyAlignment="0" applyProtection="0"/>
    <xf numFmtId="0" fontId="31" fillId="0" borderId="12"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10" borderId="9" applyNumberFormat="0" applyAlignment="0" applyProtection="0"/>
    <xf numFmtId="0" fontId="35" fillId="10" borderId="9" applyNumberFormat="0" applyAlignment="0" applyProtection="0"/>
    <xf numFmtId="0" fontId="36" fillId="0" borderId="15" applyNumberFormat="0" applyFill="0" applyAlignment="0" applyProtection="0"/>
    <xf numFmtId="0" fontId="36" fillId="0" borderId="15" applyNumberFormat="0" applyFill="0" applyAlignment="0" applyProtection="0"/>
    <xf numFmtId="173" fontId="3" fillId="0" borderId="0" applyFont="0" applyFill="0" applyBorder="0" applyAlignment="0" applyProtection="0"/>
    <xf numFmtId="17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37" fillId="25" borderId="0" applyNumberFormat="0" applyBorder="0" applyAlignment="0" applyProtection="0"/>
    <xf numFmtId="0" fontId="37" fillId="25"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27" fillId="0" borderId="0"/>
    <xf numFmtId="0" fontId="27" fillId="0" borderId="0"/>
    <xf numFmtId="0" fontId="3" fillId="0" borderId="0"/>
    <xf numFmtId="0" fontId="27" fillId="0" borderId="0"/>
    <xf numFmtId="0" fontId="27" fillId="0" borderId="0"/>
    <xf numFmtId="0" fontId="3" fillId="0" borderId="0"/>
    <xf numFmtId="0" fontId="2" fillId="0" borderId="0"/>
    <xf numFmtId="0" fontId="38" fillId="0" borderId="0">
      <alignment horizontal="center" vertical="center" wrapText="1"/>
    </xf>
    <xf numFmtId="0" fontId="3" fillId="26" borderId="16" applyNumberFormat="0" applyFont="0" applyAlignment="0" applyProtection="0"/>
    <xf numFmtId="0" fontId="21" fillId="26" borderId="16" applyNumberFormat="0" applyFont="0" applyAlignment="0" applyProtection="0"/>
    <xf numFmtId="0" fontId="39" fillId="23" borderId="17" applyNumberFormat="0" applyAlignment="0" applyProtection="0"/>
    <xf numFmtId="0" fontId="39" fillId="23" borderId="17"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40" fillId="27" borderId="18">
      <alignment vertical="center"/>
    </xf>
    <xf numFmtId="4" fontId="41" fillId="27" borderId="18">
      <alignment vertical="center"/>
    </xf>
    <xf numFmtId="4" fontId="42" fillId="27" borderId="18">
      <alignment horizontal="left" vertical="center" indent="1"/>
    </xf>
    <xf numFmtId="4" fontId="42" fillId="28" borderId="0">
      <alignment horizontal="left" vertical="center" indent="1"/>
    </xf>
    <xf numFmtId="4" fontId="42" fillId="28" borderId="0">
      <alignment horizontal="left" vertical="center" indent="1"/>
    </xf>
    <xf numFmtId="4" fontId="42" fillId="29" borderId="18">
      <alignment horizontal="right" vertical="center"/>
    </xf>
    <xf numFmtId="4" fontId="42" fillId="29" borderId="18" applyNumberFormat="0" applyProtection="0">
      <alignment horizontal="right" vertical="center"/>
    </xf>
    <xf numFmtId="4" fontId="42" fillId="29" borderId="18">
      <alignment horizontal="right" vertical="center"/>
    </xf>
    <xf numFmtId="4" fontId="42" fillId="30" borderId="18">
      <alignment horizontal="right" vertical="center"/>
    </xf>
    <xf numFmtId="4" fontId="42" fillId="30" borderId="18" applyNumberFormat="0" applyProtection="0">
      <alignment horizontal="right" vertical="center"/>
    </xf>
    <xf numFmtId="4" fontId="42" fillId="30" borderId="18">
      <alignment horizontal="right" vertical="center"/>
    </xf>
    <xf numFmtId="4" fontId="42" fillId="31" borderId="18">
      <alignment horizontal="right" vertical="center"/>
    </xf>
    <xf numFmtId="4" fontId="42" fillId="31" borderId="18">
      <alignment horizontal="right" vertical="center"/>
    </xf>
    <xf numFmtId="4" fontId="42" fillId="31" borderId="18" applyNumberFormat="0" applyProtection="0">
      <alignment horizontal="right" vertical="center"/>
    </xf>
    <xf numFmtId="4" fontId="40" fillId="32" borderId="19">
      <alignment horizontal="left" vertical="center" indent="1"/>
    </xf>
    <xf numFmtId="4" fontId="40" fillId="2" borderId="0">
      <alignment horizontal="left" vertical="center" indent="1"/>
    </xf>
    <xf numFmtId="4" fontId="40" fillId="33" borderId="0">
      <alignment horizontal="left" vertical="center" indent="1"/>
    </xf>
    <xf numFmtId="4" fontId="42" fillId="2" borderId="18">
      <alignment horizontal="right" vertical="center"/>
    </xf>
    <xf numFmtId="4" fontId="24" fillId="2" borderId="0">
      <alignment horizontal="left" vertical="center" indent="1"/>
    </xf>
    <xf numFmtId="4" fontId="24" fillId="33" borderId="0">
      <alignment horizontal="left" vertical="center" indent="1"/>
    </xf>
    <xf numFmtId="4" fontId="24" fillId="33" borderId="0">
      <alignment horizontal="left" vertical="center" indent="1"/>
    </xf>
    <xf numFmtId="4" fontId="42" fillId="34" borderId="18" applyNumberFormat="0" applyProtection="0">
      <alignment vertical="center"/>
    </xf>
    <xf numFmtId="4" fontId="43" fillId="34" borderId="18" applyNumberFormat="0" applyProtection="0">
      <alignment vertical="center"/>
    </xf>
    <xf numFmtId="4" fontId="40" fillId="34" borderId="18">
      <alignment horizontal="left" vertical="center" indent="1"/>
    </xf>
    <xf numFmtId="4" fontId="42" fillId="4" borderId="18">
      <alignment horizontal="right" vertical="center"/>
    </xf>
    <xf numFmtId="4" fontId="42" fillId="4" borderId="18">
      <alignment horizontal="right" vertical="center"/>
    </xf>
    <xf numFmtId="4" fontId="43" fillId="4" borderId="18">
      <alignment horizontal="right" vertical="center"/>
    </xf>
    <xf numFmtId="4" fontId="40" fillId="2" borderId="18">
      <alignment horizontal="left" vertical="center" indent="1"/>
    </xf>
    <xf numFmtId="4" fontId="40" fillId="2" borderId="18">
      <alignment horizontal="left" vertical="center" indent="1"/>
    </xf>
    <xf numFmtId="4" fontId="44" fillId="3" borderId="20" applyNumberFormat="0" applyFill="0" applyBorder="0" applyProtection="0">
      <alignment horizontal="left" vertical="center" indent="1"/>
    </xf>
    <xf numFmtId="4" fontId="45" fillId="4" borderId="18">
      <alignment horizontal="right" vertical="center"/>
    </xf>
    <xf numFmtId="0" fontId="3" fillId="0" borderId="0" applyNumberFormat="0" applyFill="0" applyBorder="0" applyAlignment="0" applyProtection="0"/>
    <xf numFmtId="0" fontId="3"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21" applyNumberFormat="0" applyFill="0" applyAlignment="0" applyProtection="0"/>
    <xf numFmtId="0" fontId="47" fillId="0" borderId="21" applyNumberFormat="0" applyFill="0" applyAlignment="0" applyProtection="0"/>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8" fontId="3"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lignment vertical="center"/>
    </xf>
    <xf numFmtId="179" fontId="50" fillId="0" borderId="0"/>
    <xf numFmtId="180" fontId="3" fillId="0" borderId="0" applyFont="0" applyFill="0" applyBorder="0" applyAlignment="0" applyProtection="0"/>
    <xf numFmtId="38" fontId="14" fillId="0" borderId="0" applyFont="0" applyFill="0" applyBorder="0" applyAlignment="0" applyProtection="0">
      <alignment vertical="center"/>
    </xf>
    <xf numFmtId="0" fontId="51" fillId="0" borderId="0"/>
    <xf numFmtId="181" fontId="50" fillId="0" borderId="6"/>
    <xf numFmtId="0" fontId="52" fillId="0" borderId="0">
      <alignment vertical="center"/>
    </xf>
    <xf numFmtId="44" fontId="3" fillId="0" borderId="0" applyFont="0" applyFill="0" applyBorder="0" applyAlignment="0" applyProtection="0"/>
    <xf numFmtId="0" fontId="50" fillId="0" borderId="0"/>
    <xf numFmtId="182" fontId="50" fillId="0" borderId="0" applyFill="0" applyBorder="0" applyAlignment="0" applyProtection="0"/>
    <xf numFmtId="183" fontId="50" fillId="0" borderId="22" applyFill="0" applyBorder="0" applyAlignment="0" applyProtection="0">
      <alignment horizontal="right"/>
    </xf>
    <xf numFmtId="0" fontId="3" fillId="0" borderId="0"/>
    <xf numFmtId="9" fontId="66" fillId="0" borderId="0" applyFont="0" applyFill="0" applyBorder="0" applyAlignment="0" applyProtection="0"/>
    <xf numFmtId="0" fontId="3" fillId="0" borderId="0"/>
    <xf numFmtId="0" fontId="3" fillId="0" borderId="0"/>
    <xf numFmtId="41" fontId="3" fillId="0" borderId="0" applyFont="0" applyFill="0" applyBorder="0" applyAlignment="0" applyProtection="0"/>
  </cellStyleXfs>
  <cellXfs count="431">
    <xf numFmtId="0" fontId="0" fillId="0" borderId="0" xfId="0"/>
    <xf numFmtId="0" fontId="10" fillId="0" borderId="0" xfId="2" applyFont="1" applyFill="1" applyBorder="1" applyAlignment="1">
      <alignment wrapText="1"/>
    </xf>
    <xf numFmtId="1" fontId="10" fillId="0" borderId="0" xfId="2" applyNumberFormat="1" applyFont="1" applyFill="1" applyBorder="1" applyAlignment="1">
      <alignment horizontal="center" wrapText="1"/>
    </xf>
    <xf numFmtId="0" fontId="16" fillId="0" borderId="0" xfId="2" applyFont="1" applyFill="1" applyBorder="1" applyAlignment="1">
      <alignment wrapText="1"/>
    </xf>
    <xf numFmtId="0" fontId="18" fillId="0" borderId="0" xfId="2" applyFont="1" applyFill="1" applyBorder="1" applyAlignment="1">
      <alignment wrapText="1"/>
    </xf>
    <xf numFmtId="3" fontId="10" fillId="0" borderId="0" xfId="2" applyNumberFormat="1" applyFont="1" applyFill="1" applyBorder="1" applyAlignment="1">
      <alignment horizontal="center" wrapText="1"/>
    </xf>
    <xf numFmtId="1" fontId="8" fillId="0" borderId="0" xfId="2" applyNumberFormat="1" applyFont="1" applyFill="1" applyBorder="1" applyAlignment="1">
      <alignment horizontal="left"/>
    </xf>
    <xf numFmtId="165" fontId="8" fillId="0" borderId="0" xfId="2" applyNumberFormat="1" applyFont="1" applyFill="1" applyBorder="1" applyAlignment="1">
      <alignment wrapText="1"/>
    </xf>
    <xf numFmtId="168" fontId="8" fillId="0" borderId="0" xfId="2" applyNumberFormat="1" applyFont="1" applyFill="1" applyBorder="1" applyAlignment="1">
      <alignment wrapText="1"/>
    </xf>
    <xf numFmtId="1" fontId="13" fillId="0" borderId="0" xfId="1" applyNumberFormat="1" applyFont="1" applyFill="1" applyBorder="1" applyAlignment="1">
      <alignment horizontal="left"/>
    </xf>
    <xf numFmtId="1" fontId="10" fillId="0" borderId="0" xfId="1" applyNumberFormat="1" applyFont="1" applyFill="1" applyBorder="1" applyAlignment="1">
      <alignment horizontal="left"/>
    </xf>
    <xf numFmtId="3" fontId="10" fillId="0" borderId="0" xfId="2" applyNumberFormat="1" applyFont="1" applyFill="1" applyBorder="1" applyAlignment="1">
      <alignment wrapText="1"/>
    </xf>
    <xf numFmtId="168" fontId="10" fillId="0" borderId="0" xfId="2" applyNumberFormat="1" applyFont="1" applyFill="1" applyBorder="1" applyAlignment="1">
      <alignment wrapText="1"/>
    </xf>
    <xf numFmtId="49" fontId="10" fillId="0" borderId="0" xfId="1" applyNumberFormat="1" applyFont="1" applyFill="1" applyBorder="1" applyAlignment="1">
      <alignment horizontal="left"/>
    </xf>
    <xf numFmtId="0" fontId="15" fillId="0" borderId="0" xfId="2" applyFont="1" applyFill="1" applyBorder="1" applyAlignment="1">
      <alignment wrapText="1"/>
    </xf>
    <xf numFmtId="165" fontId="15" fillId="0" borderId="0" xfId="2" applyNumberFormat="1" applyFont="1" applyFill="1" applyBorder="1" applyAlignment="1">
      <alignment wrapText="1"/>
    </xf>
    <xf numFmtId="168" fontId="15" fillId="0" borderId="0" xfId="2" applyNumberFormat="1" applyFont="1" applyFill="1" applyBorder="1" applyAlignment="1">
      <alignment wrapText="1"/>
    </xf>
    <xf numFmtId="1" fontId="10" fillId="0" borderId="0" xfId="0" applyNumberFormat="1" applyFont="1" applyFill="1" applyBorder="1" applyAlignment="1">
      <alignment horizontal="center"/>
    </xf>
    <xf numFmtId="3" fontId="9" fillId="0" borderId="0" xfId="0" applyNumberFormat="1" applyFont="1" applyFill="1" applyBorder="1" applyAlignment="1">
      <alignment horizontal="center"/>
    </xf>
    <xf numFmtId="1" fontId="9" fillId="0" borderId="0" xfId="0" applyNumberFormat="1" applyFont="1" applyFill="1" applyBorder="1" applyAlignment="1">
      <alignment horizontal="left"/>
    </xf>
    <xf numFmtId="0" fontId="9" fillId="0" borderId="0" xfId="0" applyFont="1" applyFill="1" applyBorder="1"/>
    <xf numFmtId="3" fontId="9" fillId="0" borderId="0" xfId="0" applyNumberFormat="1" applyFont="1" applyFill="1" applyBorder="1"/>
    <xf numFmtId="3" fontId="8" fillId="0" borderId="0" xfId="0" applyNumberFormat="1" applyFont="1" applyFill="1" applyBorder="1" applyAlignment="1">
      <alignment horizontal="right"/>
    </xf>
    <xf numFmtId="166" fontId="9" fillId="0" borderId="0" xfId="0" applyNumberFormat="1" applyFont="1" applyFill="1" applyBorder="1"/>
    <xf numFmtId="1" fontId="11" fillId="0" borderId="0" xfId="0" applyNumberFormat="1" applyFont="1" applyFill="1" applyBorder="1" applyAlignment="1">
      <alignment horizontal="left"/>
    </xf>
    <xf numFmtId="1" fontId="12" fillId="0" borderId="0" xfId="0" applyNumberFormat="1" applyFont="1" applyFill="1" applyBorder="1" applyAlignment="1">
      <alignment horizontal="left"/>
    </xf>
    <xf numFmtId="3" fontId="8" fillId="0" borderId="0" xfId="2" applyNumberFormat="1" applyFont="1" applyFill="1" applyBorder="1" applyAlignment="1">
      <alignment horizontal="center" wrapText="1"/>
    </xf>
    <xf numFmtId="1" fontId="8" fillId="0" borderId="0" xfId="2" applyNumberFormat="1" applyFont="1" applyFill="1" applyBorder="1" applyAlignment="1">
      <alignment horizontal="left" wrapText="1"/>
    </xf>
    <xf numFmtId="0" fontId="8" fillId="0" borderId="0" xfId="2" applyFont="1" applyFill="1" applyBorder="1" applyAlignment="1">
      <alignment wrapText="1"/>
    </xf>
    <xf numFmtId="166" fontId="8" fillId="0" borderId="0" xfId="2" applyNumberFormat="1" applyFont="1" applyFill="1" applyBorder="1" applyAlignment="1">
      <alignment horizontal="center" wrapText="1"/>
    </xf>
    <xf numFmtId="0" fontId="9" fillId="0" borderId="0" xfId="2" applyFont="1" applyFill="1" applyBorder="1" applyAlignment="1">
      <alignment wrapText="1"/>
    </xf>
    <xf numFmtId="1" fontId="8" fillId="0" borderId="0" xfId="2" applyNumberFormat="1" applyFont="1" applyFill="1" applyBorder="1" applyAlignment="1">
      <alignment horizontal="center" wrapText="1"/>
    </xf>
    <xf numFmtId="0" fontId="8" fillId="0" borderId="0" xfId="2" applyFont="1" applyFill="1" applyBorder="1" applyAlignment="1">
      <alignment horizontal="center" wrapText="1"/>
    </xf>
    <xf numFmtId="0" fontId="9" fillId="0" borderId="0" xfId="2" applyFont="1" applyFill="1" applyBorder="1" applyAlignment="1">
      <alignment horizontal="center" wrapText="1"/>
    </xf>
    <xf numFmtId="167" fontId="8" fillId="0" borderId="0" xfId="2" applyNumberFormat="1" applyFont="1" applyFill="1" applyBorder="1" applyAlignment="1">
      <alignment wrapText="1"/>
    </xf>
    <xf numFmtId="165" fontId="10" fillId="0" borderId="0" xfId="2" applyNumberFormat="1" applyFont="1" applyFill="1" applyBorder="1" applyAlignment="1">
      <alignment wrapText="1"/>
    </xf>
    <xf numFmtId="165" fontId="10" fillId="0" borderId="0" xfId="2" applyNumberFormat="1" applyFont="1" applyFill="1" applyBorder="1" applyAlignment="1">
      <alignment vertical="top" wrapText="1"/>
    </xf>
    <xf numFmtId="0" fontId="10" fillId="0" borderId="0" xfId="2" applyFont="1" applyFill="1" applyBorder="1" applyAlignment="1">
      <alignment horizontal="left" wrapText="1"/>
    </xf>
    <xf numFmtId="1" fontId="17" fillId="0" borderId="0" xfId="2" applyNumberFormat="1" applyFont="1" applyFill="1" applyBorder="1" applyAlignment="1">
      <alignment horizontal="center" wrapText="1"/>
    </xf>
    <xf numFmtId="3" fontId="17" fillId="0" borderId="0" xfId="2" applyNumberFormat="1" applyFont="1" applyFill="1" applyBorder="1" applyAlignment="1">
      <alignment horizontal="center" wrapText="1"/>
    </xf>
    <xf numFmtId="1" fontId="17" fillId="0" borderId="0" xfId="1" applyNumberFormat="1" applyFont="1" applyFill="1" applyBorder="1" applyAlignment="1">
      <alignment horizontal="left"/>
    </xf>
    <xf numFmtId="0" fontId="17" fillId="0" borderId="0" xfId="2" applyFont="1" applyFill="1" applyBorder="1" applyAlignment="1">
      <alignment wrapText="1"/>
    </xf>
    <xf numFmtId="3" fontId="17" fillId="0" borderId="0" xfId="2" applyNumberFormat="1" applyFont="1" applyFill="1" applyBorder="1" applyAlignment="1">
      <alignment wrapText="1"/>
    </xf>
    <xf numFmtId="168" fontId="17" fillId="0" borderId="0" xfId="2" applyNumberFormat="1" applyFont="1" applyFill="1" applyBorder="1" applyAlignment="1">
      <alignment wrapText="1"/>
    </xf>
    <xf numFmtId="165" fontId="17" fillId="0" borderId="0" xfId="2" applyNumberFormat="1" applyFont="1" applyFill="1" applyBorder="1" applyAlignment="1">
      <alignment wrapText="1"/>
    </xf>
    <xf numFmtId="0" fontId="19" fillId="0" borderId="0" xfId="2" applyFont="1" applyFill="1" applyBorder="1" applyAlignment="1">
      <alignment wrapText="1"/>
    </xf>
    <xf numFmtId="167" fontId="8" fillId="0" borderId="0" xfId="2" applyNumberFormat="1" applyFont="1" applyFill="1" applyBorder="1" applyAlignment="1">
      <alignment vertical="top" wrapText="1"/>
    </xf>
    <xf numFmtId="168" fontId="8" fillId="0" borderId="0" xfId="2" applyNumberFormat="1" applyFont="1" applyFill="1" applyBorder="1" applyAlignment="1">
      <alignment vertical="top" wrapText="1"/>
    </xf>
    <xf numFmtId="0" fontId="20" fillId="0" borderId="0" xfId="0" applyFont="1"/>
    <xf numFmtId="0" fontId="54" fillId="0" borderId="0" xfId="4" applyFont="1" applyAlignment="1">
      <alignment vertical="center"/>
    </xf>
    <xf numFmtId="164" fontId="54" fillId="0" borderId="0" xfId="4" applyNumberFormat="1" applyFont="1" applyAlignment="1">
      <alignment horizontal="center" vertical="center"/>
    </xf>
    <xf numFmtId="0" fontId="54" fillId="0" borderId="0" xfId="4" applyFont="1" applyBorder="1" applyAlignment="1">
      <alignment vertical="center"/>
    </xf>
    <xf numFmtId="0" fontId="55" fillId="0" borderId="0" xfId="4" applyFont="1" applyAlignment="1">
      <alignment vertical="center"/>
    </xf>
    <xf numFmtId="164" fontId="55" fillId="0" borderId="0" xfId="4" applyNumberFormat="1" applyFont="1" applyAlignment="1">
      <alignment horizontal="center" vertical="center"/>
    </xf>
    <xf numFmtId="0" fontId="55" fillId="0" borderId="0" xfId="4" applyFont="1" applyBorder="1" applyAlignment="1">
      <alignment vertical="center"/>
    </xf>
    <xf numFmtId="14" fontId="56" fillId="0" borderId="0" xfId="4" applyNumberFormat="1" applyFont="1" applyBorder="1" applyAlignment="1">
      <alignment horizontal="left" vertical="center"/>
    </xf>
    <xf numFmtId="164" fontId="54" fillId="0" borderId="0" xfId="4" applyNumberFormat="1" applyFont="1" applyBorder="1" applyAlignment="1">
      <alignment horizontal="center" vertical="center"/>
    </xf>
    <xf numFmtId="164" fontId="54" fillId="0" borderId="0" xfId="2" applyNumberFormat="1" applyFont="1" applyBorder="1" applyAlignment="1">
      <alignment horizontal="center" vertical="center" wrapText="1"/>
    </xf>
    <xf numFmtId="0" fontId="53" fillId="35" borderId="0" xfId="3" applyFont="1" applyFill="1" applyBorder="1" applyAlignment="1">
      <alignment vertical="center" wrapText="1"/>
    </xf>
    <xf numFmtId="42" fontId="57" fillId="36" borderId="8" xfId="2" applyNumberFormat="1" applyFont="1" applyFill="1" applyBorder="1" applyAlignment="1">
      <alignment horizontal="center" vertical="center" wrapText="1"/>
    </xf>
    <xf numFmtId="1" fontId="59" fillId="0" borderId="32" xfId="1" applyNumberFormat="1" applyFont="1" applyFill="1" applyBorder="1" applyAlignment="1">
      <alignment horizontal="left" vertical="center"/>
    </xf>
    <xf numFmtId="0" fontId="54" fillId="0" borderId="1" xfId="252" applyFont="1" applyBorder="1" applyAlignment="1">
      <alignment vertical="center" wrapText="1"/>
    </xf>
    <xf numFmtId="1" fontId="54" fillId="0" borderId="32" xfId="1" applyNumberFormat="1" applyFont="1" applyFill="1" applyBorder="1" applyAlignment="1">
      <alignment horizontal="left" vertical="center"/>
    </xf>
    <xf numFmtId="1" fontId="54" fillId="0" borderId="32" xfId="1" quotePrefix="1" applyNumberFormat="1" applyFont="1" applyFill="1" applyBorder="1" applyAlignment="1">
      <alignment horizontal="left" vertical="center"/>
    </xf>
    <xf numFmtId="1" fontId="61" fillId="0" borderId="32" xfId="1" applyNumberFormat="1" applyFont="1" applyFill="1" applyBorder="1" applyAlignment="1">
      <alignment horizontal="left" vertical="center"/>
    </xf>
    <xf numFmtId="0" fontId="59" fillId="0" borderId="1" xfId="252" applyFont="1" applyBorder="1" applyAlignment="1">
      <alignment vertical="center" wrapText="1"/>
    </xf>
    <xf numFmtId="0" fontId="59" fillId="0" borderId="32" xfId="4" applyFont="1" applyBorder="1" applyAlignment="1">
      <alignment horizontal="left" vertical="center"/>
    </xf>
    <xf numFmtId="0" fontId="54" fillId="0" borderId="1" xfId="4" applyFont="1" applyBorder="1" applyAlignment="1">
      <alignment vertical="center"/>
    </xf>
    <xf numFmtId="0" fontId="54" fillId="0" borderId="32" xfId="4" applyFont="1" applyBorder="1" applyAlignment="1">
      <alignment horizontal="left" vertical="center"/>
    </xf>
    <xf numFmtId="0" fontId="54" fillId="0" borderId="32" xfId="4" applyFont="1" applyBorder="1" applyAlignment="1">
      <alignment vertical="center"/>
    </xf>
    <xf numFmtId="0" fontId="54" fillId="0" borderId="1" xfId="4" applyFont="1" applyBorder="1" applyAlignment="1">
      <alignment vertical="center" wrapText="1"/>
    </xf>
    <xf numFmtId="49" fontId="54" fillId="0" borderId="32" xfId="1" quotePrefix="1" applyNumberFormat="1" applyFont="1" applyFill="1" applyBorder="1" applyAlignment="1">
      <alignment horizontal="left" vertical="center"/>
    </xf>
    <xf numFmtId="10" fontId="63" fillId="0" borderId="0" xfId="3" applyNumberFormat="1" applyFont="1" applyFill="1" applyBorder="1" applyAlignment="1">
      <alignment horizontal="center" vertical="center"/>
    </xf>
    <xf numFmtId="10" fontId="54" fillId="0" borderId="0" xfId="4" applyNumberFormat="1" applyFont="1" applyBorder="1" applyAlignment="1">
      <alignment vertical="center"/>
    </xf>
    <xf numFmtId="0" fontId="54" fillId="0" borderId="1" xfId="252" applyFont="1" applyBorder="1" applyAlignment="1">
      <alignment vertical="center"/>
    </xf>
    <xf numFmtId="1" fontId="59" fillId="0" borderId="32" xfId="1" quotePrefix="1" applyNumberFormat="1" applyFont="1" applyFill="1" applyBorder="1" applyAlignment="1">
      <alignment horizontal="left" vertical="center"/>
    </xf>
    <xf numFmtId="0" fontId="54" fillId="0" borderId="1" xfId="252" applyFont="1" applyBorder="1" applyAlignment="1">
      <alignment horizontal="left" vertical="center" wrapText="1"/>
    </xf>
    <xf numFmtId="0" fontId="54" fillId="0" borderId="1" xfId="252" applyFont="1" applyFill="1" applyBorder="1" applyAlignment="1">
      <alignment horizontal="left" vertical="center" wrapText="1"/>
    </xf>
    <xf numFmtId="0" fontId="54" fillId="0" borderId="1" xfId="252" applyFont="1" applyFill="1" applyBorder="1" applyAlignment="1">
      <alignment vertical="center" wrapText="1"/>
    </xf>
    <xf numFmtId="1" fontId="54" fillId="35" borderId="32" xfId="1" applyNumberFormat="1" applyFont="1" applyFill="1" applyBorder="1" applyAlignment="1">
      <alignment horizontal="left" vertical="center"/>
    </xf>
    <xf numFmtId="1" fontId="59" fillId="35" borderId="32" xfId="1" applyNumberFormat="1" applyFont="1" applyFill="1" applyBorder="1" applyAlignment="1">
      <alignment horizontal="left" vertical="center"/>
    </xf>
    <xf numFmtId="0" fontId="54" fillId="35" borderId="32" xfId="4" applyFont="1" applyFill="1" applyBorder="1" applyAlignment="1">
      <alignment horizontal="left" vertical="center"/>
    </xf>
    <xf numFmtId="0" fontId="54" fillId="35" borderId="32" xfId="4" applyFont="1" applyFill="1" applyBorder="1" applyAlignment="1">
      <alignment vertical="center"/>
    </xf>
    <xf numFmtId="1" fontId="54" fillId="35" borderId="32" xfId="4" applyNumberFormat="1" applyFont="1" applyFill="1" applyBorder="1" applyAlignment="1">
      <alignment horizontal="left" vertical="center"/>
    </xf>
    <xf numFmtId="1" fontId="54" fillId="35" borderId="32" xfId="1" quotePrefix="1" applyNumberFormat="1" applyFont="1" applyFill="1" applyBorder="1" applyAlignment="1">
      <alignment horizontal="left" vertical="center"/>
    </xf>
    <xf numFmtId="49" fontId="54" fillId="35" borderId="32" xfId="1" quotePrefix="1" applyNumberFormat="1" applyFont="1" applyFill="1" applyBorder="1" applyAlignment="1">
      <alignment horizontal="left" vertical="center"/>
    </xf>
    <xf numFmtId="1" fontId="61" fillId="35" borderId="32" xfId="1" applyNumberFormat="1" applyFont="1" applyFill="1" applyBorder="1" applyAlignment="1">
      <alignment horizontal="left" vertical="center"/>
    </xf>
    <xf numFmtId="10" fontId="54" fillId="0" borderId="0" xfId="253" applyNumberFormat="1" applyFont="1" applyBorder="1" applyAlignment="1">
      <alignment vertical="center"/>
    </xf>
    <xf numFmtId="0" fontId="63" fillId="0" borderId="1" xfId="0" applyFont="1" applyFill="1" applyBorder="1" applyAlignment="1">
      <alignment vertical="center" wrapText="1"/>
    </xf>
    <xf numFmtId="0" fontId="21" fillId="0" borderId="1" xfId="0" applyFont="1" applyFill="1" applyBorder="1" applyAlignment="1">
      <alignment vertical="center" wrapText="1"/>
    </xf>
    <xf numFmtId="0" fontId="63" fillId="0" borderId="32" xfId="0" applyFont="1" applyFill="1" applyBorder="1" applyAlignment="1">
      <alignment horizontal="center" vertical="center"/>
    </xf>
    <xf numFmtId="0" fontId="21" fillId="0" borderId="32" xfId="0" applyFont="1" applyFill="1" applyBorder="1" applyAlignment="1">
      <alignment horizontal="center" vertical="center"/>
    </xf>
    <xf numFmtId="0" fontId="54" fillId="35" borderId="0" xfId="4" applyFont="1" applyFill="1" applyBorder="1" applyAlignment="1">
      <alignment vertical="center"/>
    </xf>
    <xf numFmtId="0" fontId="63" fillId="0" borderId="32" xfId="3" applyNumberFormat="1" applyFont="1" applyFill="1" applyBorder="1" applyAlignment="1">
      <alignment horizontal="left" vertical="center"/>
    </xf>
    <xf numFmtId="1" fontId="60" fillId="0" borderId="32" xfId="1" applyNumberFormat="1" applyFont="1" applyFill="1" applyBorder="1" applyAlignment="1">
      <alignment horizontal="left" vertical="center"/>
    </xf>
    <xf numFmtId="3" fontId="58" fillId="38" borderId="22" xfId="3" applyNumberFormat="1" applyFont="1" applyFill="1" applyBorder="1" applyAlignment="1">
      <alignment horizontal="center" vertical="center" wrapText="1"/>
    </xf>
    <xf numFmtId="164" fontId="58" fillId="38" borderId="22" xfId="3" applyNumberFormat="1" applyFont="1" applyFill="1" applyBorder="1" applyAlignment="1">
      <alignment horizontal="center" vertical="center" wrapText="1"/>
    </xf>
    <xf numFmtId="0" fontId="58" fillId="38" borderId="22" xfId="3" applyFont="1" applyFill="1" applyBorder="1" applyAlignment="1">
      <alignment horizontal="center" vertical="center" wrapText="1"/>
    </xf>
    <xf numFmtId="0" fontId="58" fillId="38" borderId="4" xfId="3" applyFont="1" applyFill="1" applyBorder="1" applyAlignment="1">
      <alignment horizontal="center" vertical="center" wrapText="1"/>
    </xf>
    <xf numFmtId="3" fontId="58" fillId="38" borderId="4" xfId="3" applyNumberFormat="1" applyFont="1" applyFill="1" applyBorder="1" applyAlignment="1">
      <alignment horizontal="center" vertical="center" wrapText="1"/>
    </xf>
    <xf numFmtId="164" fontId="58" fillId="38" borderId="4" xfId="3" applyNumberFormat="1" applyFont="1" applyFill="1" applyBorder="1" applyAlignment="1">
      <alignment horizontal="center" vertical="center" wrapText="1"/>
    </xf>
    <xf numFmtId="0" fontId="54" fillId="35" borderId="0" xfId="4" applyFont="1" applyFill="1" applyAlignment="1">
      <alignment vertical="center"/>
    </xf>
    <xf numFmtId="3" fontId="54" fillId="35" borderId="39" xfId="4" applyNumberFormat="1" applyFont="1" applyFill="1" applyBorder="1" applyAlignment="1">
      <alignment horizontal="center" vertical="center"/>
    </xf>
    <xf numFmtId="164" fontId="54" fillId="35" borderId="39" xfId="4" applyNumberFormat="1" applyFont="1" applyFill="1" applyBorder="1" applyAlignment="1">
      <alignment horizontal="center" vertical="center"/>
    </xf>
    <xf numFmtId="168" fontId="54" fillId="35" borderId="39" xfId="4" applyNumberFormat="1" applyFont="1" applyFill="1" applyBorder="1" applyAlignment="1">
      <alignment horizontal="center" vertical="center"/>
    </xf>
    <xf numFmtId="3" fontId="54" fillId="35" borderId="28" xfId="4" applyNumberFormat="1" applyFont="1" applyFill="1" applyBorder="1" applyAlignment="1">
      <alignment horizontal="center" vertical="center"/>
    </xf>
    <xf numFmtId="164" fontId="54" fillId="35" borderId="28" xfId="4" applyNumberFormat="1" applyFont="1" applyFill="1" applyBorder="1" applyAlignment="1">
      <alignment horizontal="center" vertical="center"/>
    </xf>
    <xf numFmtId="168" fontId="54" fillId="35" borderId="28" xfId="4" applyNumberFormat="1" applyFont="1" applyFill="1" applyBorder="1" applyAlignment="1">
      <alignment horizontal="center" vertical="center"/>
    </xf>
    <xf numFmtId="3" fontId="54" fillId="35" borderId="40" xfId="4" applyNumberFormat="1" applyFont="1" applyFill="1" applyBorder="1" applyAlignment="1">
      <alignment horizontal="center" vertical="center"/>
    </xf>
    <xf numFmtId="168" fontId="54" fillId="35" borderId="40" xfId="4" applyNumberFormat="1" applyFont="1" applyFill="1" applyBorder="1" applyAlignment="1">
      <alignment horizontal="center" vertical="center"/>
    </xf>
    <xf numFmtId="166" fontId="54" fillId="35" borderId="40" xfId="4" applyNumberFormat="1" applyFont="1" applyFill="1" applyBorder="1" applyAlignment="1">
      <alignment horizontal="center" vertical="center"/>
    </xf>
    <xf numFmtId="164" fontId="54" fillId="35" borderId="38" xfId="4" applyNumberFormat="1" applyFont="1" applyFill="1" applyBorder="1" applyAlignment="1">
      <alignment horizontal="center" vertical="center"/>
    </xf>
    <xf numFmtId="168" fontId="54" fillId="35" borderId="38" xfId="4" applyNumberFormat="1" applyFont="1" applyFill="1" applyBorder="1" applyAlignment="1">
      <alignment horizontal="center" vertical="center"/>
    </xf>
    <xf numFmtId="3" fontId="54" fillId="0" borderId="0" xfId="4" applyNumberFormat="1" applyFont="1" applyBorder="1" applyAlignment="1">
      <alignment horizontal="left" vertical="center"/>
    </xf>
    <xf numFmtId="0" fontId="54" fillId="0" borderId="0" xfId="4" applyFont="1" applyBorder="1" applyAlignment="1">
      <alignment horizontal="center" vertical="center"/>
    </xf>
    <xf numFmtId="3" fontId="60" fillId="0" borderId="0" xfId="4" applyNumberFormat="1" applyFont="1" applyBorder="1" applyAlignment="1">
      <alignment horizontal="left" vertical="center"/>
    </xf>
    <xf numFmtId="3" fontId="63" fillId="35" borderId="39" xfId="3" applyNumberFormat="1" applyFont="1" applyFill="1" applyBorder="1" applyAlignment="1">
      <alignment horizontal="center" vertical="center"/>
    </xf>
    <xf numFmtId="164" fontId="63" fillId="35" borderId="39" xfId="3" applyNumberFormat="1" applyFont="1" applyFill="1" applyBorder="1" applyAlignment="1">
      <alignment horizontal="center" vertical="center"/>
    </xf>
    <xf numFmtId="168" fontId="63" fillId="35" borderId="39" xfId="3" applyNumberFormat="1" applyFont="1" applyFill="1" applyBorder="1" applyAlignment="1">
      <alignment horizontal="center" vertical="center"/>
    </xf>
    <xf numFmtId="3" fontId="63" fillId="35" borderId="28" xfId="3" applyNumberFormat="1" applyFont="1" applyFill="1" applyBorder="1" applyAlignment="1">
      <alignment horizontal="center" vertical="center"/>
    </xf>
    <xf numFmtId="164" fontId="63" fillId="35" borderId="28" xfId="3" applyNumberFormat="1" applyFont="1" applyFill="1" applyBorder="1" applyAlignment="1">
      <alignment horizontal="center" vertical="center"/>
    </xf>
    <xf numFmtId="168" fontId="63" fillId="35" borderId="28" xfId="3" applyNumberFormat="1" applyFont="1" applyFill="1" applyBorder="1" applyAlignment="1">
      <alignment horizontal="center" vertical="center"/>
    </xf>
    <xf numFmtId="3" fontId="60" fillId="35" borderId="0" xfId="4" applyNumberFormat="1" applyFont="1" applyFill="1" applyBorder="1" applyAlignment="1">
      <alignment horizontal="left" vertical="center"/>
    </xf>
    <xf numFmtId="164" fontId="54" fillId="35" borderId="0" xfId="4" applyNumberFormat="1" applyFont="1" applyFill="1" applyBorder="1" applyAlignment="1">
      <alignment horizontal="center" vertical="center"/>
    </xf>
    <xf numFmtId="168" fontId="63" fillId="35" borderId="38" xfId="3" applyNumberFormat="1" applyFont="1" applyFill="1" applyBorder="1" applyAlignment="1">
      <alignment horizontal="center" vertical="center"/>
    </xf>
    <xf numFmtId="168" fontId="63" fillId="35" borderId="40" xfId="3" applyNumberFormat="1" applyFont="1" applyFill="1" applyBorder="1" applyAlignment="1">
      <alignment horizontal="center" vertical="center"/>
    </xf>
    <xf numFmtId="164" fontId="63" fillId="35" borderId="38" xfId="3" applyNumberFormat="1" applyFont="1" applyFill="1" applyBorder="1" applyAlignment="1">
      <alignment horizontal="center" vertical="center"/>
    </xf>
    <xf numFmtId="0" fontId="69" fillId="0" borderId="0" xfId="4" applyFont="1" applyAlignment="1">
      <alignment vertical="center"/>
    </xf>
    <xf numFmtId="3" fontId="54" fillId="35" borderId="0" xfId="4" applyNumberFormat="1" applyFont="1" applyFill="1" applyBorder="1" applyAlignment="1">
      <alignment horizontal="center" vertical="center"/>
    </xf>
    <xf numFmtId="168" fontId="54" fillId="35" borderId="0" xfId="4" applyNumberFormat="1" applyFont="1" applyFill="1" applyBorder="1" applyAlignment="1">
      <alignment horizontal="center" vertical="center"/>
    </xf>
    <xf numFmtId="166" fontId="54" fillId="35" borderId="0" xfId="4" applyNumberFormat="1" applyFont="1" applyFill="1" applyBorder="1" applyAlignment="1">
      <alignment horizontal="center" vertical="center"/>
    </xf>
    <xf numFmtId="3" fontId="63" fillId="35" borderId="38" xfId="3" applyNumberFormat="1" applyFont="1" applyFill="1" applyBorder="1" applyAlignment="1">
      <alignment horizontal="center" vertical="center"/>
    </xf>
    <xf numFmtId="0" fontId="63" fillId="0" borderId="0" xfId="0" applyFont="1"/>
    <xf numFmtId="0" fontId="71" fillId="0" borderId="0" xfId="0" applyFont="1" applyBorder="1" applyAlignment="1">
      <alignment vertical="center"/>
    </xf>
    <xf numFmtId="0" fontId="72" fillId="0" borderId="0" xfId="0" applyFont="1" applyBorder="1" applyAlignment="1">
      <alignment vertical="center"/>
    </xf>
    <xf numFmtId="164" fontId="72" fillId="0" borderId="0" xfId="0" applyNumberFormat="1" applyFont="1" applyBorder="1" applyAlignment="1">
      <alignment horizontal="right" vertical="center"/>
    </xf>
    <xf numFmtId="0" fontId="4" fillId="0" borderId="0" xfId="0" applyFont="1"/>
    <xf numFmtId="0" fontId="7" fillId="0" borderId="0" xfId="0" applyFont="1" applyBorder="1"/>
    <xf numFmtId="0" fontId="4" fillId="0" borderId="0" xfId="0" applyFont="1" applyAlignment="1">
      <alignment vertical="center"/>
    </xf>
    <xf numFmtId="0" fontId="77" fillId="0" borderId="0" xfId="0" applyFont="1" applyFill="1" applyBorder="1" applyAlignment="1">
      <alignment vertical="center" wrapText="1"/>
    </xf>
    <xf numFmtId="168" fontId="74" fillId="0" borderId="0" xfId="0" applyNumberFormat="1" applyFont="1" applyFill="1" applyBorder="1" applyAlignment="1">
      <alignment horizontal="center" vertical="center" wrapText="1"/>
    </xf>
    <xf numFmtId="0" fontId="58" fillId="0" borderId="0" xfId="0" applyFont="1" applyFill="1" applyBorder="1" applyAlignment="1">
      <alignment horizontal="center" vertical="center" wrapText="1"/>
    </xf>
    <xf numFmtId="168" fontId="58" fillId="0" borderId="0" xfId="0" applyNumberFormat="1" applyFont="1" applyFill="1" applyBorder="1" applyAlignment="1">
      <alignment horizontal="center" vertical="center" wrapText="1"/>
    </xf>
    <xf numFmtId="0" fontId="7" fillId="0" borderId="0" xfId="0" applyFont="1" applyFill="1" applyBorder="1"/>
    <xf numFmtId="164" fontId="7" fillId="0" borderId="0" xfId="0" applyNumberFormat="1" applyFont="1" applyFill="1" applyBorder="1"/>
    <xf numFmtId="3" fontId="78" fillId="0" borderId="0" xfId="0" applyNumberFormat="1" applyFont="1" applyFill="1" applyBorder="1" applyAlignment="1">
      <alignment horizontal="right" vertical="center" wrapText="1"/>
    </xf>
    <xf numFmtId="164" fontId="78" fillId="0" borderId="0" xfId="0" applyNumberFormat="1" applyFont="1" applyFill="1" applyBorder="1" applyAlignment="1">
      <alignment horizontal="center" vertical="center"/>
    </xf>
    <xf numFmtId="186" fontId="78" fillId="0" borderId="0" xfId="0" applyNumberFormat="1" applyFont="1" applyFill="1" applyBorder="1" applyAlignment="1">
      <alignment horizontal="center" vertical="center"/>
    </xf>
    <xf numFmtId="168" fontId="78" fillId="0" borderId="0" xfId="0" applyNumberFormat="1" applyFont="1" applyFill="1" applyBorder="1" applyAlignment="1">
      <alignment horizontal="center" vertical="center"/>
    </xf>
    <xf numFmtId="0" fontId="4" fillId="0" borderId="0" xfId="0" applyFont="1" applyFill="1" applyBorder="1"/>
    <xf numFmtId="0" fontId="4" fillId="0" borderId="0" xfId="0" applyFont="1" applyBorder="1"/>
    <xf numFmtId="0" fontId="79" fillId="0" borderId="37" xfId="0" applyFont="1" applyBorder="1" applyAlignment="1">
      <alignment horizontal="left" vertical="top"/>
    </xf>
    <xf numFmtId="0" fontId="72" fillId="0" borderId="11" xfId="0" applyFont="1" applyBorder="1" applyAlignment="1">
      <alignment vertical="center"/>
    </xf>
    <xf numFmtId="164" fontId="72" fillId="0" borderId="11" xfId="0" applyNumberFormat="1" applyFont="1" applyBorder="1" applyAlignment="1">
      <alignment horizontal="right" vertical="center"/>
    </xf>
    <xf numFmtId="0" fontId="72" fillId="0" borderId="27" xfId="0" applyFont="1" applyBorder="1" applyAlignment="1">
      <alignment vertical="center"/>
    </xf>
    <xf numFmtId="0" fontId="79" fillId="0" borderId="0" xfId="0" applyFont="1" applyBorder="1" applyAlignment="1">
      <alignment horizontal="left" vertical="top"/>
    </xf>
    <xf numFmtId="0" fontId="4" fillId="0" borderId="0" xfId="0" applyFont="1" applyFill="1" applyBorder="1" applyAlignment="1">
      <alignment vertical="center"/>
    </xf>
    <xf numFmtId="0" fontId="80" fillId="0" borderId="0" xfId="0" applyFont="1" applyBorder="1" applyAlignment="1">
      <alignment vertical="center"/>
    </xf>
    <xf numFmtId="164" fontId="80" fillId="0" borderId="0" xfId="0" applyNumberFormat="1" applyFont="1" applyBorder="1" applyAlignment="1">
      <alignment horizontal="right" vertical="center"/>
    </xf>
    <xf numFmtId="0" fontId="7" fillId="0" borderId="0" xfId="0" applyFont="1"/>
    <xf numFmtId="0" fontId="7" fillId="0" borderId="0" xfId="0" applyFont="1" applyAlignment="1">
      <alignment vertical="center"/>
    </xf>
    <xf numFmtId="0" fontId="74" fillId="0" borderId="0" xfId="0" applyFont="1" applyFill="1" applyBorder="1" applyAlignment="1">
      <alignment vertical="center" wrapText="1"/>
    </xf>
    <xf numFmtId="0" fontId="7" fillId="0" borderId="0" xfId="0" applyFont="1" applyFill="1" applyBorder="1" applyAlignment="1">
      <alignment vertical="center"/>
    </xf>
    <xf numFmtId="0" fontId="75" fillId="0" borderId="0" xfId="0" applyFont="1" applyFill="1" applyBorder="1" applyAlignment="1">
      <alignment horizontal="center" vertical="center" wrapText="1"/>
    </xf>
    <xf numFmtId="164" fontId="72" fillId="0" borderId="11" xfId="0" applyNumberFormat="1" applyFont="1" applyFill="1" applyBorder="1" applyAlignment="1">
      <alignment horizontal="center" vertical="center"/>
    </xf>
    <xf numFmtId="0" fontId="71" fillId="35" borderId="0" xfId="0" applyFont="1" applyFill="1" applyBorder="1" applyAlignment="1">
      <alignment vertical="center"/>
    </xf>
    <xf numFmtId="0" fontId="72" fillId="35" borderId="0" xfId="0" applyFont="1" applyFill="1" applyBorder="1" applyAlignment="1">
      <alignment vertical="center"/>
    </xf>
    <xf numFmtId="164" fontId="72" fillId="35" borderId="0" xfId="0" applyNumberFormat="1" applyFont="1" applyFill="1" applyBorder="1" applyAlignment="1">
      <alignment horizontal="right" vertical="center"/>
    </xf>
    <xf numFmtId="0" fontId="4" fillId="35" borderId="0" xfId="0" applyFont="1" applyFill="1"/>
    <xf numFmtId="49" fontId="59" fillId="0" borderId="32" xfId="1" quotePrefix="1" applyNumberFormat="1" applyFont="1" applyFill="1" applyBorder="1" applyAlignment="1">
      <alignment horizontal="left" vertical="center"/>
    </xf>
    <xf numFmtId="0" fontId="54" fillId="0" borderId="32" xfId="4" applyFont="1" applyFill="1" applyBorder="1" applyAlignment="1">
      <alignment horizontal="left" vertical="center"/>
    </xf>
    <xf numFmtId="0" fontId="54" fillId="0" borderId="1" xfId="4" applyFont="1" applyFill="1" applyBorder="1" applyAlignment="1">
      <alignment vertical="center"/>
    </xf>
    <xf numFmtId="0" fontId="54" fillId="0" borderId="0" xfId="4" applyFont="1" applyFill="1" applyBorder="1" applyAlignment="1">
      <alignment vertical="center"/>
    </xf>
    <xf numFmtId="0" fontId="54" fillId="0" borderId="0" xfId="4" applyFont="1" applyFill="1" applyAlignment="1">
      <alignment vertical="center"/>
    </xf>
    <xf numFmtId="0" fontId="10" fillId="0" borderId="0" xfId="2" applyFont="1" applyFill="1" applyAlignment="1">
      <alignment vertical="center" wrapText="1"/>
    </xf>
    <xf numFmtId="0" fontId="63" fillId="0" borderId="32" xfId="0" applyFont="1" applyFill="1" applyBorder="1" applyAlignment="1">
      <alignment vertical="center"/>
    </xf>
    <xf numFmtId="0" fontId="81" fillId="0" borderId="32" xfId="0" applyFont="1" applyFill="1" applyBorder="1" applyAlignment="1">
      <alignment vertical="center"/>
    </xf>
    <xf numFmtId="0" fontId="82" fillId="0" borderId="0" xfId="4" applyFont="1" applyBorder="1" applyAlignment="1">
      <alignment vertical="center"/>
    </xf>
    <xf numFmtId="3" fontId="63" fillId="35" borderId="40" xfId="3" applyNumberFormat="1" applyFont="1" applyFill="1" applyBorder="1" applyAlignment="1">
      <alignment horizontal="center" vertical="center"/>
    </xf>
    <xf numFmtId="164" fontId="63" fillId="35" borderId="40" xfId="3" applyNumberFormat="1" applyFont="1" applyFill="1" applyBorder="1" applyAlignment="1">
      <alignment horizontal="center" vertical="center"/>
    </xf>
    <xf numFmtId="164" fontId="54" fillId="35" borderId="40" xfId="4" applyNumberFormat="1" applyFont="1" applyFill="1" applyBorder="1" applyAlignment="1">
      <alignment horizontal="center" vertical="center"/>
    </xf>
    <xf numFmtId="0" fontId="55" fillId="0" borderId="0" xfId="4" applyFont="1" applyFill="1" applyAlignment="1">
      <alignment vertical="center"/>
    </xf>
    <xf numFmtId="0" fontId="55" fillId="0" borderId="0" xfId="4" applyFont="1" applyFill="1" applyBorder="1" applyAlignment="1">
      <alignment vertical="center"/>
    </xf>
    <xf numFmtId="10" fontId="54" fillId="0" borderId="0" xfId="4" applyNumberFormat="1" applyFont="1" applyFill="1" applyBorder="1" applyAlignment="1">
      <alignment vertical="center"/>
    </xf>
    <xf numFmtId="10" fontId="54" fillId="0" borderId="0" xfId="193" applyNumberFormat="1" applyFont="1" applyFill="1" applyBorder="1" applyAlignment="1">
      <alignment vertical="center"/>
    </xf>
    <xf numFmtId="166" fontId="54" fillId="0" borderId="0" xfId="4" applyNumberFormat="1" applyFont="1" applyFill="1" applyBorder="1" applyAlignment="1">
      <alignment vertical="center"/>
    </xf>
    <xf numFmtId="1" fontId="83" fillId="0" borderId="0" xfId="4" applyNumberFormat="1" applyFont="1" applyBorder="1" applyAlignment="1">
      <alignment horizontal="left" vertical="center"/>
    </xf>
    <xf numFmtId="0" fontId="70" fillId="0" borderId="0" xfId="0" applyFont="1" applyBorder="1" applyAlignment="1">
      <alignment vertical="center"/>
    </xf>
    <xf numFmtId="181" fontId="68" fillId="0" borderId="0" xfId="0" applyNumberFormat="1" applyFont="1" applyAlignment="1">
      <alignment horizontal="center"/>
    </xf>
    <xf numFmtId="0" fontId="84" fillId="35" borderId="0" xfId="3" applyFont="1" applyFill="1" applyBorder="1" applyAlignment="1">
      <alignment vertical="center"/>
    </xf>
    <xf numFmtId="0" fontId="70" fillId="35" borderId="0" xfId="3" applyFont="1" applyFill="1" applyBorder="1" applyAlignment="1">
      <alignment vertical="center" wrapText="1"/>
    </xf>
    <xf numFmtId="1" fontId="54" fillId="0" borderId="34" xfId="1" quotePrefix="1" applyNumberFormat="1" applyFont="1" applyFill="1" applyBorder="1" applyAlignment="1">
      <alignment horizontal="left" vertical="center"/>
    </xf>
    <xf numFmtId="0" fontId="54" fillId="0" borderId="35" xfId="252" applyFont="1" applyFill="1" applyBorder="1" applyAlignment="1">
      <alignment horizontal="left" vertical="center" wrapText="1"/>
    </xf>
    <xf numFmtId="0" fontId="59" fillId="0" borderId="1" xfId="252" applyFont="1" applyFill="1" applyBorder="1" applyAlignment="1">
      <alignment vertical="center" wrapText="1"/>
    </xf>
    <xf numFmtId="0" fontId="63" fillId="0" borderId="32" xfId="0" applyFont="1" applyFill="1" applyBorder="1" applyAlignment="1">
      <alignment horizontal="left" vertical="center"/>
    </xf>
    <xf numFmtId="1" fontId="56" fillId="0" borderId="32" xfId="1" quotePrefix="1" applyNumberFormat="1" applyFont="1" applyFill="1" applyBorder="1" applyAlignment="1">
      <alignment horizontal="left" vertical="center"/>
    </xf>
    <xf numFmtId="164" fontId="54" fillId="0" borderId="1" xfId="4" applyNumberFormat="1" applyFont="1" applyFill="1" applyBorder="1" applyAlignment="1">
      <alignment vertical="center"/>
    </xf>
    <xf numFmtId="0" fontId="56" fillId="0" borderId="1" xfId="252" applyFont="1" applyBorder="1" applyAlignment="1">
      <alignment vertical="center" wrapText="1"/>
    </xf>
    <xf numFmtId="0" fontId="54" fillId="35" borderId="1" xfId="252" applyFont="1" applyFill="1" applyBorder="1" applyAlignment="1">
      <alignment vertical="center" wrapText="1"/>
    </xf>
    <xf numFmtId="164" fontId="54" fillId="0" borderId="33" xfId="4" applyNumberFormat="1" applyFont="1" applyFill="1" applyBorder="1" applyAlignment="1">
      <alignment vertical="center"/>
    </xf>
    <xf numFmtId="0" fontId="81" fillId="0" borderId="32" xfId="3" applyNumberFormat="1" applyFont="1" applyFill="1" applyBorder="1" applyAlignment="1">
      <alignment horizontal="left" vertical="center"/>
    </xf>
    <xf numFmtId="164" fontId="54" fillId="0" borderId="35" xfId="4" applyNumberFormat="1" applyFont="1" applyFill="1" applyBorder="1" applyAlignment="1">
      <alignment vertical="center"/>
    </xf>
    <xf numFmtId="164" fontId="54" fillId="0" borderId="36" xfId="4" applyNumberFormat="1" applyFont="1" applyFill="1" applyBorder="1" applyAlignment="1">
      <alignment vertical="center"/>
    </xf>
    <xf numFmtId="164" fontId="54" fillId="0" borderId="7" xfId="4" applyNumberFormat="1" applyFont="1" applyFill="1" applyBorder="1" applyAlignment="1">
      <alignment vertical="center"/>
    </xf>
    <xf numFmtId="164" fontId="54" fillId="0" borderId="31" xfId="4" applyNumberFormat="1" applyFont="1" applyFill="1" applyBorder="1" applyAlignment="1">
      <alignment vertical="center"/>
    </xf>
    <xf numFmtId="42" fontId="57" fillId="36" borderId="42" xfId="2" applyNumberFormat="1" applyFont="1" applyFill="1" applyBorder="1" applyAlignment="1">
      <alignment horizontal="center" vertical="center" wrapText="1"/>
    </xf>
    <xf numFmtId="164" fontId="57" fillId="36" borderId="42" xfId="2" applyNumberFormat="1" applyFont="1" applyFill="1" applyBorder="1" applyAlignment="1">
      <alignment horizontal="center" vertical="center" wrapText="1"/>
    </xf>
    <xf numFmtId="164" fontId="57" fillId="36" borderId="3" xfId="2" applyNumberFormat="1" applyFont="1" applyFill="1" applyBorder="1" applyAlignment="1">
      <alignment horizontal="center" vertical="center" wrapText="1"/>
    </xf>
    <xf numFmtId="49" fontId="59" fillId="40" borderId="30" xfId="229" applyNumberFormat="1" applyFont="1" applyFill="1" applyBorder="1" applyAlignment="1">
      <alignment horizontal="left" vertical="center"/>
    </xf>
    <xf numFmtId="184" fontId="59" fillId="40" borderId="7" xfId="14" applyNumberFormat="1" applyFont="1" applyFill="1" applyBorder="1" applyAlignment="1">
      <alignment vertical="center" wrapText="1"/>
    </xf>
    <xf numFmtId="185" fontId="47" fillId="40" borderId="32" xfId="0" applyNumberFormat="1" applyFont="1" applyFill="1" applyBorder="1" applyAlignment="1" applyProtection="1">
      <alignment horizontal="left" vertical="center"/>
    </xf>
    <xf numFmtId="0" fontId="81" fillId="40" borderId="1" xfId="0" applyFont="1" applyFill="1" applyBorder="1" applyAlignment="1">
      <alignment horizontal="left" vertical="center" wrapText="1"/>
    </xf>
    <xf numFmtId="1" fontId="59" fillId="41" borderId="43" xfId="1" applyNumberFormat="1" applyFont="1" applyFill="1" applyBorder="1" applyAlignment="1">
      <alignment horizontal="left" vertical="center"/>
    </xf>
    <xf numFmtId="0" fontId="59" fillId="41" borderId="2" xfId="252" applyFont="1" applyFill="1" applyBorder="1" applyAlignment="1">
      <alignment vertical="center" wrapText="1"/>
    </xf>
    <xf numFmtId="164" fontId="59" fillId="41" borderId="2" xfId="252" applyNumberFormat="1" applyFont="1" applyFill="1" applyBorder="1" applyAlignment="1">
      <alignment horizontal="center" vertical="center" wrapText="1"/>
    </xf>
    <xf numFmtId="164" fontId="54" fillId="41" borderId="2" xfId="4" applyNumberFormat="1" applyFont="1" applyFill="1" applyBorder="1" applyAlignment="1">
      <alignment vertical="center"/>
    </xf>
    <xf numFmtId="164" fontId="54" fillId="41" borderId="29" xfId="4" applyNumberFormat="1" applyFont="1" applyFill="1" applyBorder="1" applyAlignment="1">
      <alignment vertical="center"/>
    </xf>
    <xf numFmtId="185" fontId="47" fillId="40" borderId="32" xfId="0" applyNumberFormat="1" applyFont="1" applyFill="1" applyBorder="1" applyAlignment="1" applyProtection="1">
      <alignment horizontal="center" vertical="center"/>
    </xf>
    <xf numFmtId="0" fontId="59" fillId="40" borderId="32" xfId="4" applyFont="1" applyFill="1" applyBorder="1" applyAlignment="1">
      <alignment vertical="center"/>
    </xf>
    <xf numFmtId="0" fontId="59" fillId="40" borderId="1" xfId="4" applyFont="1" applyFill="1" applyBorder="1" applyAlignment="1">
      <alignment vertical="center" wrapText="1"/>
    </xf>
    <xf numFmtId="1" fontId="59" fillId="40" borderId="32" xfId="252" applyNumberFormat="1" applyFont="1" applyFill="1" applyBorder="1" applyAlignment="1">
      <alignment horizontal="left" vertical="center"/>
    </xf>
    <xf numFmtId="165" fontId="59" fillId="40" borderId="1" xfId="252" applyNumberFormat="1" applyFont="1" applyFill="1" applyBorder="1" applyAlignment="1">
      <alignment vertical="center" wrapText="1"/>
    </xf>
    <xf numFmtId="0" fontId="59" fillId="40" borderId="1" xfId="252" applyFont="1" applyFill="1" applyBorder="1" applyAlignment="1">
      <alignment vertical="center" wrapText="1"/>
    </xf>
    <xf numFmtId="0" fontId="81" fillId="40" borderId="32" xfId="3" applyNumberFormat="1" applyFont="1" applyFill="1" applyBorder="1" applyAlignment="1">
      <alignment horizontal="left" vertical="center"/>
    </xf>
    <xf numFmtId="49" fontId="59" fillId="40" borderId="32" xfId="1" quotePrefix="1" applyNumberFormat="1" applyFont="1" applyFill="1" applyBorder="1" applyAlignment="1">
      <alignment horizontal="left" vertical="center"/>
    </xf>
    <xf numFmtId="0" fontId="74" fillId="0" borderId="0" xfId="0" applyFont="1" applyFill="1" applyBorder="1" applyAlignment="1">
      <alignment horizontal="center" vertical="center" wrapText="1"/>
    </xf>
    <xf numFmtId="1" fontId="54" fillId="0" borderId="0" xfId="1" quotePrefix="1" applyNumberFormat="1" applyFont="1" applyFill="1" applyBorder="1" applyAlignment="1">
      <alignment horizontal="left" vertical="center"/>
    </xf>
    <xf numFmtId="0" fontId="54" fillId="0" borderId="0" xfId="252" applyFont="1" applyFill="1" applyBorder="1" applyAlignment="1">
      <alignment horizontal="left" vertical="center" wrapText="1"/>
    </xf>
    <xf numFmtId="164" fontId="54" fillId="0" borderId="0" xfId="252" applyNumberFormat="1" applyFont="1" applyFill="1" applyBorder="1" applyAlignment="1">
      <alignment horizontal="center" vertical="center" wrapText="1"/>
    </xf>
    <xf numFmtId="164" fontId="54" fillId="0" borderId="0" xfId="4" applyNumberFormat="1" applyFont="1" applyFill="1" applyBorder="1" applyAlignment="1">
      <alignment vertical="center"/>
    </xf>
    <xf numFmtId="3" fontId="86" fillId="0" borderId="26" xfId="4" applyNumberFormat="1" applyFont="1" applyBorder="1" applyAlignment="1">
      <alignment horizontal="left" vertical="center"/>
    </xf>
    <xf numFmtId="164" fontId="54" fillId="0" borderId="26" xfId="4" applyNumberFormat="1" applyFont="1" applyBorder="1" applyAlignment="1">
      <alignment horizontal="center" vertical="center"/>
    </xf>
    <xf numFmtId="164" fontId="59" fillId="35" borderId="26" xfId="252" applyNumberFormat="1" applyFont="1" applyFill="1" applyBorder="1" applyAlignment="1">
      <alignment horizontal="center" vertical="center" wrapText="1"/>
    </xf>
    <xf numFmtId="0" fontId="86" fillId="35" borderId="26" xfId="252" applyNumberFormat="1" applyFont="1" applyFill="1" applyBorder="1" applyAlignment="1">
      <alignment horizontal="left" vertical="center" wrapText="1"/>
    </xf>
    <xf numFmtId="3" fontId="60" fillId="0" borderId="44" xfId="4" applyNumberFormat="1" applyFont="1" applyBorder="1" applyAlignment="1">
      <alignment horizontal="left" vertical="center"/>
    </xf>
    <xf numFmtId="164" fontId="54" fillId="0" borderId="44" xfId="4" applyNumberFormat="1" applyFont="1" applyBorder="1" applyAlignment="1">
      <alignment horizontal="center" vertical="center"/>
    </xf>
    <xf numFmtId="168" fontId="54" fillId="35" borderId="26" xfId="4" applyNumberFormat="1" applyFont="1" applyFill="1" applyBorder="1" applyAlignment="1">
      <alignment horizontal="center" vertical="center"/>
    </xf>
    <xf numFmtId="3" fontId="86" fillId="35" borderId="0" xfId="4" applyNumberFormat="1" applyFont="1" applyFill="1" applyBorder="1" applyAlignment="1">
      <alignment horizontal="left" vertical="center"/>
    </xf>
    <xf numFmtId="0" fontId="86" fillId="35" borderId="26" xfId="4" applyNumberFormat="1" applyFont="1" applyFill="1" applyBorder="1" applyAlignment="1">
      <alignment horizontal="left" vertical="center"/>
    </xf>
    <xf numFmtId="0" fontId="86" fillId="35" borderId="26" xfId="252" applyNumberFormat="1" applyFont="1" applyFill="1" applyBorder="1" applyAlignment="1">
      <alignment horizontal="left" vertical="center"/>
    </xf>
    <xf numFmtId="164" fontId="86" fillId="35" borderId="26" xfId="252" applyNumberFormat="1" applyFont="1" applyFill="1" applyBorder="1" applyAlignment="1">
      <alignment horizontal="left" vertical="center"/>
    </xf>
    <xf numFmtId="0" fontId="63" fillId="0" borderId="11" xfId="0" applyFont="1" applyBorder="1" applyAlignment="1">
      <alignment vertical="center"/>
    </xf>
    <xf numFmtId="164" fontId="63" fillId="0" borderId="11" xfId="0" applyNumberFormat="1" applyFont="1" applyBorder="1" applyAlignment="1">
      <alignment horizontal="right" vertical="center"/>
    </xf>
    <xf numFmtId="0" fontId="63" fillId="0" borderId="27" xfId="0" applyFont="1" applyBorder="1" applyAlignment="1">
      <alignment vertical="center"/>
    </xf>
    <xf numFmtId="164" fontId="63" fillId="0" borderId="11" xfId="0" applyNumberFormat="1" applyFont="1" applyFill="1" applyBorder="1" applyAlignment="1">
      <alignment horizontal="center" vertical="center"/>
    </xf>
    <xf numFmtId="0" fontId="81" fillId="0" borderId="11" xfId="0" applyFont="1" applyBorder="1" applyAlignment="1">
      <alignment vertical="center"/>
    </xf>
    <xf numFmtId="0" fontId="87" fillId="0" borderId="37" xfId="0" applyFont="1" applyBorder="1" applyAlignment="1">
      <alignment vertical="center"/>
    </xf>
    <xf numFmtId="164" fontId="58" fillId="42" borderId="22" xfId="3" applyNumberFormat="1" applyFont="1" applyFill="1" applyBorder="1" applyAlignment="1">
      <alignment horizontal="center" vertical="center" wrapText="1"/>
    </xf>
    <xf numFmtId="0" fontId="58" fillId="42" borderId="28" xfId="0" applyFont="1" applyFill="1" applyBorder="1" applyAlignment="1">
      <alignment horizontal="center" vertical="center" wrapText="1"/>
    </xf>
    <xf numFmtId="3" fontId="63" fillId="0" borderId="28" xfId="77" applyNumberFormat="1" applyFont="1" applyFill="1" applyBorder="1" applyAlignment="1">
      <alignment horizontal="center" vertical="center"/>
    </xf>
    <xf numFmtId="164" fontId="63" fillId="0" borderId="28" xfId="0" applyNumberFormat="1" applyFont="1" applyFill="1" applyBorder="1" applyAlignment="1">
      <alignment horizontal="center" vertical="center"/>
    </xf>
    <xf numFmtId="168" fontId="63" fillId="0" borderId="28" xfId="0" applyNumberFormat="1" applyFont="1" applyFill="1" applyBorder="1" applyAlignment="1">
      <alignment horizontal="center" vertical="center"/>
    </xf>
    <xf numFmtId="3" fontId="63" fillId="0" borderId="40" xfId="77" applyNumberFormat="1" applyFont="1" applyFill="1" applyBorder="1" applyAlignment="1">
      <alignment horizontal="center" vertical="center"/>
    </xf>
    <xf numFmtId="164" fontId="63" fillId="0" borderId="40" xfId="0" applyNumberFormat="1" applyFont="1" applyFill="1" applyBorder="1" applyAlignment="1">
      <alignment horizontal="center" vertical="center"/>
    </xf>
    <xf numFmtId="168" fontId="63" fillId="0" borderId="40" xfId="0" applyNumberFormat="1" applyFont="1" applyFill="1" applyBorder="1" applyAlignment="1">
      <alignment horizontal="center" vertical="center"/>
    </xf>
    <xf numFmtId="167" fontId="63" fillId="0" borderId="28" xfId="0" applyNumberFormat="1" applyFont="1" applyFill="1" applyBorder="1" applyAlignment="1">
      <alignment horizontal="center" vertical="center"/>
    </xf>
    <xf numFmtId="167" fontId="63" fillId="0" borderId="40" xfId="0" applyNumberFormat="1" applyFont="1" applyFill="1" applyBorder="1" applyAlignment="1">
      <alignment horizontal="center" vertical="center"/>
    </xf>
    <xf numFmtId="0" fontId="77" fillId="39" borderId="23" xfId="0" applyFont="1" applyFill="1" applyBorder="1" applyAlignment="1">
      <alignment horizontal="left" vertical="center"/>
    </xf>
    <xf numFmtId="0" fontId="77" fillId="39" borderId="24" xfId="0" applyFont="1" applyFill="1" applyBorder="1" applyAlignment="1">
      <alignment horizontal="center" vertical="center" wrapText="1"/>
    </xf>
    <xf numFmtId="0" fontId="63" fillId="0" borderId="25" xfId="255" applyFont="1" applyFill="1" applyBorder="1" applyAlignment="1" applyProtection="1">
      <alignment vertical="center"/>
      <protection hidden="1"/>
    </xf>
    <xf numFmtId="0" fontId="63" fillId="0" borderId="0" xfId="0" applyFont="1" applyFill="1" applyBorder="1" applyAlignment="1">
      <alignment vertical="center"/>
    </xf>
    <xf numFmtId="164" fontId="63" fillId="0" borderId="0" xfId="0" applyNumberFormat="1" applyFont="1" applyFill="1" applyBorder="1" applyAlignment="1">
      <alignment horizontal="center" vertical="center"/>
    </xf>
    <xf numFmtId="3" fontId="63" fillId="0" borderId="25" xfId="256" applyNumberFormat="1" applyFont="1" applyFill="1" applyBorder="1" applyAlignment="1" applyProtection="1">
      <alignment vertical="center"/>
      <protection hidden="1"/>
    </xf>
    <xf numFmtId="3" fontId="63" fillId="0" borderId="5" xfId="256" applyNumberFormat="1" applyFont="1" applyFill="1" applyBorder="1" applyAlignment="1" applyProtection="1">
      <alignment vertical="center"/>
      <protection hidden="1"/>
    </xf>
    <xf numFmtId="0" fontId="63" fillId="0" borderId="26" xfId="0" applyFont="1" applyFill="1" applyBorder="1" applyAlignment="1">
      <alignment vertical="center"/>
    </xf>
    <xf numFmtId="0" fontId="77" fillId="39" borderId="22" xfId="0" applyFont="1" applyFill="1" applyBorder="1" applyAlignment="1">
      <alignment horizontal="center" vertical="center" wrapText="1"/>
    </xf>
    <xf numFmtId="164" fontId="63" fillId="0" borderId="6" xfId="0" applyNumberFormat="1" applyFont="1" applyBorder="1" applyAlignment="1">
      <alignment horizontal="center" vertical="center"/>
    </xf>
    <xf numFmtId="164" fontId="63" fillId="0" borderId="41" xfId="0" applyNumberFormat="1" applyFont="1" applyBorder="1" applyAlignment="1">
      <alignment horizontal="center" vertical="center"/>
    </xf>
    <xf numFmtId="164" fontId="59" fillId="35" borderId="0" xfId="252" applyNumberFormat="1" applyFont="1" applyFill="1" applyBorder="1" applyAlignment="1">
      <alignment horizontal="center" vertical="center" wrapText="1"/>
    </xf>
    <xf numFmtId="0" fontId="89" fillId="0" borderId="0" xfId="4" applyFont="1" applyAlignment="1">
      <alignment vertical="center"/>
    </xf>
    <xf numFmtId="14" fontId="88" fillId="0" borderId="0" xfId="4" applyNumberFormat="1" applyFont="1" applyBorder="1" applyAlignment="1">
      <alignment horizontal="left" vertical="center"/>
    </xf>
    <xf numFmtId="184" fontId="54" fillId="0" borderId="7" xfId="14" applyNumberFormat="1" applyFont="1" applyFill="1" applyBorder="1" applyAlignment="1">
      <alignment horizontal="center" vertical="center" wrapText="1"/>
    </xf>
    <xf numFmtId="164" fontId="54" fillId="35" borderId="26" xfId="252" applyNumberFormat="1" applyFont="1" applyFill="1" applyBorder="1" applyAlignment="1">
      <alignment horizontal="center" vertical="center" wrapText="1"/>
    </xf>
    <xf numFmtId="0" fontId="81" fillId="0" borderId="0" xfId="0" applyFont="1" applyFill="1" applyBorder="1" applyAlignment="1">
      <alignment vertical="center"/>
    </xf>
    <xf numFmtId="9" fontId="67" fillId="0" borderId="7" xfId="253" applyFont="1" applyFill="1" applyBorder="1" applyAlignment="1" applyProtection="1">
      <alignment horizontal="center" vertical="center"/>
    </xf>
    <xf numFmtId="184" fontId="54" fillId="0" borderId="35" xfId="14" applyNumberFormat="1" applyFont="1" applyFill="1" applyBorder="1" applyAlignment="1">
      <alignment horizontal="center" vertical="center" wrapText="1"/>
    </xf>
    <xf numFmtId="9" fontId="67" fillId="0" borderId="35" xfId="253" applyFont="1" applyFill="1" applyBorder="1" applyAlignment="1" applyProtection="1">
      <alignment horizontal="center" vertical="center"/>
    </xf>
    <xf numFmtId="0" fontId="53" fillId="0" borderId="0" xfId="3" applyFont="1" applyFill="1" applyBorder="1" applyAlignment="1">
      <alignment horizontal="center" vertical="center" wrapText="1"/>
    </xf>
    <xf numFmtId="0" fontId="58" fillId="0" borderId="0" xfId="3" applyFont="1" applyFill="1" applyBorder="1" applyAlignment="1">
      <alignment horizontal="center" vertical="center" wrapText="1"/>
    </xf>
    <xf numFmtId="168" fontId="54" fillId="0" borderId="0" xfId="4" applyNumberFormat="1" applyFont="1" applyFill="1" applyBorder="1" applyAlignment="1">
      <alignment horizontal="center" vertical="center"/>
    </xf>
    <xf numFmtId="168" fontId="63" fillId="0" borderId="0" xfId="3" applyNumberFormat="1" applyFont="1" applyFill="1" applyBorder="1" applyAlignment="1">
      <alignment horizontal="center" vertical="center"/>
    </xf>
    <xf numFmtId="0" fontId="54" fillId="0" borderId="0" xfId="4" applyFont="1" applyFill="1" applyBorder="1" applyAlignment="1">
      <alignment horizontal="center" vertical="center"/>
    </xf>
    <xf numFmtId="164" fontId="59" fillId="0" borderId="0" xfId="252" applyNumberFormat="1" applyFont="1" applyFill="1" applyBorder="1" applyAlignment="1">
      <alignment horizontal="center" vertical="center" wrapText="1"/>
    </xf>
    <xf numFmtId="166" fontId="54" fillId="0" borderId="0" xfId="4" applyNumberFormat="1" applyFont="1" applyFill="1" applyBorder="1" applyAlignment="1">
      <alignment horizontal="center" vertical="center"/>
    </xf>
    <xf numFmtId="164" fontId="72" fillId="0" borderId="0" xfId="0" applyNumberFormat="1" applyFont="1" applyFill="1" applyBorder="1" applyAlignment="1">
      <alignment horizontal="right" vertical="center"/>
    </xf>
    <xf numFmtId="164" fontId="80" fillId="0" borderId="0" xfId="0" applyNumberFormat="1" applyFont="1" applyFill="1" applyBorder="1" applyAlignment="1">
      <alignment horizontal="right" vertical="center"/>
    </xf>
    <xf numFmtId="0" fontId="76" fillId="0" borderId="0" xfId="0" applyFont="1" applyFill="1" applyBorder="1" applyAlignment="1">
      <alignment vertical="center" wrapText="1"/>
    </xf>
    <xf numFmtId="0" fontId="58" fillId="0" borderId="25" xfId="0" applyFont="1" applyFill="1" applyBorder="1" applyAlignment="1">
      <alignment horizontal="center" vertical="center" wrapText="1"/>
    </xf>
    <xf numFmtId="168" fontId="63" fillId="0" borderId="25" xfId="0" applyNumberFormat="1" applyFont="1" applyFill="1" applyBorder="1" applyAlignment="1">
      <alignment horizontal="center" vertical="center"/>
    </xf>
    <xf numFmtId="164" fontId="63" fillId="0" borderId="0" xfId="0" applyNumberFormat="1" applyFont="1" applyFill="1" applyBorder="1" applyAlignment="1">
      <alignment horizontal="right" vertical="center"/>
    </xf>
    <xf numFmtId="0" fontId="26" fillId="0" borderId="0" xfId="0" applyFont="1" applyFill="1" applyBorder="1" applyAlignment="1">
      <alignment vertical="center" wrapText="1"/>
    </xf>
    <xf numFmtId="167" fontId="63" fillId="0" borderId="25" xfId="0" applyNumberFormat="1" applyFont="1" applyFill="1" applyBorder="1" applyAlignment="1">
      <alignment horizontal="center" vertical="center"/>
    </xf>
    <xf numFmtId="168" fontId="63" fillId="0" borderId="0" xfId="0" applyNumberFormat="1" applyFont="1" applyFill="1" applyBorder="1" applyAlignment="1">
      <alignment horizontal="center" vertical="center"/>
    </xf>
    <xf numFmtId="0" fontId="77" fillId="0" borderId="0" xfId="0" applyFont="1" applyFill="1" applyBorder="1" applyAlignment="1">
      <alignment horizontal="center" vertical="center" wrapText="1"/>
    </xf>
    <xf numFmtId="168" fontId="72" fillId="0" borderId="0" xfId="0" applyNumberFormat="1" applyFont="1" applyFill="1" applyBorder="1" applyAlignment="1">
      <alignment horizontal="center" vertical="center"/>
    </xf>
    <xf numFmtId="164" fontId="63" fillId="0" borderId="27" xfId="0" applyNumberFormat="1" applyFont="1" applyBorder="1" applyAlignment="1">
      <alignment horizontal="right" vertical="center"/>
    </xf>
    <xf numFmtId="0" fontId="58" fillId="42" borderId="38" xfId="0" applyFont="1" applyFill="1" applyBorder="1" applyAlignment="1">
      <alignment horizontal="center" vertical="center" wrapText="1"/>
    </xf>
    <xf numFmtId="0" fontId="77" fillId="39" borderId="6" xfId="0" applyFont="1" applyFill="1" applyBorder="1" applyAlignment="1">
      <alignment horizontal="center" vertical="center" wrapText="1"/>
    </xf>
    <xf numFmtId="164" fontId="63" fillId="0" borderId="25" xfId="0" applyNumberFormat="1" applyFont="1" applyBorder="1" applyAlignment="1">
      <alignment horizontal="center" vertical="center"/>
    </xf>
    <xf numFmtId="164" fontId="63" fillId="0" borderId="5" xfId="0" applyNumberFormat="1" applyFont="1" applyBorder="1" applyAlignment="1">
      <alignment horizontal="center" vertical="center"/>
    </xf>
    <xf numFmtId="0" fontId="79" fillId="0" borderId="11" xfId="0" applyFont="1" applyBorder="1" applyAlignment="1">
      <alignment horizontal="center" vertical="top"/>
    </xf>
    <xf numFmtId="0" fontId="77" fillId="39" borderId="25" xfId="0" applyFont="1" applyFill="1" applyBorder="1" applyAlignment="1">
      <alignment horizontal="left" vertical="center"/>
    </xf>
    <xf numFmtId="0" fontId="77" fillId="39" borderId="0" xfId="0" applyFont="1" applyFill="1" applyBorder="1" applyAlignment="1">
      <alignment horizontal="center" vertical="center" wrapText="1"/>
    </xf>
    <xf numFmtId="0" fontId="77" fillId="39" borderId="25" xfId="0" applyFont="1" applyFill="1" applyBorder="1" applyAlignment="1">
      <alignment horizontal="center" vertical="center" wrapText="1"/>
    </xf>
    <xf numFmtId="0" fontId="81" fillId="0" borderId="37" xfId="0" applyFont="1" applyBorder="1" applyAlignment="1">
      <alignment vertical="center"/>
    </xf>
    <xf numFmtId="0" fontId="75" fillId="0" borderId="0" xfId="0" applyFont="1" applyFill="1" applyBorder="1" applyAlignment="1">
      <alignment vertical="center" wrapText="1"/>
    </xf>
    <xf numFmtId="0" fontId="73" fillId="0" borderId="0" xfId="0" applyFont="1" applyFill="1" applyBorder="1" applyAlignment="1">
      <alignment vertical="center" wrapText="1"/>
    </xf>
    <xf numFmtId="0" fontId="4" fillId="0" borderId="0" xfId="0" applyFont="1" applyBorder="1" applyAlignment="1">
      <alignment vertical="center"/>
    </xf>
    <xf numFmtId="0" fontId="4" fillId="35" borderId="0" xfId="0" applyFont="1" applyFill="1" applyBorder="1"/>
    <xf numFmtId="0" fontId="7" fillId="0" borderId="0" xfId="0" applyFont="1" applyBorder="1" applyAlignment="1">
      <alignment vertical="center"/>
    </xf>
    <xf numFmtId="0" fontId="91" fillId="0" borderId="32" xfId="0" applyFont="1" applyFill="1" applyBorder="1" applyAlignment="1">
      <alignment horizontal="center" vertical="center"/>
    </xf>
    <xf numFmtId="0" fontId="91" fillId="0" borderId="1" xfId="0" applyFont="1" applyFill="1" applyBorder="1" applyAlignment="1">
      <alignment vertical="center" wrapText="1"/>
    </xf>
    <xf numFmtId="184" fontId="90" fillId="0" borderId="7" xfId="14" applyNumberFormat="1" applyFont="1" applyFill="1" applyBorder="1" applyAlignment="1">
      <alignment horizontal="center" vertical="center" wrapText="1"/>
    </xf>
    <xf numFmtId="9" fontId="90" fillId="0" borderId="7" xfId="253" applyFont="1" applyFill="1" applyBorder="1" applyAlignment="1" applyProtection="1">
      <alignment horizontal="center" vertical="center"/>
    </xf>
    <xf numFmtId="164" fontId="90" fillId="0" borderId="1" xfId="4" applyNumberFormat="1" applyFont="1" applyFill="1" applyBorder="1" applyAlignment="1">
      <alignment vertical="center"/>
    </xf>
    <xf numFmtId="164" fontId="90" fillId="0" borderId="33" xfId="4" applyNumberFormat="1" applyFont="1" applyFill="1" applyBorder="1" applyAlignment="1">
      <alignment vertical="center"/>
    </xf>
    <xf numFmtId="0" fontId="90" fillId="0" borderId="0" xfId="4" applyFont="1" applyFill="1" applyAlignment="1">
      <alignment vertical="center"/>
    </xf>
    <xf numFmtId="0" fontId="90" fillId="0" borderId="0" xfId="4" applyFont="1" applyFill="1" applyBorder="1" applyAlignment="1">
      <alignment vertical="center"/>
    </xf>
    <xf numFmtId="0" fontId="90" fillId="0" borderId="0" xfId="4" applyFont="1" applyAlignment="1">
      <alignment vertical="center"/>
    </xf>
    <xf numFmtId="0" fontId="90" fillId="0" borderId="32" xfId="4" applyFont="1" applyBorder="1" applyAlignment="1">
      <alignment horizontal="left" vertical="center"/>
    </xf>
    <xf numFmtId="0" fontId="90" fillId="0" borderId="1" xfId="4" applyFont="1" applyBorder="1" applyAlignment="1">
      <alignment vertical="center"/>
    </xf>
    <xf numFmtId="10" fontId="90" fillId="0" borderId="0" xfId="253" applyNumberFormat="1" applyFont="1" applyFill="1" applyBorder="1" applyAlignment="1">
      <alignment vertical="center"/>
    </xf>
    <xf numFmtId="10" fontId="90" fillId="0" borderId="0" xfId="4" applyNumberFormat="1" applyFont="1" applyFill="1" applyBorder="1" applyAlignment="1">
      <alignment vertical="center"/>
    </xf>
    <xf numFmtId="1" fontId="90" fillId="0" borderId="32" xfId="1" applyNumberFormat="1" applyFont="1" applyFill="1" applyBorder="1" applyAlignment="1">
      <alignment horizontal="left" vertical="center"/>
    </xf>
    <xf numFmtId="0" fontId="90" fillId="0" borderId="1" xfId="252" applyFont="1" applyBorder="1" applyAlignment="1">
      <alignment vertical="center" wrapText="1"/>
    </xf>
    <xf numFmtId="10" fontId="91" fillId="0" borderId="0" xfId="3" applyNumberFormat="1" applyFont="1" applyFill="1" applyBorder="1" applyAlignment="1">
      <alignment horizontal="center" vertical="center"/>
    </xf>
    <xf numFmtId="49" fontId="90" fillId="0" borderId="32" xfId="1" quotePrefix="1" applyNumberFormat="1" applyFont="1" applyFill="1" applyBorder="1" applyAlignment="1">
      <alignment horizontal="left" vertical="center"/>
    </xf>
    <xf numFmtId="0" fontId="90" fillId="0" borderId="1" xfId="252" applyFont="1" applyFill="1" applyBorder="1" applyAlignment="1">
      <alignment vertical="center" wrapText="1"/>
    </xf>
    <xf numFmtId="0" fontId="90" fillId="0" borderId="1" xfId="252" applyFont="1" applyFill="1" applyBorder="1" applyAlignment="1">
      <alignment horizontal="left" vertical="center" wrapText="1"/>
    </xf>
    <xf numFmtId="0" fontId="90" fillId="0" borderId="1" xfId="252" applyFont="1" applyBorder="1" applyAlignment="1">
      <alignment horizontal="left" vertical="center" wrapText="1"/>
    </xf>
    <xf numFmtId="0" fontId="54" fillId="35" borderId="32" xfId="4" applyFont="1" applyFill="1" applyBorder="1" applyAlignment="1">
      <alignment horizontal="left" vertical="center" wrapText="1"/>
    </xf>
    <xf numFmtId="184" fontId="54" fillId="0" borderId="1" xfId="3" applyNumberFormat="1" applyFont="1" applyFill="1" applyBorder="1" applyAlignment="1">
      <alignment vertical="center" wrapText="1"/>
    </xf>
    <xf numFmtId="164" fontId="54" fillId="0" borderId="1" xfId="3" applyNumberFormat="1" applyFont="1" applyFill="1" applyBorder="1" applyAlignment="1">
      <alignment horizontal="center" vertical="center"/>
    </xf>
    <xf numFmtId="0" fontId="93" fillId="0" borderId="0" xfId="0" applyFont="1" applyAlignment="1">
      <alignment horizontal="justify" wrapText="1"/>
    </xf>
    <xf numFmtId="0" fontId="92" fillId="0" borderId="0" xfId="0" applyFont="1" applyAlignment="1">
      <alignment horizontal="left" wrapText="1"/>
    </xf>
    <xf numFmtId="0" fontId="94" fillId="0" borderId="0" xfId="0" applyFont="1"/>
    <xf numFmtId="0" fontId="95" fillId="43" borderId="0" xfId="0" applyFont="1" applyFill="1" applyAlignment="1">
      <alignment horizontal="justify" wrapText="1"/>
    </xf>
    <xf numFmtId="0" fontId="95" fillId="43" borderId="0" xfId="0" applyFont="1" applyFill="1" applyAlignment="1">
      <alignment horizontal="right" wrapText="1"/>
    </xf>
    <xf numFmtId="0" fontId="96" fillId="0" borderId="48" xfId="0" applyFont="1" applyBorder="1" applyAlignment="1">
      <alignment horizontal="right" vertical="top" wrapText="1"/>
    </xf>
    <xf numFmtId="0" fontId="98" fillId="0" borderId="0" xfId="0" applyFont="1" applyAlignment="1">
      <alignment horizontal="justify" wrapText="1"/>
    </xf>
    <xf numFmtId="8" fontId="96" fillId="0" borderId="48" xfId="0" applyNumberFormat="1" applyFont="1" applyBorder="1" applyAlignment="1">
      <alignment horizontal="right" vertical="top" wrapText="1"/>
    </xf>
    <xf numFmtId="8" fontId="96" fillId="0" borderId="0" xfId="0" applyNumberFormat="1" applyFont="1" applyBorder="1" applyAlignment="1">
      <alignment horizontal="right" vertical="top" wrapText="1"/>
    </xf>
    <xf numFmtId="0" fontId="96" fillId="0" borderId="48" xfId="0" applyFont="1" applyBorder="1" applyAlignment="1">
      <alignment vertical="top" wrapText="1"/>
    </xf>
    <xf numFmtId="0" fontId="94" fillId="0" borderId="0" xfId="0" applyFont="1" applyAlignment="1"/>
    <xf numFmtId="0" fontId="98" fillId="0" borderId="0" xfId="0" applyFont="1" applyAlignment="1">
      <alignment wrapText="1"/>
    </xf>
    <xf numFmtId="0" fontId="92" fillId="0" borderId="0" xfId="0" applyFont="1" applyAlignment="1">
      <alignment wrapText="1"/>
    </xf>
    <xf numFmtId="0" fontId="95" fillId="43" borderId="0" xfId="0" applyFont="1" applyFill="1" applyAlignment="1">
      <alignment wrapText="1"/>
    </xf>
    <xf numFmtId="0" fontId="96" fillId="0" borderId="50" xfId="0" applyFont="1" applyBorder="1" applyAlignment="1">
      <alignment vertical="top" wrapText="1"/>
    </xf>
    <xf numFmtId="0" fontId="96" fillId="0" borderId="51" xfId="0" applyFont="1" applyBorder="1" applyAlignment="1">
      <alignment vertical="top" wrapText="1"/>
    </xf>
    <xf numFmtId="0" fontId="96" fillId="0" borderId="52" xfId="0" applyFont="1" applyBorder="1" applyAlignment="1">
      <alignment vertical="top" wrapText="1"/>
    </xf>
    <xf numFmtId="0" fontId="96" fillId="0" borderId="0" xfId="0" applyFont="1" applyBorder="1" applyAlignment="1">
      <alignment vertical="top" wrapText="1"/>
    </xf>
    <xf numFmtId="164" fontId="54" fillId="0" borderId="0" xfId="4" applyNumberFormat="1" applyFont="1" applyAlignment="1">
      <alignment horizontal="right" vertical="center"/>
    </xf>
    <xf numFmtId="164" fontId="55" fillId="0" borderId="0" xfId="4" applyNumberFormat="1" applyFont="1" applyAlignment="1">
      <alignment horizontal="right" vertical="center"/>
    </xf>
    <xf numFmtId="164" fontId="54" fillId="0" borderId="0" xfId="2" applyNumberFormat="1" applyFont="1" applyBorder="1" applyAlignment="1">
      <alignment horizontal="right" vertical="center" wrapText="1"/>
    </xf>
    <xf numFmtId="164" fontId="54" fillId="0" borderId="0" xfId="4" applyNumberFormat="1" applyFont="1" applyBorder="1" applyAlignment="1">
      <alignment horizontal="right" vertical="center"/>
    </xf>
    <xf numFmtId="164" fontId="57" fillId="36" borderId="42" xfId="2" applyNumberFormat="1" applyFont="1" applyFill="1" applyBorder="1" applyAlignment="1">
      <alignment horizontal="right" vertical="center" wrapText="1"/>
    </xf>
    <xf numFmtId="164" fontId="67" fillId="0" borderId="7" xfId="193" applyNumberFormat="1" applyFont="1" applyFill="1" applyBorder="1" applyAlignment="1" applyProtection="1">
      <alignment horizontal="right" vertical="center"/>
    </xf>
    <xf numFmtId="164" fontId="56" fillId="0" borderId="1" xfId="252" applyNumberFormat="1" applyFont="1" applyFill="1" applyBorder="1" applyAlignment="1">
      <alignment horizontal="right" vertical="center" wrapText="1"/>
    </xf>
    <xf numFmtId="164" fontId="1" fillId="0" borderId="1" xfId="252" applyNumberFormat="1" applyFont="1" applyFill="1" applyBorder="1" applyAlignment="1">
      <alignment horizontal="right" vertical="center" wrapText="1"/>
    </xf>
    <xf numFmtId="164" fontId="54" fillId="0" borderId="1" xfId="193" applyNumberFormat="1" applyFont="1" applyFill="1" applyBorder="1" applyAlignment="1" applyProtection="1">
      <alignment horizontal="right" vertical="center"/>
    </xf>
    <xf numFmtId="164" fontId="59" fillId="41" borderId="2" xfId="252" applyNumberFormat="1" applyFont="1" applyFill="1" applyBorder="1" applyAlignment="1">
      <alignment horizontal="right" vertical="center" wrapText="1"/>
    </xf>
    <xf numFmtId="164" fontId="21" fillId="0" borderId="1" xfId="193" applyNumberFormat="1" applyFont="1" applyFill="1" applyBorder="1" applyAlignment="1" applyProtection="1">
      <alignment horizontal="right" vertical="center"/>
    </xf>
    <xf numFmtId="164" fontId="63" fillId="0" borderId="1" xfId="193" applyNumberFormat="1" applyFont="1" applyFill="1" applyBorder="1" applyAlignment="1" applyProtection="1">
      <alignment horizontal="right" vertical="center"/>
    </xf>
    <xf numFmtId="164" fontId="91" fillId="0" borderId="1" xfId="193" applyNumberFormat="1" applyFont="1" applyFill="1" applyBorder="1" applyAlignment="1" applyProtection="1">
      <alignment horizontal="right" vertical="center"/>
    </xf>
    <xf numFmtId="164" fontId="54" fillId="0" borderId="1" xfId="252" applyNumberFormat="1" applyFont="1" applyFill="1" applyBorder="1" applyAlignment="1">
      <alignment horizontal="right" vertical="center" wrapText="1"/>
    </xf>
    <xf numFmtId="164" fontId="59" fillId="0" borderId="1" xfId="252" applyNumberFormat="1" applyFont="1" applyFill="1" applyBorder="1" applyAlignment="1">
      <alignment horizontal="right" vertical="center" wrapText="1"/>
    </xf>
    <xf numFmtId="164" fontId="54" fillId="35" borderId="1" xfId="252" applyNumberFormat="1" applyFont="1" applyFill="1" applyBorder="1" applyAlignment="1">
      <alignment horizontal="right" vertical="center" wrapText="1"/>
    </xf>
    <xf numFmtId="164" fontId="90" fillId="0" borderId="1" xfId="252" applyNumberFormat="1" applyFont="1" applyFill="1" applyBorder="1" applyAlignment="1">
      <alignment horizontal="right" vertical="center" wrapText="1"/>
    </xf>
    <xf numFmtId="164" fontId="54" fillId="0" borderId="1" xfId="252" applyNumberFormat="1" applyFont="1" applyBorder="1" applyAlignment="1">
      <alignment horizontal="right" vertical="center" wrapText="1"/>
    </xf>
    <xf numFmtId="164" fontId="54" fillId="41" borderId="2" xfId="4" applyNumberFormat="1" applyFont="1" applyFill="1" applyBorder="1" applyAlignment="1">
      <alignment horizontal="right" vertical="center"/>
    </xf>
    <xf numFmtId="164" fontId="54" fillId="0" borderId="35" xfId="252" applyNumberFormat="1" applyFont="1" applyFill="1" applyBorder="1" applyAlignment="1">
      <alignment horizontal="right" vertical="center" wrapText="1"/>
    </xf>
    <xf numFmtId="164" fontId="54" fillId="0" borderId="0" xfId="252" applyNumberFormat="1" applyFont="1" applyFill="1" applyBorder="1" applyAlignment="1">
      <alignment horizontal="right" vertical="center" wrapText="1"/>
    </xf>
    <xf numFmtId="0" fontId="54" fillId="0" borderId="0" xfId="4" applyFont="1" applyBorder="1" applyAlignment="1">
      <alignment horizontal="right" vertical="center"/>
    </xf>
    <xf numFmtId="0" fontId="53" fillId="0" borderId="0" xfId="3" applyFont="1" applyFill="1" applyBorder="1" applyAlignment="1">
      <alignment horizontal="right" vertical="center" wrapText="1"/>
    </xf>
    <xf numFmtId="164" fontId="54" fillId="0" borderId="0" xfId="4" applyNumberFormat="1" applyFont="1" applyFill="1" applyBorder="1" applyAlignment="1">
      <alignment horizontal="right" vertical="center"/>
    </xf>
    <xf numFmtId="164" fontId="59" fillId="35" borderId="0" xfId="252" applyNumberFormat="1" applyFont="1" applyFill="1" applyBorder="1" applyAlignment="1">
      <alignment horizontal="right" vertical="center" wrapText="1"/>
    </xf>
    <xf numFmtId="0" fontId="54" fillId="0" borderId="0" xfId="4" applyFont="1" applyFill="1" applyBorder="1" applyAlignment="1">
      <alignment horizontal="right" vertical="center"/>
    </xf>
    <xf numFmtId="164" fontId="59" fillId="0" borderId="0" xfId="252" applyNumberFormat="1" applyFont="1" applyFill="1" applyBorder="1" applyAlignment="1">
      <alignment horizontal="right" vertical="center" wrapText="1"/>
    </xf>
    <xf numFmtId="166" fontId="54" fillId="0" borderId="0" xfId="4" applyNumberFormat="1" applyFont="1" applyFill="1" applyBorder="1" applyAlignment="1">
      <alignment horizontal="right" vertical="center"/>
    </xf>
    <xf numFmtId="0" fontId="58" fillId="42" borderId="38" xfId="0" applyFont="1" applyFill="1" applyBorder="1" applyAlignment="1">
      <alignment horizontal="right" vertical="center" wrapText="1"/>
    </xf>
    <xf numFmtId="168" fontId="63" fillId="0" borderId="28" xfId="0" applyNumberFormat="1" applyFont="1" applyFill="1" applyBorder="1" applyAlignment="1">
      <alignment horizontal="right" vertical="center"/>
    </xf>
    <xf numFmtId="168" fontId="63" fillId="0" borderId="40" xfId="0" applyNumberFormat="1" applyFont="1" applyFill="1" applyBorder="1" applyAlignment="1">
      <alignment horizontal="right" vertical="center"/>
    </xf>
    <xf numFmtId="0" fontId="58" fillId="42" borderId="28" xfId="0" applyFont="1" applyFill="1" applyBorder="1" applyAlignment="1">
      <alignment horizontal="right" vertical="center" wrapText="1"/>
    </xf>
    <xf numFmtId="167" fontId="63" fillId="0" borderId="28" xfId="0" applyNumberFormat="1" applyFont="1" applyFill="1" applyBorder="1" applyAlignment="1">
      <alignment horizontal="right" vertical="center"/>
    </xf>
    <xf numFmtId="167" fontId="63" fillId="0" borderId="40" xfId="0" applyNumberFormat="1" applyFont="1" applyFill="1" applyBorder="1" applyAlignment="1">
      <alignment horizontal="right" vertical="center"/>
    </xf>
    <xf numFmtId="168" fontId="63" fillId="0" borderId="27" xfId="0" applyNumberFormat="1" applyFont="1" applyFill="1" applyBorder="1" applyAlignment="1">
      <alignment horizontal="right" vertical="center"/>
    </xf>
    <xf numFmtId="0" fontId="81" fillId="0" borderId="11" xfId="0" applyFont="1" applyBorder="1" applyAlignment="1">
      <alignment horizontal="right" vertical="center"/>
    </xf>
    <xf numFmtId="0" fontId="77" fillId="39" borderId="22" xfId="0" applyFont="1" applyFill="1" applyBorder="1" applyAlignment="1">
      <alignment horizontal="right" vertical="center" wrapText="1"/>
    </xf>
    <xf numFmtId="164" fontId="63" fillId="0" borderId="6" xfId="0" applyNumberFormat="1" applyFont="1" applyFill="1" applyBorder="1" applyAlignment="1">
      <alignment horizontal="right" vertical="center"/>
    </xf>
    <xf numFmtId="164" fontId="63" fillId="0" borderId="41" xfId="0" applyNumberFormat="1" applyFont="1" applyFill="1" applyBorder="1" applyAlignment="1">
      <alignment horizontal="right" vertical="center"/>
    </xf>
    <xf numFmtId="168" fontId="63" fillId="0" borderId="11" xfId="0" applyNumberFormat="1" applyFont="1" applyFill="1" applyBorder="1" applyAlignment="1">
      <alignment horizontal="right" vertical="center"/>
    </xf>
    <xf numFmtId="0" fontId="81" fillId="0" borderId="27" xfId="0" applyFont="1" applyBorder="1" applyAlignment="1">
      <alignment horizontal="right" vertical="center"/>
    </xf>
    <xf numFmtId="0" fontId="77" fillId="39" borderId="6" xfId="0" applyFont="1" applyFill="1" applyBorder="1" applyAlignment="1">
      <alignment horizontal="right" vertical="center" wrapText="1"/>
    </xf>
    <xf numFmtId="168" fontId="72" fillId="0" borderId="11" xfId="0" applyNumberFormat="1" applyFont="1" applyFill="1" applyBorder="1" applyAlignment="1">
      <alignment horizontal="right" vertical="center"/>
    </xf>
    <xf numFmtId="0" fontId="0" fillId="0" borderId="0" xfId="0" applyAlignment="1">
      <alignment horizontal="right"/>
    </xf>
    <xf numFmtId="0" fontId="94" fillId="0" borderId="0" xfId="0" applyFont="1" applyAlignment="1">
      <alignment horizontal="right"/>
    </xf>
    <xf numFmtId="0" fontId="0" fillId="0" borderId="0" xfId="0" applyFont="1"/>
    <xf numFmtId="0" fontId="0" fillId="0" borderId="0" xfId="0" applyFont="1" applyAlignment="1">
      <alignment horizontal="center"/>
    </xf>
    <xf numFmtId="0" fontId="85" fillId="0" borderId="0" xfId="0" applyFont="1" applyFill="1" applyAlignment="1"/>
    <xf numFmtId="0" fontId="99" fillId="0" borderId="0" xfId="0" applyFont="1" applyAlignment="1"/>
    <xf numFmtId="166" fontId="8" fillId="0" borderId="0" xfId="2" applyNumberFormat="1" applyFont="1" applyFill="1" applyBorder="1" applyAlignment="1">
      <alignment horizontal="center" wrapText="1"/>
    </xf>
    <xf numFmtId="0" fontId="0" fillId="0" borderId="0" xfId="0" applyFill="1" applyBorder="1" applyAlignment="1">
      <alignment horizontal="center" wrapText="1"/>
    </xf>
    <xf numFmtId="0" fontId="95" fillId="43" borderId="49" xfId="0" applyFont="1" applyFill="1" applyBorder="1" applyAlignment="1">
      <alignment wrapText="1"/>
    </xf>
    <xf numFmtId="0" fontId="95" fillId="43" borderId="0" xfId="0" applyFont="1" applyFill="1" applyAlignment="1">
      <alignment wrapText="1"/>
    </xf>
    <xf numFmtId="0" fontId="92" fillId="0" borderId="0" xfId="0" applyFont="1" applyAlignment="1">
      <alignment wrapText="1"/>
    </xf>
    <xf numFmtId="0" fontId="96" fillId="0" borderId="50" xfId="0" applyFont="1" applyBorder="1" applyAlignment="1">
      <alignment vertical="top" wrapText="1"/>
    </xf>
    <xf numFmtId="0" fontId="96" fillId="0" borderId="51" xfId="0" applyFont="1" applyBorder="1" applyAlignment="1">
      <alignment vertical="top" wrapText="1"/>
    </xf>
    <xf numFmtId="0" fontId="96" fillId="0" borderId="52" xfId="0" applyFont="1" applyBorder="1" applyAlignment="1">
      <alignment vertical="top" wrapText="1"/>
    </xf>
    <xf numFmtId="8" fontId="96" fillId="0" borderId="50" xfId="0" applyNumberFormat="1" applyFont="1" applyBorder="1" applyAlignment="1">
      <alignment horizontal="right" vertical="top" wrapText="1"/>
    </xf>
    <xf numFmtId="8" fontId="96" fillId="0" borderId="51" xfId="0" applyNumberFormat="1" applyFont="1" applyBorder="1" applyAlignment="1">
      <alignment horizontal="right" vertical="top" wrapText="1"/>
    </xf>
    <xf numFmtId="8" fontId="96" fillId="0" borderId="52" xfId="0" applyNumberFormat="1" applyFont="1" applyBorder="1" applyAlignment="1">
      <alignment horizontal="right" vertical="top" wrapText="1"/>
    </xf>
    <xf numFmtId="0" fontId="95" fillId="43" borderId="54" xfId="0" applyFont="1" applyFill="1" applyBorder="1" applyAlignment="1">
      <alignment wrapText="1"/>
    </xf>
    <xf numFmtId="0" fontId="95" fillId="43" borderId="53" xfId="0" applyFont="1" applyFill="1" applyBorder="1" applyAlignment="1">
      <alignment wrapText="1"/>
    </xf>
    <xf numFmtId="0" fontId="26" fillId="39" borderId="45" xfId="0" applyFont="1" applyFill="1" applyBorder="1" applyAlignment="1">
      <alignment horizontal="center" vertical="center" wrapText="1"/>
    </xf>
    <xf numFmtId="0" fontId="26" fillId="39" borderId="46" xfId="0" applyFont="1" applyFill="1" applyBorder="1" applyAlignment="1">
      <alignment horizontal="center" vertical="center" wrapText="1"/>
    </xf>
    <xf numFmtId="0" fontId="26" fillId="39" borderId="47" xfId="0" applyFont="1" applyFill="1" applyBorder="1" applyAlignment="1">
      <alignment horizontal="center" vertical="center" wrapText="1"/>
    </xf>
    <xf numFmtId="0" fontId="53" fillId="37" borderId="37" xfId="3" applyFont="1" applyFill="1" applyBorder="1" applyAlignment="1">
      <alignment horizontal="center" vertical="center" wrapText="1"/>
    </xf>
    <xf numFmtId="0" fontId="53" fillId="37" borderId="11" xfId="3" applyFont="1" applyFill="1" applyBorder="1" applyAlignment="1">
      <alignment horizontal="center" vertical="center" wrapText="1"/>
    </xf>
    <xf numFmtId="0" fontId="92" fillId="0" borderId="0" xfId="0" applyFont="1" applyAlignment="1">
      <alignment horizontal="center" wrapText="1"/>
    </xf>
    <xf numFmtId="0" fontId="85" fillId="36" borderId="0" xfId="0" applyFont="1" applyFill="1" applyAlignment="1">
      <alignment horizontal="center"/>
    </xf>
    <xf numFmtId="0" fontId="73" fillId="0" borderId="0"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26" fillId="39" borderId="37" xfId="0" applyFont="1" applyFill="1" applyBorder="1" applyAlignment="1">
      <alignment horizontal="center" vertical="center" wrapText="1"/>
    </xf>
    <xf numFmtId="0" fontId="26" fillId="39" borderId="11" xfId="0" applyFont="1" applyFill="1" applyBorder="1" applyAlignment="1">
      <alignment horizontal="center" vertical="center" wrapText="1"/>
    </xf>
    <xf numFmtId="0" fontId="26" fillId="39" borderId="27" xfId="0" applyFont="1" applyFill="1" applyBorder="1" applyAlignment="1">
      <alignment horizontal="center" vertical="center" wrapText="1"/>
    </xf>
    <xf numFmtId="0" fontId="53" fillId="37" borderId="25" xfId="3" applyFont="1" applyFill="1" applyBorder="1" applyAlignment="1">
      <alignment horizontal="center" vertical="center" wrapText="1"/>
    </xf>
    <xf numFmtId="0" fontId="53" fillId="37" borderId="0" xfId="3" applyFont="1" applyFill="1" applyBorder="1" applyAlignment="1">
      <alignment horizontal="center" vertical="center" wrapText="1"/>
    </xf>
    <xf numFmtId="0" fontId="53" fillId="37" borderId="5" xfId="3" applyFont="1" applyFill="1" applyBorder="1" applyAlignment="1">
      <alignment horizontal="center" vertical="center" wrapText="1"/>
    </xf>
    <xf numFmtId="0" fontId="53" fillId="37" borderId="26" xfId="3" applyFont="1" applyFill="1" applyBorder="1" applyAlignment="1">
      <alignment horizontal="center" vertical="center" wrapText="1"/>
    </xf>
    <xf numFmtId="0" fontId="53" fillId="37" borderId="23" xfId="3" applyFont="1" applyFill="1" applyBorder="1" applyAlignment="1">
      <alignment horizontal="center" vertical="center" wrapText="1"/>
    </xf>
    <xf numFmtId="0" fontId="53" fillId="37" borderId="24" xfId="3" applyFont="1" applyFill="1" applyBorder="1" applyAlignment="1">
      <alignment horizontal="center" vertical="center" wrapText="1"/>
    </xf>
  </cellXfs>
  <cellStyles count="257">
    <cellStyle name="_DSF Sheets for Donna3-26" xfId="5"/>
    <cellStyle name="_KIP Fujitsu Product Codes no dupes" xfId="6"/>
    <cellStyle name="_KIP Fujitsu Product Codes no dupes 2" xfId="7"/>
    <cellStyle name="_print_board_solutions" xfId="8"/>
    <cellStyle name="_print_board_solutions 2" xfId="9"/>
    <cellStyle name="_Printer Product Codes" xfId="10"/>
    <cellStyle name="_Printer Product Codes 2" xfId="11"/>
    <cellStyle name="_Solutions Master Apr1509" xfId="12"/>
    <cellStyle name="_Solutions Master Apr1509 2" xfId="13"/>
    <cellStyle name="=C:\WINDOWS\SYSTEM32\COMMAND.COM" xfId="3"/>
    <cellStyle name="=C:\WINDOWS\SYSTEM32\COMMAND.COM 2" xfId="14"/>
    <cellStyle name="=C:\WINDOWS\SYSTEM32\COMMAND.COM 2 2" xfId="15"/>
    <cellStyle name="=C:\WINDOWS\SYSTEM32\COMMAND.COM 3" xfId="16"/>
    <cellStyle name="=C:\WINDOWS\SYSTEM32\COMMAND.COM 3 2" xfId="17"/>
    <cellStyle name="=C:\WINDOWS\SYSTEM32\COMMAND.COM 4" xfId="18"/>
    <cellStyle name="=C:\WINDOWS\SYSTEM32\COMMAND.COM 5" xfId="19"/>
    <cellStyle name="=C:\WINDOWS\SYSTEM32\COMMAND.COM 6" xfId="20"/>
    <cellStyle name="=C:\WINDOWS\SYSTEM32\COMMAND.COM_print_board_solutions" xfId="21"/>
    <cellStyle name="20% - Accent1 2" xfId="22"/>
    <cellStyle name="20% - Accent1 3" xfId="23"/>
    <cellStyle name="20% - Accent2 2" xfId="24"/>
    <cellStyle name="20% - Accent2 3" xfId="25"/>
    <cellStyle name="20% - Accent3 2" xfId="26"/>
    <cellStyle name="20% - Accent3 3" xfId="27"/>
    <cellStyle name="20% - Accent4 2" xfId="28"/>
    <cellStyle name="20% - Accent4 3" xfId="29"/>
    <cellStyle name="20% - Accent5 2" xfId="30"/>
    <cellStyle name="20% - Accent5 3" xfId="31"/>
    <cellStyle name="20% - Accent6 2" xfId="32"/>
    <cellStyle name="20% - Accent6 3" xfId="33"/>
    <cellStyle name="40% - Accent1 2" xfId="34"/>
    <cellStyle name="40% - Accent1 3" xfId="35"/>
    <cellStyle name="40% - Accent2 2" xfId="36"/>
    <cellStyle name="40% - Accent2 3" xfId="37"/>
    <cellStyle name="40% - Accent3 2" xfId="38"/>
    <cellStyle name="40% - Accent3 3" xfId="39"/>
    <cellStyle name="40% - Accent4 2" xfId="40"/>
    <cellStyle name="40% - Accent4 3" xfId="41"/>
    <cellStyle name="40% - Accent5 2" xfId="42"/>
    <cellStyle name="40% - Accent5 3" xfId="43"/>
    <cellStyle name="40% - Accent6 2" xfId="44"/>
    <cellStyle name="40% - Accent6 3" xfId="45"/>
    <cellStyle name="60% - Accent1 2" xfId="46"/>
    <cellStyle name="60% - Accent1 3" xfId="47"/>
    <cellStyle name="60% - Accent2 2" xfId="48"/>
    <cellStyle name="60% - Accent2 3" xfId="49"/>
    <cellStyle name="60% - Accent3 2" xfId="50"/>
    <cellStyle name="60% - Accent3 3" xfId="51"/>
    <cellStyle name="60% - Accent4 2" xfId="52"/>
    <cellStyle name="60% - Accent4 3" xfId="53"/>
    <cellStyle name="60% - Accent5 2" xfId="54"/>
    <cellStyle name="60% - Accent5 3" xfId="55"/>
    <cellStyle name="60% - Accent6 2" xfId="56"/>
    <cellStyle name="60% - Accent6 3" xfId="57"/>
    <cellStyle name="Accent1 2" xfId="58"/>
    <cellStyle name="Accent1 3" xfId="59"/>
    <cellStyle name="Accent2 2" xfId="60"/>
    <cellStyle name="Accent2 3" xfId="61"/>
    <cellStyle name="Accent3 2" xfId="62"/>
    <cellStyle name="Accent3 3" xfId="63"/>
    <cellStyle name="Accent4 2" xfId="64"/>
    <cellStyle name="Accent4 3" xfId="65"/>
    <cellStyle name="Accent5 2" xfId="66"/>
    <cellStyle name="Accent5 3" xfId="67"/>
    <cellStyle name="Accent6 2" xfId="68"/>
    <cellStyle name="Accent6 3" xfId="69"/>
    <cellStyle name="Bad 2" xfId="70"/>
    <cellStyle name="Bad 3" xfId="71"/>
    <cellStyle name="Calc Currency (0)" xfId="72"/>
    <cellStyle name="Calculation 2" xfId="73"/>
    <cellStyle name="Calculation 3" xfId="74"/>
    <cellStyle name="Check Cell 2" xfId="75"/>
    <cellStyle name="Check Cell 3" xfId="76"/>
    <cellStyle name="Comma [0] 2" xfId="77"/>
    <cellStyle name="Comma [0] 3" xfId="78"/>
    <cellStyle name="Comma [0] 3 2" xfId="79"/>
    <cellStyle name="Comma [0] 4" xfId="80"/>
    <cellStyle name="Comma [0]_Service Price Tulip Sept1608" xfId="256"/>
    <cellStyle name="Comma 10" xfId="81"/>
    <cellStyle name="Comma 11" xfId="82"/>
    <cellStyle name="Comma 12" xfId="83"/>
    <cellStyle name="Comma 13" xfId="84"/>
    <cellStyle name="Comma 14" xfId="85"/>
    <cellStyle name="Comma 15" xfId="86"/>
    <cellStyle name="Comma 16" xfId="87"/>
    <cellStyle name="Comma 17" xfId="88"/>
    <cellStyle name="Comma 18" xfId="89"/>
    <cellStyle name="Comma 19" xfId="90"/>
    <cellStyle name="Comma 2" xfId="91"/>
    <cellStyle name="Comma 20" xfId="92"/>
    <cellStyle name="Comma 21" xfId="93"/>
    <cellStyle name="Comma 22" xfId="94"/>
    <cellStyle name="Comma 23" xfId="95"/>
    <cellStyle name="Comma 24" xfId="96"/>
    <cellStyle name="Comma 25" xfId="97"/>
    <cellStyle name="Comma 26" xfId="98"/>
    <cellStyle name="Comma 27" xfId="99"/>
    <cellStyle name="Comma 28" xfId="100"/>
    <cellStyle name="Comma 29" xfId="101"/>
    <cellStyle name="Comma 3" xfId="102"/>
    <cellStyle name="Comma 30" xfId="103"/>
    <cellStyle name="Comma 31" xfId="104"/>
    <cellStyle name="Comma 32" xfId="105"/>
    <cellStyle name="Comma 33" xfId="106"/>
    <cellStyle name="Comma 34" xfId="107"/>
    <cellStyle name="Comma 35" xfId="108"/>
    <cellStyle name="Comma 36" xfId="109"/>
    <cellStyle name="Comma 37" xfId="110"/>
    <cellStyle name="Comma 38" xfId="111"/>
    <cellStyle name="Comma 39" xfId="112"/>
    <cellStyle name="Comma 4" xfId="113"/>
    <cellStyle name="Comma 4 2" xfId="114"/>
    <cellStyle name="Comma 40" xfId="115"/>
    <cellStyle name="Comma 40 2" xfId="116"/>
    <cellStyle name="Comma 41" xfId="117"/>
    <cellStyle name="Comma 41 2" xfId="118"/>
    <cellStyle name="Comma 42" xfId="119"/>
    <cellStyle name="Comma 5" xfId="120"/>
    <cellStyle name="Comma 5 2" xfId="121"/>
    <cellStyle name="Comma 6" xfId="122"/>
    <cellStyle name="Comma 6 2" xfId="123"/>
    <cellStyle name="Comma 7" xfId="124"/>
    <cellStyle name="Comma 8" xfId="125"/>
    <cellStyle name="Comma 9" xfId="126"/>
    <cellStyle name="Currency 2" xfId="127"/>
    <cellStyle name="Currency 2 2" xfId="128"/>
    <cellStyle name="Currency 3" xfId="129"/>
    <cellStyle name="Currency 3 2" xfId="130"/>
    <cellStyle name="Currency 4" xfId="131"/>
    <cellStyle name="Currency 5" xfId="132"/>
    <cellStyle name="Currency 5 2" xfId="133"/>
    <cellStyle name="Currency 6" xfId="134"/>
    <cellStyle name="Currency 6 2" xfId="135"/>
    <cellStyle name="Currency 7" xfId="136"/>
    <cellStyle name="Euro" xfId="137"/>
    <cellStyle name="Explanatory Text 2" xfId="138"/>
    <cellStyle name="Explanatory Text 3" xfId="139"/>
    <cellStyle name="Good 2" xfId="140"/>
    <cellStyle name="Good 3" xfId="141"/>
    <cellStyle name="Header1" xfId="142"/>
    <cellStyle name="Header2" xfId="143"/>
    <cellStyle name="Heading 1 2" xfId="144"/>
    <cellStyle name="Heading 1 3" xfId="145"/>
    <cellStyle name="Heading 2 2" xfId="146"/>
    <cellStyle name="Heading 2 3" xfId="147"/>
    <cellStyle name="Heading 3 2" xfId="148"/>
    <cellStyle name="Heading 3 3" xfId="149"/>
    <cellStyle name="Heading 4 2" xfId="150"/>
    <cellStyle name="Heading 4 3" xfId="151"/>
    <cellStyle name="Hyperlink 2" xfId="152"/>
    <cellStyle name="Input 2" xfId="153"/>
    <cellStyle name="Input 3" xfId="154"/>
    <cellStyle name="Linked Cell 2" xfId="155"/>
    <cellStyle name="Linked Cell 3" xfId="156"/>
    <cellStyle name="Millares [0]_laroux" xfId="157"/>
    <cellStyle name="Millares_laroux" xfId="158"/>
    <cellStyle name="Moneda [0]_laroux" xfId="159"/>
    <cellStyle name="Moneda_laroux" xfId="160"/>
    <cellStyle name="Neutral 2" xfId="161"/>
    <cellStyle name="Neutral 3" xfId="162"/>
    <cellStyle name="Normal" xfId="0" builtinId="0"/>
    <cellStyle name="Normal 2" xfId="4"/>
    <cellStyle name="Normal 2 10" xfId="163"/>
    <cellStyle name="Normal 2 2" xfId="164"/>
    <cellStyle name="Normal 2 3" xfId="165"/>
    <cellStyle name="Normal 2 4" xfId="166"/>
    <cellStyle name="Normal 2 5" xfId="167"/>
    <cellStyle name="Normal 2 6" xfId="168"/>
    <cellStyle name="Normal 2 7" xfId="169"/>
    <cellStyle name="Normal 2 8" xfId="170"/>
    <cellStyle name="Normal 2 9" xfId="171"/>
    <cellStyle name="Normal 3" xfId="172"/>
    <cellStyle name="Normal 3 2" xfId="173"/>
    <cellStyle name="Normal 3 3" xfId="174"/>
    <cellStyle name="Normal 3 4" xfId="175"/>
    <cellStyle name="Normal 31" xfId="254"/>
    <cellStyle name="Normal 4" xfId="176"/>
    <cellStyle name="Normal 4 2" xfId="177"/>
    <cellStyle name="Normal 4 3" xfId="178"/>
    <cellStyle name="Normal 5" xfId="179"/>
    <cellStyle name="Normal 6" xfId="180"/>
    <cellStyle name="Normal 6 2" xfId="181"/>
    <cellStyle name="Normal 6 2 2" xfId="182"/>
    <cellStyle name="Normal 6 3" xfId="183"/>
    <cellStyle name="Normal 7" xfId="184"/>
    <cellStyle name="Normal 7 2" xfId="185"/>
    <cellStyle name="Normal 8" xfId="186"/>
    <cellStyle name="Normal 9" xfId="187"/>
    <cellStyle name="Normal Center" xfId="188"/>
    <cellStyle name="Normal_CLR Service Summary Dec2105_Direct Service Pricing Jan2507" xfId="255"/>
    <cellStyle name="Normal_Di551 Price Idea" xfId="1"/>
    <cellStyle name="Normal_Price Page Template" xfId="2"/>
    <cellStyle name="Normal_Price Page Template 2" xfId="252"/>
    <cellStyle name="Note 2" xfId="189"/>
    <cellStyle name="Note 3" xfId="190"/>
    <cellStyle name="Output 2" xfId="191"/>
    <cellStyle name="Output 3" xfId="192"/>
    <cellStyle name="Percent" xfId="253" builtinId="5"/>
    <cellStyle name="Percent 2" xfId="193"/>
    <cellStyle name="Percent 2 2" xfId="194"/>
    <cellStyle name="Percent 3" xfId="195"/>
    <cellStyle name="Percent 3 2" xfId="196"/>
    <cellStyle name="Percent 4" xfId="197"/>
    <cellStyle name="SAPBEXaggData" xfId="198"/>
    <cellStyle name="SAPBEXaggDataEmph" xfId="199"/>
    <cellStyle name="SAPBEXaggItem" xfId="200"/>
    <cellStyle name="SAPBEXchaText" xfId="201"/>
    <cellStyle name="SAPBEXchaText 2" xfId="202"/>
    <cellStyle name="SAPBEXexcBad7" xfId="203"/>
    <cellStyle name="SAPBEXexcBad8" xfId="204"/>
    <cellStyle name="SAPBEXexcBad9" xfId="205"/>
    <cellStyle name="SAPBEXexcCritical4" xfId="206"/>
    <cellStyle name="SAPBEXexcCritical5" xfId="207"/>
    <cellStyle name="SAPBEXexcCritical6" xfId="208"/>
    <cellStyle name="SAPBEXexcGood1" xfId="209"/>
    <cellStyle name="SAPBEXexcGood2" xfId="210"/>
    <cellStyle name="SAPBEXexcGood3" xfId="211"/>
    <cellStyle name="SAPBEXfilterDrill" xfId="212"/>
    <cellStyle name="SAPBEXfilterItem" xfId="213"/>
    <cellStyle name="SAPBEXfilterText" xfId="214"/>
    <cellStyle name="SAPBEXformats" xfId="215"/>
    <cellStyle name="SAPBEXheaderItem" xfId="216"/>
    <cellStyle name="SAPBEXheaderText" xfId="217"/>
    <cellStyle name="SAPBEXheaderText 2" xfId="218"/>
    <cellStyle name="SAPBEXresData" xfId="219"/>
    <cellStyle name="SAPBEXresDataEmph" xfId="220"/>
    <cellStyle name="SAPBEXresItem" xfId="221"/>
    <cellStyle name="SAPBEXstdData" xfId="222"/>
    <cellStyle name="SAPBEXstdData 2" xfId="223"/>
    <cellStyle name="SAPBEXstdDataEmph" xfId="224"/>
    <cellStyle name="SAPBEXstdItem" xfId="225"/>
    <cellStyle name="SAPBEXstdItem 2" xfId="226"/>
    <cellStyle name="SAPBEXtitle" xfId="227"/>
    <cellStyle name="SAPBEXundefined" xfId="228"/>
    <cellStyle name="Style 1" xfId="229"/>
    <cellStyle name="Style 1 2" xfId="230"/>
    <cellStyle name="Title 2" xfId="231"/>
    <cellStyle name="Title 3" xfId="232"/>
    <cellStyle name="Total 2" xfId="233"/>
    <cellStyle name="Total 3" xfId="234"/>
    <cellStyle name="Tusental (0)_laroux" xfId="235"/>
    <cellStyle name="Tusental_laroux" xfId="236"/>
    <cellStyle name="Valuta (0)_laroux" xfId="237"/>
    <cellStyle name="Valuta_laroux" xfId="238"/>
    <cellStyle name="Warning Text 2" xfId="239"/>
    <cellStyle name="Warning Text 3" xfId="240"/>
    <cellStyle name="まる" xfId="241"/>
    <cellStyle name="小数点以下2桁" xfId="242"/>
    <cellStyle name="桁区切り [0.00]_iR8070s" xfId="243"/>
    <cellStyle name="桁区切り_KBT mainteance price" xfId="244"/>
    <cellStyle name="標準_~9463457" xfId="245"/>
    <cellStyle name="標準中央揃え" xfId="246"/>
    <cellStyle name="英語版" xfId="247"/>
    <cellStyle name="通貨 [0.00]_010102 Master Price list" xfId="248"/>
    <cellStyle name="通貨$" xfId="249"/>
    <cellStyle name="通貨\" xfId="250"/>
    <cellStyle name="通貨€" xfId="251"/>
  </cellStyles>
  <dxfs count="0"/>
  <tableStyles count="0" defaultTableStyle="TableStyleMedium9" defaultPivotStyle="PivotStyleLight16"/>
  <colors>
    <mruColors>
      <color rgb="FF0000FF"/>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2</xdr:row>
      <xdr:rowOff>152400</xdr:rowOff>
    </xdr:from>
    <xdr:to>
      <xdr:col>3</xdr:col>
      <xdr:colOff>1295400</xdr:colOff>
      <xdr:row>5</xdr:row>
      <xdr:rowOff>66675</xdr:rowOff>
    </xdr:to>
    <xdr:pic>
      <xdr:nvPicPr>
        <xdr:cNvPr id="2054" name="Picture 1" descr="Logo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555" t="18813" r="4555" b="20792"/>
        <a:stretch>
          <a:fillRect/>
        </a:stretch>
      </xdr:blipFill>
      <xdr:spPr bwMode="auto">
        <a:xfrm>
          <a:off x="638175" y="476250"/>
          <a:ext cx="2828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1476375</xdr:colOff>
      <xdr:row>1</xdr:row>
      <xdr:rowOff>213969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95575" cy="4425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1\Local%20Settings\Temporary%20Internet%20Files\OLK876\1SOLD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id%20Desk\Business%20Development%20Files\N\New%20York,%20State%20of\2013\PE%2011081310%20-%20Bid%20Nov.%202013\PE%2011081310-%20Master-%20C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Demartino\Documents\WINDSOR%20REPORTSservice%20costing\Pharos%20Gap%20Data\Product%20Marketing%20Configurations\9-20-2013%20SR%20Service%20Review%20Pharos%20&amp;%20SET\10-3-2013%20SR%20Product%20Configuration%20Template%20rev%205%20Upload%20Tab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ercial%20Pricing\2009%20Pricing\MFP%20Mas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LangeJ\Local%20Settings\Temporary%20Internet%20Files\OLK11\BNY-Price%20Master-%206-2j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id%20Desk\Business%20Development%20Files\W\Westwood%20School%20District\PE%200125103-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kim\Documents\State%20Files\Mississippi\Mississippi%202015\Pricing%20Request%20&amp;%20Backup\PE_State%20of%20Mississippi_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
      <sheetName val="NEW"/>
      <sheetName val="SUMMARY - MAINTENANCE"/>
      <sheetName val="SUMMARY - SOLD"/>
      <sheetName val="MCBC - NAT'L AVERAGE &amp; SVC COST"/>
      <sheetName val="MCBC-NEW MODELS"/>
      <sheetName val="Validations"/>
      <sheetName val="Validation"/>
      <sheetName val="Rules"/>
      <sheetName val="Profile"/>
      <sheetName val="Print for Pay"/>
      <sheetName val="MFP"/>
      <sheetName val="Printers"/>
      <sheetName val="Attendance"/>
      <sheetName val="State Rebate List"/>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sheetName val="Sheet1"/>
      <sheetName val="Subsidy"/>
      <sheetName val="Profile"/>
      <sheetName val="Approval 11.13.13"/>
      <sheetName val="Approval 11.12.13"/>
      <sheetName val="Notes"/>
      <sheetName val="Price Level Summary"/>
      <sheetName val="TOTALS"/>
      <sheetName val="Pivot"/>
      <sheetName val="MFP-FAX"/>
      <sheetName val="Zeus B&amp;W"/>
      <sheetName val="Maintenance"/>
      <sheetName val="Bid Desk Lowest "/>
      <sheetName val="VP Workbench"/>
      <sheetName val="Summary Page"/>
      <sheetName val="NEW Summary"/>
      <sheetName val="CAPEX Input"/>
      <sheetName val="CAPEX Calculations"/>
      <sheetName val="CAPEX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M1" t="str">
            <v>DBNS</v>
          </cell>
        </row>
        <row r="2">
          <cell r="M2" t="str">
            <v>Removal</v>
          </cell>
        </row>
        <row r="3">
          <cell r="M3" t="str">
            <v>Both</v>
          </cell>
        </row>
        <row r="4">
          <cell r="M4" t="str">
            <v>None</v>
          </cell>
        </row>
      </sheetData>
      <sheetData sheetId="23"/>
      <sheetData sheetId="24"/>
      <sheetData sheetId="25"/>
      <sheetData sheetId="26">
        <row r="3">
          <cell r="O3">
            <v>0.1</v>
          </cell>
          <cell r="P3" t="str">
            <v>Dealer Content</v>
          </cell>
        </row>
        <row r="4">
          <cell r="O4">
            <v>589631.76332593802</v>
          </cell>
          <cell r="Q4">
            <v>291115.91999999987</v>
          </cell>
          <cell r="R4">
            <v>0</v>
          </cell>
        </row>
        <row r="5">
          <cell r="O5" t="str">
            <v>% of SRP</v>
          </cell>
          <cell r="P5">
            <v>0.51550001583516369</v>
          </cell>
          <cell r="R5" t="str">
            <v>Margin after Subsidy</v>
          </cell>
        </row>
        <row r="6">
          <cell r="O6" t="str">
            <v>GM %</v>
          </cell>
          <cell r="P6">
            <v>0.30550551085831101</v>
          </cell>
          <cell r="Q6">
            <v>0.5054898824505486</v>
          </cell>
          <cell r="R6" t="str">
            <v/>
          </cell>
        </row>
        <row r="7">
          <cell r="P7" t="str">
            <v>DIRECT</v>
          </cell>
          <cell r="Q7" t="str">
            <v>STAND</v>
          </cell>
        </row>
        <row r="8">
          <cell r="O8">
            <v>596552.46582593839</v>
          </cell>
          <cell r="P8">
            <v>414302.39999999997</v>
          </cell>
          <cell r="Q8">
            <v>295001.22999999986</v>
          </cell>
          <cell r="R8">
            <v>0</v>
          </cell>
        </row>
        <row r="11">
          <cell r="B11" t="str">
            <v>Quantity</v>
          </cell>
          <cell r="O11" t="str">
            <v>Extended Equipment Price</v>
          </cell>
          <cell r="P11" t="str">
            <v>Extended Direct Cost</v>
          </cell>
          <cell r="Q11" t="str">
            <v>Extended Standard Cost</v>
          </cell>
          <cell r="R11" t="str">
            <v>Extended Misc Costs</v>
          </cell>
        </row>
        <row r="12">
          <cell r="B12">
            <v>1</v>
          </cell>
          <cell r="C12" t="str">
            <v>DD1361</v>
          </cell>
          <cell r="O12">
            <v>1574.105</v>
          </cell>
          <cell r="P12">
            <v>1015</v>
          </cell>
          <cell r="Q12">
            <v>827.09</v>
          </cell>
          <cell r="R12">
            <v>0</v>
          </cell>
        </row>
        <row r="14">
          <cell r="O14">
            <v>0</v>
          </cell>
          <cell r="P14">
            <v>0</v>
          </cell>
          <cell r="Q14">
            <v>0</v>
          </cell>
          <cell r="R14">
            <v>0</v>
          </cell>
        </row>
        <row r="15">
          <cell r="O15">
            <v>0</v>
          </cell>
          <cell r="P15">
            <v>0</v>
          </cell>
          <cell r="Q15">
            <v>0</v>
          </cell>
          <cell r="R15">
            <v>0</v>
          </cell>
        </row>
        <row r="17">
          <cell r="O17">
            <v>0</v>
          </cell>
          <cell r="P17">
            <v>0</v>
          </cell>
          <cell r="Q17">
            <v>0</v>
          </cell>
          <cell r="R17">
            <v>0</v>
          </cell>
        </row>
        <row r="18">
          <cell r="O18">
            <v>0</v>
          </cell>
          <cell r="P18">
            <v>0</v>
          </cell>
          <cell r="Q18">
            <v>0</v>
          </cell>
          <cell r="R18">
            <v>0</v>
          </cell>
        </row>
        <row r="19">
          <cell r="O19">
            <v>0</v>
          </cell>
          <cell r="P19">
            <v>0</v>
          </cell>
          <cell r="Q19">
            <v>0</v>
          </cell>
          <cell r="R19">
            <v>0</v>
          </cell>
        </row>
        <row r="20">
          <cell r="O20">
            <v>0</v>
          </cell>
          <cell r="P20">
            <v>0</v>
          </cell>
          <cell r="Q20">
            <v>0</v>
          </cell>
          <cell r="R20">
            <v>0</v>
          </cell>
        </row>
        <row r="22">
          <cell r="O22">
            <v>0</v>
          </cell>
          <cell r="P22">
            <v>0</v>
          </cell>
          <cell r="Q22">
            <v>0</v>
          </cell>
          <cell r="R22">
            <v>0</v>
          </cell>
        </row>
        <row r="23">
          <cell r="O23">
            <v>0</v>
          </cell>
          <cell r="P23">
            <v>0</v>
          </cell>
          <cell r="Q23">
            <v>0</v>
          </cell>
          <cell r="R23">
            <v>0</v>
          </cell>
        </row>
        <row r="24">
          <cell r="O24">
            <v>0</v>
          </cell>
          <cell r="P24">
            <v>0</v>
          </cell>
          <cell r="Q24">
            <v>0</v>
          </cell>
          <cell r="R24">
            <v>0</v>
          </cell>
        </row>
        <row r="25">
          <cell r="O25">
            <v>0</v>
          </cell>
          <cell r="P25">
            <v>0</v>
          </cell>
          <cell r="Q25">
            <v>0</v>
          </cell>
          <cell r="R25">
            <v>0</v>
          </cell>
        </row>
        <row r="27">
          <cell r="O27">
            <v>0</v>
          </cell>
          <cell r="P27">
            <v>0</v>
          </cell>
          <cell r="Q27">
            <v>0</v>
          </cell>
          <cell r="R27">
            <v>0</v>
          </cell>
        </row>
        <row r="28">
          <cell r="O28">
            <v>0</v>
          </cell>
          <cell r="P28">
            <v>0</v>
          </cell>
          <cell r="Q28">
            <v>0</v>
          </cell>
          <cell r="R28">
            <v>0</v>
          </cell>
        </row>
        <row r="29">
          <cell r="O29">
            <v>0</v>
          </cell>
          <cell r="P29">
            <v>0</v>
          </cell>
          <cell r="Q29">
            <v>0</v>
          </cell>
          <cell r="R29">
            <v>0</v>
          </cell>
        </row>
        <row r="30">
          <cell r="O30">
            <v>0</v>
          </cell>
          <cell r="P30">
            <v>0</v>
          </cell>
          <cell r="Q30">
            <v>0</v>
          </cell>
          <cell r="R30">
            <v>0</v>
          </cell>
        </row>
        <row r="31">
          <cell r="O31">
            <v>0</v>
          </cell>
          <cell r="P31">
            <v>0</v>
          </cell>
          <cell r="Q31">
            <v>0</v>
          </cell>
          <cell r="R31">
            <v>0</v>
          </cell>
        </row>
        <row r="32">
          <cell r="O32">
            <v>0</v>
          </cell>
          <cell r="P32">
            <v>0</v>
          </cell>
          <cell r="Q32">
            <v>0</v>
          </cell>
          <cell r="R32">
            <v>0</v>
          </cell>
        </row>
        <row r="33">
          <cell r="O33">
            <v>0</v>
          </cell>
          <cell r="P33">
            <v>0</v>
          </cell>
          <cell r="Q33">
            <v>0</v>
          </cell>
          <cell r="R33">
            <v>0</v>
          </cell>
        </row>
        <row r="35">
          <cell r="O35">
            <v>0</v>
          </cell>
          <cell r="P35">
            <v>0</v>
          </cell>
          <cell r="Q35">
            <v>0</v>
          </cell>
          <cell r="R35">
            <v>0</v>
          </cell>
        </row>
        <row r="36">
          <cell r="O36">
            <v>0</v>
          </cell>
          <cell r="P36">
            <v>0</v>
          </cell>
          <cell r="Q36">
            <v>0</v>
          </cell>
          <cell r="R36">
            <v>0</v>
          </cell>
        </row>
        <row r="38">
          <cell r="B38">
            <v>1</v>
          </cell>
          <cell r="O38">
            <v>1574.105</v>
          </cell>
          <cell r="P38">
            <v>1015</v>
          </cell>
          <cell r="Q38">
            <v>827.09</v>
          </cell>
          <cell r="R38">
            <v>0</v>
          </cell>
        </row>
        <row r="39">
          <cell r="B39">
            <v>1</v>
          </cell>
          <cell r="C39" t="str">
            <v>A45X011</v>
          </cell>
          <cell r="O39">
            <v>2068.37</v>
          </cell>
          <cell r="P39">
            <v>1333.28</v>
          </cell>
          <cell r="Q39">
            <v>1333.28</v>
          </cell>
          <cell r="R39">
            <v>0</v>
          </cell>
        </row>
        <row r="41">
          <cell r="O41">
            <v>0</v>
          </cell>
          <cell r="P41">
            <v>0</v>
          </cell>
          <cell r="Q41">
            <v>0</v>
          </cell>
          <cell r="R41">
            <v>0</v>
          </cell>
        </row>
        <row r="42">
          <cell r="O42">
            <v>0</v>
          </cell>
          <cell r="P42">
            <v>0</v>
          </cell>
          <cell r="Q42">
            <v>0</v>
          </cell>
          <cell r="R42">
            <v>0</v>
          </cell>
        </row>
        <row r="44">
          <cell r="O44">
            <v>0</v>
          </cell>
          <cell r="P44">
            <v>0</v>
          </cell>
          <cell r="Q44">
            <v>0</v>
          </cell>
          <cell r="R44">
            <v>0</v>
          </cell>
        </row>
        <row r="45">
          <cell r="O45">
            <v>0</v>
          </cell>
          <cell r="P45">
            <v>0</v>
          </cell>
          <cell r="Q45">
            <v>0</v>
          </cell>
          <cell r="R45">
            <v>0</v>
          </cell>
        </row>
        <row r="47">
          <cell r="O47">
            <v>0</v>
          </cell>
          <cell r="P47">
            <v>0</v>
          </cell>
          <cell r="Q47">
            <v>0</v>
          </cell>
          <cell r="R47">
            <v>0</v>
          </cell>
        </row>
        <row r="48">
          <cell r="O48">
            <v>0</v>
          </cell>
          <cell r="P48">
            <v>0</v>
          </cell>
          <cell r="Q48">
            <v>0</v>
          </cell>
          <cell r="R48">
            <v>0</v>
          </cell>
        </row>
        <row r="50">
          <cell r="O50">
            <v>0</v>
          </cell>
          <cell r="P50">
            <v>0</v>
          </cell>
          <cell r="Q50">
            <v>0</v>
          </cell>
          <cell r="R50">
            <v>0</v>
          </cell>
        </row>
        <row r="51">
          <cell r="O51">
            <v>0</v>
          </cell>
          <cell r="P51">
            <v>0</v>
          </cell>
          <cell r="Q51">
            <v>0</v>
          </cell>
          <cell r="R51">
            <v>0</v>
          </cell>
        </row>
        <row r="53">
          <cell r="O53">
            <v>0</v>
          </cell>
          <cell r="P53">
            <v>0</v>
          </cell>
          <cell r="Q53">
            <v>0</v>
          </cell>
          <cell r="R53">
            <v>0</v>
          </cell>
        </row>
        <row r="55">
          <cell r="O55">
            <v>0</v>
          </cell>
          <cell r="P55">
            <v>0</v>
          </cell>
          <cell r="Q55">
            <v>0</v>
          </cell>
          <cell r="R55">
            <v>0</v>
          </cell>
        </row>
        <row r="57">
          <cell r="O57">
            <v>0</v>
          </cell>
          <cell r="P57">
            <v>0</v>
          </cell>
          <cell r="Q57">
            <v>0</v>
          </cell>
          <cell r="R57">
            <v>0</v>
          </cell>
        </row>
        <row r="58">
          <cell r="O58">
            <v>0</v>
          </cell>
          <cell r="P58">
            <v>0</v>
          </cell>
          <cell r="Q58">
            <v>0</v>
          </cell>
          <cell r="R58">
            <v>0</v>
          </cell>
        </row>
        <row r="60">
          <cell r="O60">
            <v>0</v>
          </cell>
          <cell r="P60">
            <v>0</v>
          </cell>
          <cell r="Q60">
            <v>0</v>
          </cell>
          <cell r="R60">
            <v>0</v>
          </cell>
        </row>
        <row r="61">
          <cell r="O61">
            <v>0</v>
          </cell>
          <cell r="P61">
            <v>0</v>
          </cell>
          <cell r="Q61">
            <v>0</v>
          </cell>
          <cell r="R61">
            <v>0</v>
          </cell>
        </row>
        <row r="63">
          <cell r="B63">
            <v>1</v>
          </cell>
          <cell r="O63">
            <v>2068.37</v>
          </cell>
          <cell r="P63">
            <v>1333.28</v>
          </cell>
          <cell r="Q63">
            <v>1333.28</v>
          </cell>
          <cell r="R63">
            <v>0</v>
          </cell>
        </row>
        <row r="64">
          <cell r="B64">
            <v>1</v>
          </cell>
          <cell r="C64" t="str">
            <v>A3EW011</v>
          </cell>
          <cell r="O64">
            <v>2292.6750000000002</v>
          </cell>
          <cell r="P64">
            <v>1477.84</v>
          </cell>
          <cell r="Q64">
            <v>1477.84</v>
          </cell>
          <cell r="R64">
            <v>0</v>
          </cell>
        </row>
        <row r="66">
          <cell r="O66">
            <v>0</v>
          </cell>
          <cell r="P66">
            <v>0</v>
          </cell>
          <cell r="Q66">
            <v>0</v>
          </cell>
          <cell r="R66">
            <v>0</v>
          </cell>
        </row>
        <row r="67">
          <cell r="O67">
            <v>0</v>
          </cell>
          <cell r="P67">
            <v>0</v>
          </cell>
          <cell r="Q67">
            <v>0</v>
          </cell>
          <cell r="R67">
            <v>0</v>
          </cell>
        </row>
        <row r="69">
          <cell r="O69">
            <v>0</v>
          </cell>
          <cell r="P69">
            <v>0</v>
          </cell>
          <cell r="Q69">
            <v>0</v>
          </cell>
          <cell r="R69">
            <v>0</v>
          </cell>
        </row>
        <row r="70">
          <cell r="O70">
            <v>0</v>
          </cell>
          <cell r="P70">
            <v>0</v>
          </cell>
          <cell r="Q70">
            <v>0</v>
          </cell>
          <cell r="R70">
            <v>0</v>
          </cell>
        </row>
        <row r="72">
          <cell r="O72">
            <v>0</v>
          </cell>
          <cell r="P72">
            <v>0</v>
          </cell>
          <cell r="Q72">
            <v>0</v>
          </cell>
          <cell r="R72">
            <v>0</v>
          </cell>
        </row>
        <row r="73">
          <cell r="O73">
            <v>0</v>
          </cell>
          <cell r="P73">
            <v>0</v>
          </cell>
          <cell r="Q73">
            <v>0</v>
          </cell>
          <cell r="R73">
            <v>0</v>
          </cell>
        </row>
        <row r="75">
          <cell r="O75">
            <v>0</v>
          </cell>
          <cell r="P75">
            <v>0</v>
          </cell>
          <cell r="Q75">
            <v>0</v>
          </cell>
          <cell r="R75">
            <v>0</v>
          </cell>
        </row>
        <row r="76">
          <cell r="O76">
            <v>0</v>
          </cell>
          <cell r="P76">
            <v>0</v>
          </cell>
          <cell r="Q76">
            <v>0</v>
          </cell>
          <cell r="R76">
            <v>0</v>
          </cell>
        </row>
        <row r="78">
          <cell r="O78">
            <v>0</v>
          </cell>
          <cell r="P78">
            <v>0</v>
          </cell>
          <cell r="Q78">
            <v>0</v>
          </cell>
          <cell r="R78">
            <v>0</v>
          </cell>
        </row>
        <row r="80">
          <cell r="O80">
            <v>0</v>
          </cell>
          <cell r="P80">
            <v>0</v>
          </cell>
          <cell r="Q80">
            <v>0</v>
          </cell>
          <cell r="R80">
            <v>0</v>
          </cell>
        </row>
        <row r="82">
          <cell r="O82">
            <v>0</v>
          </cell>
          <cell r="P82">
            <v>0</v>
          </cell>
          <cell r="Q82">
            <v>0</v>
          </cell>
          <cell r="R82">
            <v>0</v>
          </cell>
        </row>
        <row r="83">
          <cell r="O83">
            <v>0</v>
          </cell>
          <cell r="P83">
            <v>0</v>
          </cell>
          <cell r="Q83">
            <v>0</v>
          </cell>
          <cell r="R83">
            <v>0</v>
          </cell>
        </row>
        <row r="85">
          <cell r="O85">
            <v>0</v>
          </cell>
          <cell r="P85">
            <v>0</v>
          </cell>
          <cell r="Q85">
            <v>0</v>
          </cell>
          <cell r="R85">
            <v>0</v>
          </cell>
        </row>
        <row r="86">
          <cell r="O86">
            <v>0</v>
          </cell>
          <cell r="P86">
            <v>0</v>
          </cell>
          <cell r="Q86">
            <v>0</v>
          </cell>
          <cell r="R86">
            <v>0</v>
          </cell>
        </row>
        <row r="88">
          <cell r="B88">
            <v>1</v>
          </cell>
          <cell r="O88">
            <v>2292.6750000000002</v>
          </cell>
          <cell r="P88">
            <v>1477.84</v>
          </cell>
          <cell r="Q88">
            <v>1477.84</v>
          </cell>
          <cell r="R88">
            <v>0</v>
          </cell>
        </row>
        <row r="89">
          <cell r="B89">
            <v>1</v>
          </cell>
          <cell r="C89" t="str">
            <v>A3PE011</v>
          </cell>
          <cell r="O89">
            <v>1085.7950000000001</v>
          </cell>
          <cell r="P89">
            <v>700</v>
          </cell>
          <cell r="Q89">
            <v>696.8</v>
          </cell>
          <cell r="R89">
            <v>0</v>
          </cell>
        </row>
        <row r="91">
          <cell r="O91">
            <v>0</v>
          </cell>
          <cell r="P91">
            <v>0</v>
          </cell>
          <cell r="Q91">
            <v>0</v>
          </cell>
          <cell r="R91">
            <v>0</v>
          </cell>
        </row>
        <row r="92">
          <cell r="O92">
            <v>0</v>
          </cell>
          <cell r="P92">
            <v>0</v>
          </cell>
          <cell r="Q92">
            <v>0</v>
          </cell>
          <cell r="R92">
            <v>0</v>
          </cell>
        </row>
        <row r="94">
          <cell r="B94">
            <v>1</v>
          </cell>
          <cell r="O94">
            <v>795.98500000000001</v>
          </cell>
          <cell r="P94">
            <v>530.4</v>
          </cell>
          <cell r="Q94">
            <v>530.4</v>
          </cell>
          <cell r="R94">
            <v>0</v>
          </cell>
        </row>
        <row r="95">
          <cell r="O95">
            <v>0</v>
          </cell>
          <cell r="P95">
            <v>0</v>
          </cell>
          <cell r="Q95">
            <v>0</v>
          </cell>
          <cell r="R95">
            <v>0</v>
          </cell>
        </row>
        <row r="97">
          <cell r="O97">
            <v>0</v>
          </cell>
          <cell r="P97">
            <v>0</v>
          </cell>
          <cell r="Q97">
            <v>0</v>
          </cell>
          <cell r="R97">
            <v>0</v>
          </cell>
        </row>
        <row r="98">
          <cell r="O98">
            <v>0</v>
          </cell>
          <cell r="P98">
            <v>0</v>
          </cell>
          <cell r="Q98">
            <v>0</v>
          </cell>
          <cell r="R98">
            <v>0</v>
          </cell>
        </row>
        <row r="99">
          <cell r="O99">
            <v>0</v>
          </cell>
          <cell r="P99">
            <v>0</v>
          </cell>
          <cell r="Q99">
            <v>0</v>
          </cell>
          <cell r="R99">
            <v>0</v>
          </cell>
        </row>
        <row r="100">
          <cell r="B100">
            <v>1</v>
          </cell>
          <cell r="O100">
            <v>124.0625</v>
          </cell>
          <cell r="P100">
            <v>82.22</v>
          </cell>
          <cell r="Q100">
            <v>82.22</v>
          </cell>
          <cell r="R100">
            <v>0</v>
          </cell>
        </row>
        <row r="101">
          <cell r="O101">
            <v>0</v>
          </cell>
          <cell r="P101">
            <v>0</v>
          </cell>
          <cell r="Q101">
            <v>0</v>
          </cell>
          <cell r="R101">
            <v>0</v>
          </cell>
        </row>
        <row r="103">
          <cell r="O103">
            <v>0</v>
          </cell>
          <cell r="P103">
            <v>0</v>
          </cell>
          <cell r="Q103">
            <v>0</v>
          </cell>
          <cell r="R103">
            <v>0</v>
          </cell>
        </row>
        <row r="104">
          <cell r="O104">
            <v>0</v>
          </cell>
          <cell r="P104">
            <v>0</v>
          </cell>
          <cell r="Q104">
            <v>0</v>
          </cell>
          <cell r="R104">
            <v>0</v>
          </cell>
        </row>
        <row r="106">
          <cell r="O106">
            <v>0</v>
          </cell>
          <cell r="P106">
            <v>0</v>
          </cell>
          <cell r="Q106">
            <v>0</v>
          </cell>
          <cell r="R106">
            <v>0</v>
          </cell>
        </row>
        <row r="107">
          <cell r="O107">
            <v>0</v>
          </cell>
          <cell r="P107">
            <v>0</v>
          </cell>
          <cell r="Q107">
            <v>0</v>
          </cell>
          <cell r="R107">
            <v>0</v>
          </cell>
        </row>
        <row r="108">
          <cell r="O108">
            <v>0</v>
          </cell>
          <cell r="P108">
            <v>0</v>
          </cell>
          <cell r="Q108">
            <v>0</v>
          </cell>
          <cell r="R108">
            <v>0</v>
          </cell>
        </row>
        <row r="109">
          <cell r="O109">
            <v>0</v>
          </cell>
          <cell r="P109">
            <v>0</v>
          </cell>
          <cell r="Q109">
            <v>0</v>
          </cell>
          <cell r="R109">
            <v>0</v>
          </cell>
        </row>
        <row r="111">
          <cell r="O111">
            <v>0</v>
          </cell>
          <cell r="P111">
            <v>0</v>
          </cell>
          <cell r="Q111">
            <v>0</v>
          </cell>
          <cell r="R111">
            <v>0</v>
          </cell>
        </row>
        <row r="112">
          <cell r="O112">
            <v>0</v>
          </cell>
          <cell r="P112">
            <v>0</v>
          </cell>
          <cell r="Q112">
            <v>0</v>
          </cell>
          <cell r="R112">
            <v>0</v>
          </cell>
        </row>
        <row r="114">
          <cell r="B114">
            <v>1</v>
          </cell>
          <cell r="O114">
            <v>2005.8425000000002</v>
          </cell>
          <cell r="P114">
            <v>1312.6200000000001</v>
          </cell>
          <cell r="Q114">
            <v>1309.4199999999998</v>
          </cell>
          <cell r="R114">
            <v>0</v>
          </cell>
        </row>
        <row r="115">
          <cell r="B115">
            <v>1</v>
          </cell>
          <cell r="C115" t="str">
            <v>A61H011</v>
          </cell>
          <cell r="O115">
            <v>3514.5752965000001</v>
          </cell>
          <cell r="P115">
            <v>1949.5</v>
          </cell>
          <cell r="Q115">
            <v>1432.08</v>
          </cell>
          <cell r="R115">
            <v>0</v>
          </cell>
        </row>
        <row r="117">
          <cell r="O117">
            <v>0</v>
          </cell>
          <cell r="P117">
            <v>0</v>
          </cell>
          <cell r="Q117">
            <v>0</v>
          </cell>
          <cell r="R117">
            <v>0</v>
          </cell>
        </row>
        <row r="118">
          <cell r="O118">
            <v>0</v>
          </cell>
          <cell r="P118">
            <v>0</v>
          </cell>
          <cell r="Q118">
            <v>0</v>
          </cell>
          <cell r="R118">
            <v>0</v>
          </cell>
        </row>
        <row r="120">
          <cell r="O120">
            <v>0</v>
          </cell>
          <cell r="P120">
            <v>0</v>
          </cell>
          <cell r="Q120">
            <v>0</v>
          </cell>
          <cell r="R120">
            <v>0</v>
          </cell>
        </row>
        <row r="121">
          <cell r="B121">
            <v>1</v>
          </cell>
          <cell r="O121">
            <v>929.97250000000008</v>
          </cell>
          <cell r="P121">
            <v>783.2</v>
          </cell>
          <cell r="Q121">
            <v>629.20000000000005</v>
          </cell>
          <cell r="R121">
            <v>0</v>
          </cell>
        </row>
        <row r="122">
          <cell r="O122">
            <v>0</v>
          </cell>
          <cell r="P122">
            <v>0</v>
          </cell>
          <cell r="Q122">
            <v>0</v>
          </cell>
          <cell r="R122">
            <v>0</v>
          </cell>
        </row>
        <row r="124">
          <cell r="B124">
            <v>1</v>
          </cell>
          <cell r="O124">
            <v>799.95500000000004</v>
          </cell>
          <cell r="P124">
            <v>672</v>
          </cell>
          <cell r="Q124">
            <v>436.8</v>
          </cell>
          <cell r="R124">
            <v>0</v>
          </cell>
        </row>
        <row r="125">
          <cell r="O125">
            <v>0</v>
          </cell>
          <cell r="P125">
            <v>0</v>
          </cell>
          <cell r="Q125">
            <v>0</v>
          </cell>
          <cell r="R125">
            <v>0</v>
          </cell>
        </row>
        <row r="126">
          <cell r="O126">
            <v>0</v>
          </cell>
          <cell r="P126">
            <v>0</v>
          </cell>
          <cell r="Q126">
            <v>0</v>
          </cell>
          <cell r="R126">
            <v>0</v>
          </cell>
        </row>
        <row r="127">
          <cell r="O127">
            <v>0</v>
          </cell>
          <cell r="P127">
            <v>0</v>
          </cell>
          <cell r="Q127">
            <v>0</v>
          </cell>
          <cell r="R127">
            <v>0</v>
          </cell>
        </row>
        <row r="129">
          <cell r="O129">
            <v>0</v>
          </cell>
          <cell r="P129">
            <v>0</v>
          </cell>
          <cell r="Q129">
            <v>0</v>
          </cell>
          <cell r="R129">
            <v>0</v>
          </cell>
        </row>
        <row r="130">
          <cell r="O130">
            <v>0</v>
          </cell>
          <cell r="P130">
            <v>0</v>
          </cell>
          <cell r="Q130">
            <v>0</v>
          </cell>
          <cell r="R130">
            <v>0</v>
          </cell>
        </row>
        <row r="131">
          <cell r="O131">
            <v>0</v>
          </cell>
          <cell r="P131">
            <v>0</v>
          </cell>
          <cell r="Q131">
            <v>0</v>
          </cell>
          <cell r="R131">
            <v>0</v>
          </cell>
        </row>
        <row r="132">
          <cell r="O132">
            <v>0</v>
          </cell>
          <cell r="P132">
            <v>0</v>
          </cell>
          <cell r="Q132">
            <v>0</v>
          </cell>
          <cell r="R132">
            <v>0</v>
          </cell>
        </row>
        <row r="133">
          <cell r="O133">
            <v>0</v>
          </cell>
          <cell r="P133">
            <v>0</v>
          </cell>
          <cell r="Q133">
            <v>0</v>
          </cell>
          <cell r="R133">
            <v>0</v>
          </cell>
        </row>
        <row r="134">
          <cell r="O134">
            <v>0</v>
          </cell>
          <cell r="P134">
            <v>0</v>
          </cell>
          <cell r="Q134">
            <v>0</v>
          </cell>
          <cell r="R134">
            <v>0</v>
          </cell>
        </row>
        <row r="136">
          <cell r="B136">
            <v>1</v>
          </cell>
          <cell r="O136">
            <v>610.38750000000005</v>
          </cell>
          <cell r="P136">
            <v>580</v>
          </cell>
          <cell r="Q136">
            <v>464.88</v>
          </cell>
          <cell r="R136">
            <v>0</v>
          </cell>
        </row>
        <row r="137">
          <cell r="O137">
            <v>0</v>
          </cell>
          <cell r="P137">
            <v>0</v>
          </cell>
          <cell r="Q137">
            <v>0</v>
          </cell>
          <cell r="R137">
            <v>0</v>
          </cell>
        </row>
        <row r="138">
          <cell r="O138">
            <v>0</v>
          </cell>
          <cell r="P138">
            <v>0</v>
          </cell>
          <cell r="Q138">
            <v>0</v>
          </cell>
          <cell r="R138">
            <v>0</v>
          </cell>
        </row>
        <row r="139">
          <cell r="O139">
            <v>0</v>
          </cell>
          <cell r="P139">
            <v>0</v>
          </cell>
          <cell r="Q139">
            <v>0</v>
          </cell>
          <cell r="R139">
            <v>0</v>
          </cell>
        </row>
        <row r="140">
          <cell r="O140">
            <v>0</v>
          </cell>
          <cell r="P140">
            <v>0</v>
          </cell>
          <cell r="Q140">
            <v>0</v>
          </cell>
          <cell r="R140">
            <v>0</v>
          </cell>
        </row>
        <row r="142">
          <cell r="O142">
            <v>0</v>
          </cell>
          <cell r="P142">
            <v>0</v>
          </cell>
          <cell r="Q142">
            <v>0</v>
          </cell>
          <cell r="R142">
            <v>0</v>
          </cell>
        </row>
        <row r="143">
          <cell r="O143">
            <v>0</v>
          </cell>
          <cell r="P143">
            <v>0</v>
          </cell>
          <cell r="Q143">
            <v>0</v>
          </cell>
          <cell r="R143">
            <v>0</v>
          </cell>
        </row>
        <row r="144">
          <cell r="O144">
            <v>0</v>
          </cell>
          <cell r="P144">
            <v>0</v>
          </cell>
          <cell r="Q144">
            <v>0</v>
          </cell>
          <cell r="R144">
            <v>0</v>
          </cell>
        </row>
        <row r="145">
          <cell r="O145">
            <v>0</v>
          </cell>
          <cell r="P145">
            <v>0</v>
          </cell>
          <cell r="Q145">
            <v>0</v>
          </cell>
          <cell r="R145">
            <v>0</v>
          </cell>
        </row>
        <row r="146">
          <cell r="O146">
            <v>0</v>
          </cell>
          <cell r="P146">
            <v>0</v>
          </cell>
          <cell r="Q146">
            <v>0</v>
          </cell>
          <cell r="R146">
            <v>0</v>
          </cell>
        </row>
        <row r="147">
          <cell r="O147">
            <v>0</v>
          </cell>
          <cell r="P147">
            <v>0</v>
          </cell>
          <cell r="Q147">
            <v>0</v>
          </cell>
          <cell r="R147">
            <v>0</v>
          </cell>
        </row>
        <row r="148">
          <cell r="O148">
            <v>0</v>
          </cell>
          <cell r="P148">
            <v>0</v>
          </cell>
          <cell r="Q148">
            <v>0</v>
          </cell>
          <cell r="R148">
            <v>0</v>
          </cell>
        </row>
        <row r="149">
          <cell r="O149">
            <v>0</v>
          </cell>
          <cell r="P149">
            <v>0</v>
          </cell>
          <cell r="Q149">
            <v>0</v>
          </cell>
          <cell r="R149">
            <v>0</v>
          </cell>
        </row>
        <row r="150">
          <cell r="O150">
            <v>0</v>
          </cell>
          <cell r="P150">
            <v>0</v>
          </cell>
          <cell r="Q150">
            <v>0</v>
          </cell>
          <cell r="R150">
            <v>0</v>
          </cell>
        </row>
        <row r="151">
          <cell r="O151">
            <v>0</v>
          </cell>
          <cell r="P151">
            <v>0</v>
          </cell>
          <cell r="Q151">
            <v>0</v>
          </cell>
          <cell r="R151">
            <v>0</v>
          </cell>
        </row>
        <row r="153">
          <cell r="O153">
            <v>0</v>
          </cell>
          <cell r="P153">
            <v>0</v>
          </cell>
          <cell r="Q153">
            <v>0</v>
          </cell>
          <cell r="R153">
            <v>0</v>
          </cell>
        </row>
        <row r="154">
          <cell r="O154">
            <v>0</v>
          </cell>
          <cell r="P154">
            <v>0</v>
          </cell>
          <cell r="Q154">
            <v>0</v>
          </cell>
          <cell r="R154">
            <v>0</v>
          </cell>
        </row>
        <row r="155">
          <cell r="O155">
            <v>0</v>
          </cell>
          <cell r="P155">
            <v>0</v>
          </cell>
          <cell r="Q155">
            <v>0</v>
          </cell>
          <cell r="R155">
            <v>0</v>
          </cell>
        </row>
        <row r="156">
          <cell r="O156">
            <v>0</v>
          </cell>
          <cell r="P156">
            <v>0</v>
          </cell>
          <cell r="Q156">
            <v>0</v>
          </cell>
          <cell r="R156">
            <v>0</v>
          </cell>
        </row>
        <row r="157">
          <cell r="O157">
            <v>0</v>
          </cell>
          <cell r="P157">
            <v>0</v>
          </cell>
          <cell r="Q157">
            <v>0</v>
          </cell>
          <cell r="R157">
            <v>0</v>
          </cell>
        </row>
        <row r="158">
          <cell r="O158">
            <v>0</v>
          </cell>
          <cell r="P158">
            <v>0</v>
          </cell>
          <cell r="Q158">
            <v>0</v>
          </cell>
          <cell r="R158">
            <v>0</v>
          </cell>
        </row>
        <row r="159">
          <cell r="O159">
            <v>0</v>
          </cell>
          <cell r="P159">
            <v>0</v>
          </cell>
          <cell r="Q159">
            <v>0</v>
          </cell>
          <cell r="R159">
            <v>0</v>
          </cell>
        </row>
        <row r="160">
          <cell r="O160">
            <v>0</v>
          </cell>
          <cell r="P160">
            <v>0</v>
          </cell>
          <cell r="Q160">
            <v>0</v>
          </cell>
          <cell r="R160">
            <v>0</v>
          </cell>
        </row>
        <row r="161">
          <cell r="O161">
            <v>0</v>
          </cell>
          <cell r="P161">
            <v>0</v>
          </cell>
          <cell r="Q161">
            <v>0</v>
          </cell>
          <cell r="R161">
            <v>0</v>
          </cell>
        </row>
        <row r="162">
          <cell r="O162">
            <v>0</v>
          </cell>
          <cell r="P162">
            <v>0</v>
          </cell>
          <cell r="Q162">
            <v>0</v>
          </cell>
          <cell r="R162">
            <v>0</v>
          </cell>
        </row>
        <row r="163">
          <cell r="O163">
            <v>0</v>
          </cell>
          <cell r="P163">
            <v>0</v>
          </cell>
          <cell r="Q163">
            <v>0</v>
          </cell>
          <cell r="R163">
            <v>0</v>
          </cell>
        </row>
        <row r="164">
          <cell r="O164">
            <v>0</v>
          </cell>
          <cell r="P164">
            <v>0</v>
          </cell>
          <cell r="Q164">
            <v>0</v>
          </cell>
          <cell r="R164">
            <v>0</v>
          </cell>
        </row>
        <row r="165">
          <cell r="O165">
            <v>0</v>
          </cell>
          <cell r="P165">
            <v>0</v>
          </cell>
          <cell r="Q165">
            <v>0</v>
          </cell>
          <cell r="R165">
            <v>0</v>
          </cell>
        </row>
        <row r="166">
          <cell r="O166">
            <v>0</v>
          </cell>
          <cell r="P166">
            <v>0</v>
          </cell>
          <cell r="Q166">
            <v>0</v>
          </cell>
          <cell r="R166">
            <v>0</v>
          </cell>
        </row>
        <row r="167">
          <cell r="O167">
            <v>0</v>
          </cell>
          <cell r="P167">
            <v>0</v>
          </cell>
          <cell r="Q167">
            <v>0</v>
          </cell>
          <cell r="R167">
            <v>0</v>
          </cell>
        </row>
        <row r="168">
          <cell r="O168">
            <v>0</v>
          </cell>
          <cell r="P168">
            <v>0</v>
          </cell>
          <cell r="Q168">
            <v>0</v>
          </cell>
          <cell r="R168">
            <v>0</v>
          </cell>
        </row>
        <row r="169">
          <cell r="O169">
            <v>0</v>
          </cell>
          <cell r="P169">
            <v>0</v>
          </cell>
          <cell r="Q169">
            <v>0</v>
          </cell>
          <cell r="R169">
            <v>0</v>
          </cell>
        </row>
        <row r="170">
          <cell r="O170">
            <v>0</v>
          </cell>
          <cell r="P170">
            <v>0</v>
          </cell>
          <cell r="Q170">
            <v>0</v>
          </cell>
          <cell r="R170">
            <v>0</v>
          </cell>
        </row>
        <row r="172">
          <cell r="O172">
            <v>0</v>
          </cell>
          <cell r="P172">
            <v>0</v>
          </cell>
          <cell r="Q172">
            <v>0</v>
          </cell>
          <cell r="R172">
            <v>0</v>
          </cell>
        </row>
        <row r="173">
          <cell r="O173">
            <v>0</v>
          </cell>
          <cell r="P173">
            <v>0</v>
          </cell>
          <cell r="Q173">
            <v>0</v>
          </cell>
          <cell r="R173">
            <v>0</v>
          </cell>
        </row>
        <row r="174">
          <cell r="O174">
            <v>0</v>
          </cell>
          <cell r="P174">
            <v>0</v>
          </cell>
          <cell r="Q174">
            <v>0</v>
          </cell>
          <cell r="R174">
            <v>0</v>
          </cell>
        </row>
        <row r="176">
          <cell r="B176">
            <v>1</v>
          </cell>
          <cell r="O176">
            <v>5854.8902964999997</v>
          </cell>
          <cell r="P176">
            <v>3984.7</v>
          </cell>
          <cell r="Q176">
            <v>2962.96</v>
          </cell>
          <cell r="R176">
            <v>0</v>
          </cell>
        </row>
        <row r="177">
          <cell r="B177">
            <v>1</v>
          </cell>
          <cell r="C177" t="str">
            <v>A61G011</v>
          </cell>
          <cell r="O177">
            <v>4413.4538632500007</v>
          </cell>
          <cell r="P177">
            <v>2436.6999999999998</v>
          </cell>
          <cell r="Q177">
            <v>1609.92</v>
          </cell>
          <cell r="R177">
            <v>0</v>
          </cell>
        </row>
        <row r="179">
          <cell r="O179">
            <v>0</v>
          </cell>
          <cell r="P179">
            <v>0</v>
          </cell>
          <cell r="Q179">
            <v>0</v>
          </cell>
          <cell r="R179">
            <v>0</v>
          </cell>
        </row>
        <row r="180">
          <cell r="O180">
            <v>0</v>
          </cell>
          <cell r="P180">
            <v>0</v>
          </cell>
          <cell r="Q180">
            <v>0</v>
          </cell>
          <cell r="R180">
            <v>0</v>
          </cell>
        </row>
        <row r="182">
          <cell r="O182">
            <v>0</v>
          </cell>
          <cell r="P182">
            <v>0</v>
          </cell>
          <cell r="Q182">
            <v>0</v>
          </cell>
          <cell r="R182">
            <v>0</v>
          </cell>
        </row>
        <row r="183">
          <cell r="B183">
            <v>1</v>
          </cell>
          <cell r="O183">
            <v>929.97250000000008</v>
          </cell>
          <cell r="P183">
            <v>783.2</v>
          </cell>
          <cell r="Q183">
            <v>629.20000000000005</v>
          </cell>
          <cell r="R183">
            <v>0</v>
          </cell>
        </row>
        <row r="184">
          <cell r="O184">
            <v>0</v>
          </cell>
          <cell r="P184">
            <v>0</v>
          </cell>
          <cell r="Q184">
            <v>0</v>
          </cell>
          <cell r="R184">
            <v>0</v>
          </cell>
        </row>
        <row r="186">
          <cell r="B186">
            <v>1</v>
          </cell>
          <cell r="O186">
            <v>799.95500000000004</v>
          </cell>
          <cell r="P186">
            <v>672</v>
          </cell>
          <cell r="Q186">
            <v>436.8</v>
          </cell>
          <cell r="R186">
            <v>0</v>
          </cell>
        </row>
        <row r="187">
          <cell r="O187">
            <v>0</v>
          </cell>
          <cell r="P187">
            <v>0</v>
          </cell>
          <cell r="Q187">
            <v>0</v>
          </cell>
          <cell r="R187">
            <v>0</v>
          </cell>
        </row>
        <row r="188">
          <cell r="O188">
            <v>0</v>
          </cell>
          <cell r="P188">
            <v>0</v>
          </cell>
          <cell r="Q188">
            <v>0</v>
          </cell>
          <cell r="R188">
            <v>0</v>
          </cell>
        </row>
        <row r="189">
          <cell r="O189">
            <v>0</v>
          </cell>
          <cell r="P189">
            <v>0</v>
          </cell>
          <cell r="Q189">
            <v>0</v>
          </cell>
          <cell r="R189">
            <v>0</v>
          </cell>
        </row>
        <row r="191">
          <cell r="O191">
            <v>0</v>
          </cell>
          <cell r="P191">
            <v>0</v>
          </cell>
          <cell r="Q191">
            <v>0</v>
          </cell>
          <cell r="R191">
            <v>0</v>
          </cell>
        </row>
        <row r="192">
          <cell r="O192">
            <v>0</v>
          </cell>
          <cell r="P192">
            <v>0</v>
          </cell>
          <cell r="Q192">
            <v>0</v>
          </cell>
          <cell r="R192">
            <v>0</v>
          </cell>
        </row>
        <row r="193">
          <cell r="O193">
            <v>0</v>
          </cell>
          <cell r="P193">
            <v>0</v>
          </cell>
          <cell r="Q193">
            <v>0</v>
          </cell>
          <cell r="R193">
            <v>0</v>
          </cell>
        </row>
        <row r="194">
          <cell r="O194">
            <v>0</v>
          </cell>
          <cell r="P194">
            <v>0</v>
          </cell>
          <cell r="Q194">
            <v>0</v>
          </cell>
          <cell r="R194">
            <v>0</v>
          </cell>
        </row>
        <row r="195">
          <cell r="O195">
            <v>0</v>
          </cell>
          <cell r="P195">
            <v>0</v>
          </cell>
          <cell r="Q195">
            <v>0</v>
          </cell>
          <cell r="R195">
            <v>0</v>
          </cell>
        </row>
        <row r="196">
          <cell r="O196">
            <v>0</v>
          </cell>
          <cell r="P196">
            <v>0</v>
          </cell>
          <cell r="Q196">
            <v>0</v>
          </cell>
          <cell r="R196">
            <v>0</v>
          </cell>
        </row>
        <row r="198">
          <cell r="B198">
            <v>1</v>
          </cell>
          <cell r="O198">
            <v>610.38750000000005</v>
          </cell>
          <cell r="P198">
            <v>580</v>
          </cell>
          <cell r="Q198">
            <v>464.88</v>
          </cell>
          <cell r="R198">
            <v>0</v>
          </cell>
        </row>
        <row r="199">
          <cell r="O199">
            <v>0</v>
          </cell>
          <cell r="P199">
            <v>0</v>
          </cell>
          <cell r="Q199">
            <v>0</v>
          </cell>
          <cell r="R199">
            <v>0</v>
          </cell>
        </row>
        <row r="200">
          <cell r="O200">
            <v>0</v>
          </cell>
          <cell r="P200">
            <v>0</v>
          </cell>
          <cell r="Q200">
            <v>0</v>
          </cell>
          <cell r="R200">
            <v>0</v>
          </cell>
        </row>
        <row r="201">
          <cell r="O201">
            <v>0</v>
          </cell>
          <cell r="P201">
            <v>0</v>
          </cell>
          <cell r="Q201">
            <v>0</v>
          </cell>
          <cell r="R201">
            <v>0</v>
          </cell>
        </row>
        <row r="202">
          <cell r="O202">
            <v>0</v>
          </cell>
          <cell r="P202">
            <v>0</v>
          </cell>
          <cell r="Q202">
            <v>0</v>
          </cell>
          <cell r="R202">
            <v>0</v>
          </cell>
        </row>
        <row r="204">
          <cell r="O204">
            <v>0</v>
          </cell>
          <cell r="P204">
            <v>0</v>
          </cell>
          <cell r="Q204">
            <v>0</v>
          </cell>
          <cell r="R204">
            <v>0</v>
          </cell>
        </row>
        <row r="205">
          <cell r="O205">
            <v>0</v>
          </cell>
          <cell r="P205">
            <v>0</v>
          </cell>
          <cell r="Q205">
            <v>0</v>
          </cell>
          <cell r="R205">
            <v>0</v>
          </cell>
        </row>
        <row r="206">
          <cell r="O206">
            <v>0</v>
          </cell>
          <cell r="P206">
            <v>0</v>
          </cell>
          <cell r="Q206">
            <v>0</v>
          </cell>
          <cell r="R206">
            <v>0</v>
          </cell>
        </row>
        <row r="207">
          <cell r="O207">
            <v>0</v>
          </cell>
          <cell r="P207">
            <v>0</v>
          </cell>
          <cell r="Q207">
            <v>0</v>
          </cell>
          <cell r="R207">
            <v>0</v>
          </cell>
        </row>
        <row r="208">
          <cell r="O208">
            <v>0</v>
          </cell>
          <cell r="P208">
            <v>0</v>
          </cell>
          <cell r="Q208">
            <v>0</v>
          </cell>
          <cell r="R208">
            <v>0</v>
          </cell>
        </row>
        <row r="209">
          <cell r="O209">
            <v>0</v>
          </cell>
          <cell r="P209">
            <v>0</v>
          </cell>
          <cell r="Q209">
            <v>0</v>
          </cell>
          <cell r="R209">
            <v>0</v>
          </cell>
        </row>
        <row r="210">
          <cell r="O210">
            <v>0</v>
          </cell>
          <cell r="P210">
            <v>0</v>
          </cell>
          <cell r="Q210">
            <v>0</v>
          </cell>
          <cell r="R210">
            <v>0</v>
          </cell>
        </row>
        <row r="211">
          <cell r="O211">
            <v>0</v>
          </cell>
          <cell r="P211">
            <v>0</v>
          </cell>
          <cell r="Q211">
            <v>0</v>
          </cell>
          <cell r="R211">
            <v>0</v>
          </cell>
        </row>
        <row r="212">
          <cell r="O212">
            <v>0</v>
          </cell>
          <cell r="P212">
            <v>0</v>
          </cell>
          <cell r="Q212">
            <v>0</v>
          </cell>
          <cell r="R212">
            <v>0</v>
          </cell>
        </row>
        <row r="213">
          <cell r="O213">
            <v>0</v>
          </cell>
          <cell r="P213">
            <v>0</v>
          </cell>
          <cell r="Q213">
            <v>0</v>
          </cell>
          <cell r="R213">
            <v>0</v>
          </cell>
        </row>
        <row r="215">
          <cell r="O215">
            <v>0</v>
          </cell>
          <cell r="P215">
            <v>0</v>
          </cell>
          <cell r="Q215">
            <v>0</v>
          </cell>
          <cell r="R215">
            <v>0</v>
          </cell>
        </row>
        <row r="216">
          <cell r="O216">
            <v>0</v>
          </cell>
          <cell r="P216">
            <v>0</v>
          </cell>
          <cell r="Q216">
            <v>0</v>
          </cell>
          <cell r="R216">
            <v>0</v>
          </cell>
        </row>
        <row r="217">
          <cell r="O217">
            <v>0</v>
          </cell>
          <cell r="P217">
            <v>0</v>
          </cell>
          <cell r="Q217">
            <v>0</v>
          </cell>
          <cell r="R217">
            <v>0</v>
          </cell>
        </row>
        <row r="218">
          <cell r="O218">
            <v>0</v>
          </cell>
          <cell r="P218">
            <v>0</v>
          </cell>
          <cell r="Q218">
            <v>0</v>
          </cell>
          <cell r="R218">
            <v>0</v>
          </cell>
        </row>
        <row r="219">
          <cell r="O219">
            <v>0</v>
          </cell>
          <cell r="P219">
            <v>0</v>
          </cell>
          <cell r="Q219">
            <v>0</v>
          </cell>
          <cell r="R219">
            <v>0</v>
          </cell>
        </row>
        <row r="220">
          <cell r="O220">
            <v>0</v>
          </cell>
          <cell r="P220">
            <v>0</v>
          </cell>
          <cell r="Q220">
            <v>0</v>
          </cell>
          <cell r="R220">
            <v>0</v>
          </cell>
        </row>
        <row r="221">
          <cell r="O221">
            <v>0</v>
          </cell>
          <cell r="P221">
            <v>0</v>
          </cell>
          <cell r="Q221">
            <v>0</v>
          </cell>
          <cell r="R221">
            <v>0</v>
          </cell>
        </row>
        <row r="222">
          <cell r="O222">
            <v>0</v>
          </cell>
          <cell r="P222">
            <v>0</v>
          </cell>
          <cell r="Q222">
            <v>0</v>
          </cell>
          <cell r="R222">
            <v>0</v>
          </cell>
        </row>
        <row r="223">
          <cell r="O223">
            <v>0</v>
          </cell>
          <cell r="P223">
            <v>0</v>
          </cell>
          <cell r="Q223">
            <v>0</v>
          </cell>
          <cell r="R223">
            <v>0</v>
          </cell>
        </row>
        <row r="224">
          <cell r="O224">
            <v>0</v>
          </cell>
          <cell r="P224">
            <v>0</v>
          </cell>
          <cell r="Q224">
            <v>0</v>
          </cell>
          <cell r="R224">
            <v>0</v>
          </cell>
        </row>
        <row r="225">
          <cell r="O225">
            <v>0</v>
          </cell>
          <cell r="P225">
            <v>0</v>
          </cell>
          <cell r="Q225">
            <v>0</v>
          </cell>
          <cell r="R225">
            <v>0</v>
          </cell>
        </row>
        <row r="226">
          <cell r="O226">
            <v>0</v>
          </cell>
          <cell r="P226">
            <v>0</v>
          </cell>
          <cell r="Q226">
            <v>0</v>
          </cell>
          <cell r="R226">
            <v>0</v>
          </cell>
        </row>
        <row r="227">
          <cell r="O227">
            <v>0</v>
          </cell>
          <cell r="P227">
            <v>0</v>
          </cell>
          <cell r="Q227">
            <v>0</v>
          </cell>
          <cell r="R227">
            <v>0</v>
          </cell>
        </row>
        <row r="228">
          <cell r="O228">
            <v>0</v>
          </cell>
          <cell r="P228">
            <v>0</v>
          </cell>
          <cell r="Q228">
            <v>0</v>
          </cell>
          <cell r="R228">
            <v>0</v>
          </cell>
        </row>
        <row r="229">
          <cell r="O229">
            <v>0</v>
          </cell>
          <cell r="P229">
            <v>0</v>
          </cell>
          <cell r="Q229">
            <v>0</v>
          </cell>
          <cell r="R229">
            <v>0</v>
          </cell>
        </row>
        <row r="230">
          <cell r="O230">
            <v>0</v>
          </cell>
          <cell r="P230">
            <v>0</v>
          </cell>
          <cell r="Q230">
            <v>0</v>
          </cell>
          <cell r="R230">
            <v>0</v>
          </cell>
        </row>
        <row r="231">
          <cell r="O231">
            <v>0</v>
          </cell>
          <cell r="P231">
            <v>0</v>
          </cell>
          <cell r="Q231">
            <v>0</v>
          </cell>
          <cell r="R231">
            <v>0</v>
          </cell>
        </row>
        <row r="232">
          <cell r="O232">
            <v>0</v>
          </cell>
          <cell r="P232">
            <v>0</v>
          </cell>
          <cell r="Q232">
            <v>0</v>
          </cell>
          <cell r="R232">
            <v>0</v>
          </cell>
        </row>
        <row r="234">
          <cell r="O234">
            <v>0</v>
          </cell>
          <cell r="P234">
            <v>0</v>
          </cell>
          <cell r="Q234">
            <v>0</v>
          </cell>
          <cell r="R234">
            <v>0</v>
          </cell>
        </row>
        <row r="235">
          <cell r="O235">
            <v>0</v>
          </cell>
          <cell r="P235">
            <v>0</v>
          </cell>
          <cell r="Q235">
            <v>0</v>
          </cell>
          <cell r="R235">
            <v>0</v>
          </cell>
        </row>
        <row r="236">
          <cell r="O236">
            <v>0</v>
          </cell>
          <cell r="P236">
            <v>0</v>
          </cell>
          <cell r="Q236">
            <v>0</v>
          </cell>
          <cell r="R236">
            <v>0</v>
          </cell>
        </row>
        <row r="238">
          <cell r="B238">
            <v>1</v>
          </cell>
          <cell r="O238">
            <v>6753.7688632500003</v>
          </cell>
          <cell r="P238">
            <v>4471.8999999999996</v>
          </cell>
          <cell r="Q238">
            <v>3140.8</v>
          </cell>
          <cell r="R238">
            <v>0</v>
          </cell>
        </row>
        <row r="239">
          <cell r="B239">
            <v>1</v>
          </cell>
          <cell r="C239" t="str">
            <v>A61F011</v>
          </cell>
          <cell r="O239">
            <v>6423.818292500001</v>
          </cell>
          <cell r="P239">
            <v>3010</v>
          </cell>
          <cell r="Q239">
            <v>1925.04</v>
          </cell>
          <cell r="R239">
            <v>0</v>
          </cell>
        </row>
        <row r="241">
          <cell r="O241">
            <v>0</v>
          </cell>
          <cell r="P241">
            <v>0</v>
          </cell>
          <cell r="Q241">
            <v>0</v>
          </cell>
          <cell r="R241">
            <v>0</v>
          </cell>
        </row>
        <row r="242">
          <cell r="O242">
            <v>0</v>
          </cell>
          <cell r="P242">
            <v>0</v>
          </cell>
          <cell r="Q242">
            <v>0</v>
          </cell>
          <cell r="R242">
            <v>0</v>
          </cell>
        </row>
        <row r="244">
          <cell r="O244">
            <v>0</v>
          </cell>
          <cell r="P244">
            <v>0</v>
          </cell>
          <cell r="Q244">
            <v>0</v>
          </cell>
          <cell r="R244">
            <v>0</v>
          </cell>
        </row>
        <row r="245">
          <cell r="B245">
            <v>1</v>
          </cell>
          <cell r="O245">
            <v>929.97250000000008</v>
          </cell>
          <cell r="P245">
            <v>783.2</v>
          </cell>
          <cell r="Q245">
            <v>629.20000000000005</v>
          </cell>
          <cell r="R245">
            <v>0</v>
          </cell>
        </row>
        <row r="246">
          <cell r="O246">
            <v>0</v>
          </cell>
          <cell r="P246">
            <v>0</v>
          </cell>
          <cell r="Q246">
            <v>0</v>
          </cell>
          <cell r="R246">
            <v>0</v>
          </cell>
        </row>
        <row r="248">
          <cell r="B248">
            <v>1</v>
          </cell>
          <cell r="O248">
            <v>799.95500000000004</v>
          </cell>
          <cell r="P248">
            <v>672</v>
          </cell>
          <cell r="Q248">
            <v>436.8</v>
          </cell>
          <cell r="R248">
            <v>0</v>
          </cell>
        </row>
        <row r="249">
          <cell r="O249">
            <v>0</v>
          </cell>
          <cell r="P249">
            <v>0</v>
          </cell>
          <cell r="Q249">
            <v>0</v>
          </cell>
          <cell r="R249">
            <v>0</v>
          </cell>
        </row>
        <row r="250">
          <cell r="O250">
            <v>0</v>
          </cell>
          <cell r="P250">
            <v>0</v>
          </cell>
          <cell r="Q250">
            <v>0</v>
          </cell>
          <cell r="R250">
            <v>0</v>
          </cell>
        </row>
        <row r="251">
          <cell r="O251">
            <v>0</v>
          </cell>
          <cell r="P251">
            <v>0</v>
          </cell>
          <cell r="Q251">
            <v>0</v>
          </cell>
          <cell r="R251">
            <v>0</v>
          </cell>
        </row>
        <row r="253">
          <cell r="O253">
            <v>0</v>
          </cell>
          <cell r="P253">
            <v>0</v>
          </cell>
          <cell r="Q253">
            <v>0</v>
          </cell>
          <cell r="R253">
            <v>0</v>
          </cell>
        </row>
        <row r="254">
          <cell r="O254">
            <v>0</v>
          </cell>
          <cell r="P254">
            <v>0</v>
          </cell>
          <cell r="Q254">
            <v>0</v>
          </cell>
          <cell r="R254">
            <v>0</v>
          </cell>
        </row>
        <row r="255">
          <cell r="O255">
            <v>0</v>
          </cell>
          <cell r="P255">
            <v>0</v>
          </cell>
          <cell r="Q255">
            <v>0</v>
          </cell>
          <cell r="R255">
            <v>0</v>
          </cell>
        </row>
        <row r="256">
          <cell r="O256">
            <v>0</v>
          </cell>
          <cell r="P256">
            <v>0</v>
          </cell>
          <cell r="Q256">
            <v>0</v>
          </cell>
          <cell r="R256">
            <v>0</v>
          </cell>
        </row>
        <row r="257">
          <cell r="O257">
            <v>0</v>
          </cell>
          <cell r="P257">
            <v>0</v>
          </cell>
          <cell r="Q257">
            <v>0</v>
          </cell>
          <cell r="R257">
            <v>0</v>
          </cell>
        </row>
        <row r="258">
          <cell r="O258">
            <v>0</v>
          </cell>
          <cell r="P258">
            <v>0</v>
          </cell>
          <cell r="Q258">
            <v>0</v>
          </cell>
          <cell r="R258">
            <v>0</v>
          </cell>
        </row>
        <row r="260">
          <cell r="B260">
            <v>1</v>
          </cell>
          <cell r="O260">
            <v>610.38750000000005</v>
          </cell>
          <cell r="P260">
            <v>580</v>
          </cell>
          <cell r="Q260">
            <v>464.88</v>
          </cell>
          <cell r="R260">
            <v>0</v>
          </cell>
        </row>
        <row r="261">
          <cell r="O261">
            <v>0</v>
          </cell>
          <cell r="P261">
            <v>0</v>
          </cell>
          <cell r="Q261">
            <v>0</v>
          </cell>
          <cell r="R261">
            <v>0</v>
          </cell>
        </row>
        <row r="262">
          <cell r="O262">
            <v>0</v>
          </cell>
          <cell r="P262">
            <v>0</v>
          </cell>
          <cell r="Q262">
            <v>0</v>
          </cell>
          <cell r="R262">
            <v>0</v>
          </cell>
        </row>
        <row r="263">
          <cell r="O263">
            <v>0</v>
          </cell>
          <cell r="P263">
            <v>0</v>
          </cell>
          <cell r="Q263">
            <v>0</v>
          </cell>
          <cell r="R263">
            <v>0</v>
          </cell>
        </row>
        <row r="264">
          <cell r="O264">
            <v>0</v>
          </cell>
          <cell r="P264">
            <v>0</v>
          </cell>
          <cell r="Q264">
            <v>0</v>
          </cell>
          <cell r="R264">
            <v>0</v>
          </cell>
        </row>
        <row r="266">
          <cell r="O266">
            <v>0</v>
          </cell>
          <cell r="P266">
            <v>0</v>
          </cell>
          <cell r="Q266">
            <v>0</v>
          </cell>
          <cell r="R266">
            <v>0</v>
          </cell>
        </row>
        <row r="267">
          <cell r="O267">
            <v>0</v>
          </cell>
          <cell r="P267">
            <v>0</v>
          </cell>
          <cell r="Q267">
            <v>0</v>
          </cell>
          <cell r="R267">
            <v>0</v>
          </cell>
        </row>
        <row r="268">
          <cell r="O268">
            <v>0</v>
          </cell>
          <cell r="P268">
            <v>0</v>
          </cell>
          <cell r="Q268">
            <v>0</v>
          </cell>
          <cell r="R268">
            <v>0</v>
          </cell>
        </row>
        <row r="269">
          <cell r="O269">
            <v>0</v>
          </cell>
          <cell r="P269">
            <v>0</v>
          </cell>
          <cell r="Q269">
            <v>0</v>
          </cell>
          <cell r="R269">
            <v>0</v>
          </cell>
        </row>
        <row r="270">
          <cell r="O270">
            <v>0</v>
          </cell>
          <cell r="P270">
            <v>0</v>
          </cell>
          <cell r="Q270">
            <v>0</v>
          </cell>
          <cell r="R270">
            <v>0</v>
          </cell>
        </row>
        <row r="271">
          <cell r="O271">
            <v>0</v>
          </cell>
          <cell r="P271">
            <v>0</v>
          </cell>
          <cell r="Q271">
            <v>0</v>
          </cell>
          <cell r="R271">
            <v>0</v>
          </cell>
        </row>
        <row r="272">
          <cell r="O272">
            <v>0</v>
          </cell>
          <cell r="P272">
            <v>0</v>
          </cell>
          <cell r="Q272">
            <v>0</v>
          </cell>
          <cell r="R272">
            <v>0</v>
          </cell>
        </row>
        <row r="273">
          <cell r="O273">
            <v>0</v>
          </cell>
          <cell r="P273">
            <v>0</v>
          </cell>
          <cell r="Q273">
            <v>0</v>
          </cell>
          <cell r="R273">
            <v>0</v>
          </cell>
        </row>
        <row r="274">
          <cell r="O274">
            <v>0</v>
          </cell>
          <cell r="P274">
            <v>0</v>
          </cell>
          <cell r="Q274">
            <v>0</v>
          </cell>
          <cell r="R274">
            <v>0</v>
          </cell>
        </row>
        <row r="275">
          <cell r="O275">
            <v>0</v>
          </cell>
          <cell r="P275">
            <v>0</v>
          </cell>
          <cell r="Q275">
            <v>0</v>
          </cell>
          <cell r="R275">
            <v>0</v>
          </cell>
        </row>
        <row r="277">
          <cell r="O277">
            <v>0</v>
          </cell>
          <cell r="P277">
            <v>0</v>
          </cell>
          <cell r="Q277">
            <v>0</v>
          </cell>
          <cell r="R277">
            <v>0</v>
          </cell>
        </row>
        <row r="278">
          <cell r="O278">
            <v>0</v>
          </cell>
          <cell r="P278">
            <v>0</v>
          </cell>
          <cell r="Q278">
            <v>0</v>
          </cell>
          <cell r="R278">
            <v>0</v>
          </cell>
        </row>
        <row r="279">
          <cell r="O279">
            <v>0</v>
          </cell>
          <cell r="P279">
            <v>0</v>
          </cell>
          <cell r="Q279">
            <v>0</v>
          </cell>
          <cell r="R279">
            <v>0</v>
          </cell>
        </row>
        <row r="280">
          <cell r="O280">
            <v>0</v>
          </cell>
          <cell r="P280">
            <v>0</v>
          </cell>
          <cell r="Q280">
            <v>0</v>
          </cell>
          <cell r="R280">
            <v>0</v>
          </cell>
        </row>
        <row r="281">
          <cell r="O281">
            <v>0</v>
          </cell>
          <cell r="P281">
            <v>0</v>
          </cell>
          <cell r="Q281">
            <v>0</v>
          </cell>
          <cell r="R281">
            <v>0</v>
          </cell>
        </row>
        <row r="282">
          <cell r="O282">
            <v>0</v>
          </cell>
          <cell r="P282">
            <v>0</v>
          </cell>
          <cell r="Q282">
            <v>0</v>
          </cell>
          <cell r="R282">
            <v>0</v>
          </cell>
        </row>
        <row r="283">
          <cell r="O283">
            <v>0</v>
          </cell>
          <cell r="P283">
            <v>0</v>
          </cell>
          <cell r="Q283">
            <v>0</v>
          </cell>
          <cell r="R283">
            <v>0</v>
          </cell>
        </row>
        <row r="284">
          <cell r="O284">
            <v>0</v>
          </cell>
          <cell r="P284">
            <v>0</v>
          </cell>
          <cell r="Q284">
            <v>0</v>
          </cell>
          <cell r="R284">
            <v>0</v>
          </cell>
        </row>
        <row r="285">
          <cell r="O285">
            <v>0</v>
          </cell>
          <cell r="P285">
            <v>0</v>
          </cell>
          <cell r="Q285">
            <v>0</v>
          </cell>
          <cell r="R285">
            <v>0</v>
          </cell>
        </row>
        <row r="286">
          <cell r="O286">
            <v>0</v>
          </cell>
          <cell r="P286">
            <v>0</v>
          </cell>
          <cell r="Q286">
            <v>0</v>
          </cell>
          <cell r="R286">
            <v>0</v>
          </cell>
        </row>
        <row r="287">
          <cell r="O287">
            <v>0</v>
          </cell>
          <cell r="P287">
            <v>0</v>
          </cell>
          <cell r="Q287">
            <v>0</v>
          </cell>
          <cell r="R287">
            <v>0</v>
          </cell>
        </row>
        <row r="288">
          <cell r="O288">
            <v>0</v>
          </cell>
          <cell r="P288">
            <v>0</v>
          </cell>
          <cell r="Q288">
            <v>0</v>
          </cell>
          <cell r="R288">
            <v>0</v>
          </cell>
        </row>
        <row r="289">
          <cell r="O289">
            <v>0</v>
          </cell>
          <cell r="P289">
            <v>0</v>
          </cell>
          <cell r="Q289">
            <v>0</v>
          </cell>
          <cell r="R289">
            <v>0</v>
          </cell>
        </row>
        <row r="290">
          <cell r="O290">
            <v>0</v>
          </cell>
          <cell r="P290">
            <v>0</v>
          </cell>
          <cell r="Q290">
            <v>0</v>
          </cell>
          <cell r="R290">
            <v>0</v>
          </cell>
        </row>
        <row r="291">
          <cell r="O291">
            <v>0</v>
          </cell>
          <cell r="P291">
            <v>0</v>
          </cell>
          <cell r="Q291">
            <v>0</v>
          </cell>
          <cell r="R291">
            <v>0</v>
          </cell>
        </row>
        <row r="292">
          <cell r="O292">
            <v>0</v>
          </cell>
          <cell r="P292">
            <v>0</v>
          </cell>
          <cell r="Q292">
            <v>0</v>
          </cell>
          <cell r="R292">
            <v>0</v>
          </cell>
        </row>
        <row r="293">
          <cell r="O293">
            <v>0</v>
          </cell>
          <cell r="P293">
            <v>0</v>
          </cell>
          <cell r="Q293">
            <v>0</v>
          </cell>
          <cell r="R293">
            <v>0</v>
          </cell>
        </row>
        <row r="294">
          <cell r="O294">
            <v>0</v>
          </cell>
          <cell r="P294">
            <v>0</v>
          </cell>
          <cell r="Q294">
            <v>0</v>
          </cell>
          <cell r="R294">
            <v>0</v>
          </cell>
        </row>
        <row r="296">
          <cell r="O296">
            <v>0</v>
          </cell>
          <cell r="P296">
            <v>0</v>
          </cell>
          <cell r="Q296">
            <v>0</v>
          </cell>
          <cell r="R296">
            <v>0</v>
          </cell>
        </row>
        <row r="297">
          <cell r="O297">
            <v>0</v>
          </cell>
          <cell r="P297">
            <v>0</v>
          </cell>
          <cell r="Q297">
            <v>0</v>
          </cell>
          <cell r="R297">
            <v>0</v>
          </cell>
        </row>
        <row r="298">
          <cell r="O298">
            <v>0</v>
          </cell>
          <cell r="P298">
            <v>0</v>
          </cell>
          <cell r="Q298">
            <v>0</v>
          </cell>
          <cell r="R298">
            <v>0</v>
          </cell>
        </row>
        <row r="300">
          <cell r="B300">
            <v>1</v>
          </cell>
          <cell r="O300">
            <v>8764.1332925000006</v>
          </cell>
          <cell r="P300">
            <v>5045.2</v>
          </cell>
          <cell r="Q300">
            <v>3455.92</v>
          </cell>
          <cell r="R300">
            <v>0</v>
          </cell>
        </row>
        <row r="301">
          <cell r="B301">
            <v>1</v>
          </cell>
          <cell r="C301" t="str">
            <v>A61E011</v>
          </cell>
          <cell r="O301">
            <v>7191.5324075910012</v>
          </cell>
          <cell r="P301">
            <v>4155.2</v>
          </cell>
          <cell r="Q301">
            <v>3016</v>
          </cell>
          <cell r="R301">
            <v>0</v>
          </cell>
        </row>
        <row r="303">
          <cell r="O303">
            <v>0</v>
          </cell>
          <cell r="P303">
            <v>0</v>
          </cell>
          <cell r="Q303">
            <v>0</v>
          </cell>
          <cell r="R303">
            <v>0</v>
          </cell>
        </row>
        <row r="304">
          <cell r="O304">
            <v>0</v>
          </cell>
          <cell r="P304">
            <v>0</v>
          </cell>
          <cell r="Q304">
            <v>0</v>
          </cell>
          <cell r="R304">
            <v>0</v>
          </cell>
        </row>
        <row r="306">
          <cell r="B306">
            <v>1</v>
          </cell>
          <cell r="O306">
            <v>799.95500000000004</v>
          </cell>
          <cell r="P306">
            <v>672</v>
          </cell>
          <cell r="Q306">
            <v>436.8</v>
          </cell>
          <cell r="R306">
            <v>0</v>
          </cell>
        </row>
        <row r="307">
          <cell r="O307">
            <v>0</v>
          </cell>
          <cell r="P307">
            <v>0</v>
          </cell>
          <cell r="Q307">
            <v>0</v>
          </cell>
          <cell r="R307">
            <v>0</v>
          </cell>
        </row>
        <row r="308">
          <cell r="O308">
            <v>0</v>
          </cell>
          <cell r="P308">
            <v>0</v>
          </cell>
          <cell r="Q308">
            <v>0</v>
          </cell>
          <cell r="R308">
            <v>0</v>
          </cell>
        </row>
        <row r="309">
          <cell r="O309">
            <v>0</v>
          </cell>
          <cell r="P309">
            <v>0</v>
          </cell>
          <cell r="Q309">
            <v>0</v>
          </cell>
          <cell r="R309">
            <v>0</v>
          </cell>
        </row>
        <row r="310">
          <cell r="O310">
            <v>0</v>
          </cell>
          <cell r="P310">
            <v>0</v>
          </cell>
          <cell r="Q310">
            <v>0</v>
          </cell>
          <cell r="R310">
            <v>0</v>
          </cell>
        </row>
        <row r="311">
          <cell r="O311">
            <v>0</v>
          </cell>
          <cell r="P311">
            <v>0</v>
          </cell>
          <cell r="Q311">
            <v>0</v>
          </cell>
          <cell r="R311">
            <v>0</v>
          </cell>
        </row>
        <row r="313">
          <cell r="O313">
            <v>0</v>
          </cell>
          <cell r="P313">
            <v>0</v>
          </cell>
          <cell r="Q313">
            <v>0</v>
          </cell>
          <cell r="R313">
            <v>0</v>
          </cell>
        </row>
        <row r="314">
          <cell r="O314">
            <v>0</v>
          </cell>
          <cell r="P314">
            <v>0</v>
          </cell>
          <cell r="Q314">
            <v>0</v>
          </cell>
          <cell r="R314">
            <v>0</v>
          </cell>
        </row>
        <row r="315">
          <cell r="B315">
            <v>1</v>
          </cell>
          <cell r="O315">
            <v>1058.0050000000001</v>
          </cell>
          <cell r="P315">
            <v>816.8</v>
          </cell>
          <cell r="Q315">
            <v>683.28</v>
          </cell>
          <cell r="R315">
            <v>0</v>
          </cell>
        </row>
        <row r="316">
          <cell r="O316">
            <v>0</v>
          </cell>
          <cell r="P316">
            <v>0</v>
          </cell>
          <cell r="Q316">
            <v>0</v>
          </cell>
          <cell r="R316">
            <v>0</v>
          </cell>
        </row>
        <row r="317">
          <cell r="O317">
            <v>0</v>
          </cell>
          <cell r="P317">
            <v>0</v>
          </cell>
          <cell r="Q317">
            <v>0</v>
          </cell>
          <cell r="R317">
            <v>0</v>
          </cell>
        </row>
        <row r="318">
          <cell r="O318">
            <v>0</v>
          </cell>
          <cell r="P318">
            <v>0</v>
          </cell>
          <cell r="Q318">
            <v>0</v>
          </cell>
          <cell r="R318">
            <v>0</v>
          </cell>
        </row>
        <row r="319">
          <cell r="O319">
            <v>0</v>
          </cell>
          <cell r="P319">
            <v>0</v>
          </cell>
          <cell r="Q319">
            <v>0</v>
          </cell>
          <cell r="R319">
            <v>0</v>
          </cell>
        </row>
        <row r="320">
          <cell r="O320">
            <v>0</v>
          </cell>
          <cell r="P320">
            <v>0</v>
          </cell>
          <cell r="Q320">
            <v>0</v>
          </cell>
          <cell r="R320">
            <v>0</v>
          </cell>
        </row>
        <row r="321">
          <cell r="O321">
            <v>0</v>
          </cell>
          <cell r="P321">
            <v>0</v>
          </cell>
          <cell r="Q321">
            <v>0</v>
          </cell>
          <cell r="R321">
            <v>0</v>
          </cell>
        </row>
        <row r="323">
          <cell r="B323">
            <v>1</v>
          </cell>
          <cell r="O323">
            <v>610.38750000000005</v>
          </cell>
          <cell r="P323">
            <v>580</v>
          </cell>
          <cell r="Q323">
            <v>464.88</v>
          </cell>
          <cell r="R323">
            <v>0</v>
          </cell>
        </row>
        <row r="324">
          <cell r="O324">
            <v>0</v>
          </cell>
          <cell r="P324">
            <v>0</v>
          </cell>
          <cell r="Q324">
            <v>0</v>
          </cell>
          <cell r="R324">
            <v>0</v>
          </cell>
        </row>
        <row r="325">
          <cell r="O325">
            <v>0</v>
          </cell>
          <cell r="P325">
            <v>0</v>
          </cell>
          <cell r="Q325">
            <v>0</v>
          </cell>
          <cell r="R325">
            <v>0</v>
          </cell>
        </row>
        <row r="326">
          <cell r="O326">
            <v>0</v>
          </cell>
          <cell r="P326">
            <v>0</v>
          </cell>
          <cell r="Q326">
            <v>0</v>
          </cell>
          <cell r="R326">
            <v>0</v>
          </cell>
        </row>
        <row r="327">
          <cell r="O327">
            <v>0</v>
          </cell>
          <cell r="P327">
            <v>0</v>
          </cell>
          <cell r="Q327">
            <v>0</v>
          </cell>
          <cell r="R327">
            <v>0</v>
          </cell>
        </row>
        <row r="329">
          <cell r="O329">
            <v>0</v>
          </cell>
          <cell r="P329">
            <v>0</v>
          </cell>
          <cell r="Q329">
            <v>0</v>
          </cell>
          <cell r="R329">
            <v>0</v>
          </cell>
        </row>
        <row r="330">
          <cell r="O330">
            <v>0</v>
          </cell>
          <cell r="P330">
            <v>0</v>
          </cell>
          <cell r="Q330">
            <v>0</v>
          </cell>
          <cell r="R330">
            <v>0</v>
          </cell>
        </row>
        <row r="331">
          <cell r="O331">
            <v>0</v>
          </cell>
          <cell r="P331">
            <v>0</v>
          </cell>
          <cell r="Q331">
            <v>0</v>
          </cell>
          <cell r="R331">
            <v>0</v>
          </cell>
        </row>
        <row r="332">
          <cell r="O332">
            <v>0</v>
          </cell>
          <cell r="P332">
            <v>0</v>
          </cell>
          <cell r="Q332">
            <v>0</v>
          </cell>
          <cell r="R332">
            <v>0</v>
          </cell>
        </row>
        <row r="333">
          <cell r="O333">
            <v>0</v>
          </cell>
          <cell r="P333">
            <v>0</v>
          </cell>
          <cell r="Q333">
            <v>0</v>
          </cell>
          <cell r="R333">
            <v>0</v>
          </cell>
        </row>
        <row r="334">
          <cell r="O334">
            <v>0</v>
          </cell>
          <cell r="P334">
            <v>0</v>
          </cell>
          <cell r="Q334">
            <v>0</v>
          </cell>
          <cell r="R334">
            <v>0</v>
          </cell>
        </row>
        <row r="335">
          <cell r="O335">
            <v>0</v>
          </cell>
          <cell r="P335">
            <v>0</v>
          </cell>
          <cell r="Q335">
            <v>0</v>
          </cell>
          <cell r="R335">
            <v>0</v>
          </cell>
        </row>
        <row r="336">
          <cell r="O336">
            <v>0</v>
          </cell>
          <cell r="P336">
            <v>0</v>
          </cell>
          <cell r="Q336">
            <v>0</v>
          </cell>
          <cell r="R336">
            <v>0</v>
          </cell>
        </row>
        <row r="337">
          <cell r="O337">
            <v>0</v>
          </cell>
          <cell r="P337">
            <v>0</v>
          </cell>
          <cell r="Q337">
            <v>0</v>
          </cell>
          <cell r="R337">
            <v>0</v>
          </cell>
        </row>
        <row r="338">
          <cell r="O338">
            <v>0</v>
          </cell>
          <cell r="P338">
            <v>0</v>
          </cell>
          <cell r="Q338">
            <v>0</v>
          </cell>
          <cell r="R338">
            <v>0</v>
          </cell>
        </row>
        <row r="340">
          <cell r="O340">
            <v>0</v>
          </cell>
          <cell r="P340">
            <v>0</v>
          </cell>
          <cell r="Q340">
            <v>0</v>
          </cell>
          <cell r="R340">
            <v>0</v>
          </cell>
        </row>
        <row r="341">
          <cell r="O341">
            <v>0</v>
          </cell>
          <cell r="P341">
            <v>0</v>
          </cell>
          <cell r="Q341">
            <v>0</v>
          </cell>
          <cell r="R341">
            <v>0</v>
          </cell>
        </row>
        <row r="342">
          <cell r="O342">
            <v>0</v>
          </cell>
          <cell r="P342">
            <v>0</v>
          </cell>
          <cell r="Q342">
            <v>0</v>
          </cell>
          <cell r="R342">
            <v>0</v>
          </cell>
        </row>
        <row r="343">
          <cell r="O343">
            <v>0</v>
          </cell>
          <cell r="P343">
            <v>0</v>
          </cell>
          <cell r="Q343">
            <v>0</v>
          </cell>
          <cell r="R343">
            <v>0</v>
          </cell>
        </row>
        <row r="344">
          <cell r="O344">
            <v>0</v>
          </cell>
          <cell r="P344">
            <v>0</v>
          </cell>
          <cell r="Q344">
            <v>0</v>
          </cell>
          <cell r="R344">
            <v>0</v>
          </cell>
        </row>
        <row r="345">
          <cell r="O345">
            <v>0</v>
          </cell>
          <cell r="P345">
            <v>0</v>
          </cell>
          <cell r="Q345">
            <v>0</v>
          </cell>
          <cell r="R345">
            <v>0</v>
          </cell>
        </row>
        <row r="346">
          <cell r="O346">
            <v>0</v>
          </cell>
          <cell r="P346">
            <v>0</v>
          </cell>
          <cell r="Q346">
            <v>0</v>
          </cell>
          <cell r="R346">
            <v>0</v>
          </cell>
        </row>
        <row r="347">
          <cell r="O347">
            <v>0</v>
          </cell>
          <cell r="P347">
            <v>0</v>
          </cell>
          <cell r="Q347">
            <v>0</v>
          </cell>
          <cell r="R347">
            <v>0</v>
          </cell>
        </row>
        <row r="348">
          <cell r="O348">
            <v>0</v>
          </cell>
          <cell r="P348">
            <v>0</v>
          </cell>
          <cell r="Q348">
            <v>0</v>
          </cell>
          <cell r="R348">
            <v>0</v>
          </cell>
        </row>
        <row r="349">
          <cell r="O349">
            <v>0</v>
          </cell>
          <cell r="P349">
            <v>0</v>
          </cell>
          <cell r="Q349">
            <v>0</v>
          </cell>
          <cell r="R349">
            <v>0</v>
          </cell>
        </row>
        <row r="350">
          <cell r="O350">
            <v>0</v>
          </cell>
          <cell r="P350">
            <v>0</v>
          </cell>
          <cell r="Q350">
            <v>0</v>
          </cell>
          <cell r="R350">
            <v>0</v>
          </cell>
        </row>
        <row r="351">
          <cell r="O351">
            <v>0</v>
          </cell>
          <cell r="P351">
            <v>0</v>
          </cell>
          <cell r="Q351">
            <v>0</v>
          </cell>
          <cell r="R351">
            <v>0</v>
          </cell>
        </row>
        <row r="352">
          <cell r="O352">
            <v>0</v>
          </cell>
          <cell r="P352">
            <v>0</v>
          </cell>
          <cell r="Q352">
            <v>0</v>
          </cell>
          <cell r="R352">
            <v>0</v>
          </cell>
        </row>
        <row r="353">
          <cell r="O353">
            <v>0</v>
          </cell>
          <cell r="P353">
            <v>0</v>
          </cell>
          <cell r="Q353">
            <v>0</v>
          </cell>
          <cell r="R353">
            <v>0</v>
          </cell>
        </row>
        <row r="354">
          <cell r="O354">
            <v>0</v>
          </cell>
          <cell r="P354">
            <v>0</v>
          </cell>
          <cell r="Q354">
            <v>0</v>
          </cell>
          <cell r="R354">
            <v>0</v>
          </cell>
        </row>
        <row r="355">
          <cell r="O355">
            <v>0</v>
          </cell>
          <cell r="P355">
            <v>0</v>
          </cell>
          <cell r="Q355">
            <v>0</v>
          </cell>
          <cell r="R355">
            <v>0</v>
          </cell>
        </row>
        <row r="356">
          <cell r="O356">
            <v>0</v>
          </cell>
          <cell r="P356">
            <v>0</v>
          </cell>
          <cell r="Q356">
            <v>0</v>
          </cell>
          <cell r="R356">
            <v>0</v>
          </cell>
        </row>
        <row r="357">
          <cell r="O357">
            <v>0</v>
          </cell>
          <cell r="P357">
            <v>0</v>
          </cell>
          <cell r="Q357">
            <v>0</v>
          </cell>
          <cell r="R357">
            <v>0</v>
          </cell>
        </row>
        <row r="359">
          <cell r="O359">
            <v>0</v>
          </cell>
          <cell r="P359">
            <v>0</v>
          </cell>
          <cell r="Q359">
            <v>0</v>
          </cell>
          <cell r="R359">
            <v>0</v>
          </cell>
        </row>
        <row r="360">
          <cell r="O360">
            <v>0</v>
          </cell>
          <cell r="P360">
            <v>0</v>
          </cell>
          <cell r="Q360">
            <v>0</v>
          </cell>
          <cell r="R360">
            <v>0</v>
          </cell>
        </row>
        <row r="361">
          <cell r="O361">
            <v>0</v>
          </cell>
          <cell r="P361">
            <v>0</v>
          </cell>
          <cell r="Q361">
            <v>0</v>
          </cell>
          <cell r="R361">
            <v>0</v>
          </cell>
        </row>
        <row r="363">
          <cell r="B363">
            <v>1</v>
          </cell>
          <cell r="O363">
            <v>9659.8799075910028</v>
          </cell>
          <cell r="P363">
            <v>6224</v>
          </cell>
          <cell r="Q363">
            <v>4600.96</v>
          </cell>
          <cell r="R363">
            <v>0</v>
          </cell>
        </row>
        <row r="364">
          <cell r="B364">
            <v>1</v>
          </cell>
          <cell r="C364" t="str">
            <v>A61D011</v>
          </cell>
          <cell r="O364">
            <v>10591.8224146875</v>
          </cell>
          <cell r="P364">
            <v>6158.6</v>
          </cell>
          <cell r="Q364">
            <v>4524</v>
          </cell>
          <cell r="R364">
            <v>0</v>
          </cell>
        </row>
        <row r="366">
          <cell r="O366">
            <v>0</v>
          </cell>
          <cell r="P366">
            <v>0</v>
          </cell>
          <cell r="Q366">
            <v>0</v>
          </cell>
          <cell r="R366">
            <v>0</v>
          </cell>
        </row>
        <row r="367">
          <cell r="O367">
            <v>0</v>
          </cell>
          <cell r="P367">
            <v>0</v>
          </cell>
          <cell r="Q367">
            <v>0</v>
          </cell>
          <cell r="R367">
            <v>0</v>
          </cell>
        </row>
        <row r="369">
          <cell r="B369">
            <v>1</v>
          </cell>
          <cell r="O369">
            <v>799.95500000000004</v>
          </cell>
          <cell r="P369">
            <v>672</v>
          </cell>
          <cell r="Q369">
            <v>436.8</v>
          </cell>
          <cell r="R369">
            <v>0</v>
          </cell>
        </row>
        <row r="370">
          <cell r="O370">
            <v>0</v>
          </cell>
          <cell r="P370">
            <v>0</v>
          </cell>
          <cell r="Q370">
            <v>0</v>
          </cell>
          <cell r="R370">
            <v>0</v>
          </cell>
        </row>
        <row r="371">
          <cell r="O371">
            <v>0</v>
          </cell>
          <cell r="P371">
            <v>0</v>
          </cell>
          <cell r="Q371">
            <v>0</v>
          </cell>
          <cell r="R371">
            <v>0</v>
          </cell>
        </row>
        <row r="372">
          <cell r="O372">
            <v>0</v>
          </cell>
          <cell r="P372">
            <v>0</v>
          </cell>
          <cell r="Q372">
            <v>0</v>
          </cell>
          <cell r="R372">
            <v>0</v>
          </cell>
        </row>
        <row r="373">
          <cell r="O373">
            <v>0</v>
          </cell>
          <cell r="P373">
            <v>0</v>
          </cell>
          <cell r="Q373">
            <v>0</v>
          </cell>
          <cell r="R373">
            <v>0</v>
          </cell>
        </row>
        <row r="374">
          <cell r="O374">
            <v>0</v>
          </cell>
          <cell r="P374">
            <v>0</v>
          </cell>
          <cell r="Q374">
            <v>0</v>
          </cell>
          <cell r="R374">
            <v>0</v>
          </cell>
        </row>
        <row r="376">
          <cell r="O376">
            <v>0</v>
          </cell>
          <cell r="P376">
            <v>0</v>
          </cell>
          <cell r="Q376">
            <v>0</v>
          </cell>
          <cell r="R376">
            <v>0</v>
          </cell>
        </row>
        <row r="377">
          <cell r="O377">
            <v>0</v>
          </cell>
          <cell r="P377">
            <v>0</v>
          </cell>
          <cell r="Q377">
            <v>0</v>
          </cell>
          <cell r="R377">
            <v>0</v>
          </cell>
        </row>
        <row r="378">
          <cell r="O378">
            <v>0</v>
          </cell>
          <cell r="P378">
            <v>0</v>
          </cell>
          <cell r="Q378">
            <v>0</v>
          </cell>
          <cell r="R378">
            <v>0</v>
          </cell>
        </row>
        <row r="379">
          <cell r="B379">
            <v>1</v>
          </cell>
          <cell r="O379">
            <v>1058.0050000000001</v>
          </cell>
          <cell r="P379">
            <v>816.8</v>
          </cell>
          <cell r="Q379">
            <v>683.28</v>
          </cell>
          <cell r="R379">
            <v>0</v>
          </cell>
        </row>
        <row r="380">
          <cell r="O380">
            <v>0</v>
          </cell>
          <cell r="P380">
            <v>0</v>
          </cell>
          <cell r="Q380">
            <v>0</v>
          </cell>
          <cell r="R380">
            <v>0</v>
          </cell>
        </row>
        <row r="381">
          <cell r="O381">
            <v>0</v>
          </cell>
          <cell r="P381">
            <v>0</v>
          </cell>
          <cell r="Q381">
            <v>0</v>
          </cell>
          <cell r="R381">
            <v>0</v>
          </cell>
        </row>
        <row r="382">
          <cell r="O382">
            <v>0</v>
          </cell>
          <cell r="P382">
            <v>0</v>
          </cell>
          <cell r="Q382">
            <v>0</v>
          </cell>
          <cell r="R382">
            <v>0</v>
          </cell>
        </row>
        <row r="383">
          <cell r="O383">
            <v>0</v>
          </cell>
          <cell r="P383">
            <v>0</v>
          </cell>
          <cell r="Q383">
            <v>0</v>
          </cell>
          <cell r="R383">
            <v>0</v>
          </cell>
        </row>
        <row r="384">
          <cell r="O384">
            <v>0</v>
          </cell>
          <cell r="P384">
            <v>0</v>
          </cell>
          <cell r="Q384">
            <v>0</v>
          </cell>
          <cell r="R384">
            <v>0</v>
          </cell>
        </row>
        <row r="385">
          <cell r="O385">
            <v>0</v>
          </cell>
          <cell r="P385">
            <v>0</v>
          </cell>
          <cell r="Q385">
            <v>0</v>
          </cell>
          <cell r="R385">
            <v>0</v>
          </cell>
        </row>
        <row r="386">
          <cell r="O386">
            <v>0</v>
          </cell>
          <cell r="P386">
            <v>0</v>
          </cell>
          <cell r="Q386">
            <v>0</v>
          </cell>
          <cell r="R386">
            <v>0</v>
          </cell>
        </row>
        <row r="387">
          <cell r="O387">
            <v>0</v>
          </cell>
          <cell r="P387">
            <v>0</v>
          </cell>
          <cell r="Q387">
            <v>0</v>
          </cell>
          <cell r="R387">
            <v>0</v>
          </cell>
        </row>
        <row r="388">
          <cell r="O388">
            <v>0</v>
          </cell>
          <cell r="P388">
            <v>0</v>
          </cell>
          <cell r="Q388">
            <v>0</v>
          </cell>
          <cell r="R388">
            <v>0</v>
          </cell>
        </row>
        <row r="390">
          <cell r="B390">
            <v>1</v>
          </cell>
          <cell r="O390">
            <v>610.38750000000005</v>
          </cell>
          <cell r="P390">
            <v>580</v>
          </cell>
          <cell r="Q390">
            <v>464.88</v>
          </cell>
          <cell r="R390">
            <v>0</v>
          </cell>
        </row>
        <row r="391">
          <cell r="O391">
            <v>0</v>
          </cell>
          <cell r="P391">
            <v>0</v>
          </cell>
          <cell r="Q391">
            <v>0</v>
          </cell>
          <cell r="R391">
            <v>0</v>
          </cell>
        </row>
        <row r="392">
          <cell r="O392">
            <v>0</v>
          </cell>
          <cell r="P392">
            <v>0</v>
          </cell>
          <cell r="Q392">
            <v>0</v>
          </cell>
          <cell r="R392">
            <v>0</v>
          </cell>
        </row>
        <row r="393">
          <cell r="O393">
            <v>0</v>
          </cell>
          <cell r="P393">
            <v>0</v>
          </cell>
          <cell r="Q393">
            <v>0</v>
          </cell>
          <cell r="R393">
            <v>0</v>
          </cell>
        </row>
        <row r="394">
          <cell r="O394">
            <v>0</v>
          </cell>
          <cell r="P394">
            <v>0</v>
          </cell>
          <cell r="Q394">
            <v>0</v>
          </cell>
          <cell r="R394">
            <v>0</v>
          </cell>
        </row>
        <row r="396">
          <cell r="O396">
            <v>0</v>
          </cell>
          <cell r="P396">
            <v>0</v>
          </cell>
          <cell r="Q396">
            <v>0</v>
          </cell>
          <cell r="R396">
            <v>0</v>
          </cell>
        </row>
        <row r="397">
          <cell r="O397">
            <v>0</v>
          </cell>
          <cell r="P397">
            <v>0</v>
          </cell>
          <cell r="Q397">
            <v>0</v>
          </cell>
          <cell r="R397">
            <v>0</v>
          </cell>
        </row>
        <row r="398">
          <cell r="O398">
            <v>0</v>
          </cell>
          <cell r="P398">
            <v>0</v>
          </cell>
          <cell r="Q398">
            <v>0</v>
          </cell>
          <cell r="R398">
            <v>0</v>
          </cell>
        </row>
        <row r="399">
          <cell r="O399">
            <v>0</v>
          </cell>
          <cell r="P399">
            <v>0</v>
          </cell>
          <cell r="Q399">
            <v>0</v>
          </cell>
          <cell r="R399">
            <v>0</v>
          </cell>
        </row>
        <row r="400">
          <cell r="O400">
            <v>0</v>
          </cell>
          <cell r="P400">
            <v>0</v>
          </cell>
          <cell r="Q400">
            <v>0</v>
          </cell>
          <cell r="R400">
            <v>0</v>
          </cell>
        </row>
        <row r="401">
          <cell r="O401">
            <v>0</v>
          </cell>
          <cell r="P401">
            <v>0</v>
          </cell>
          <cell r="Q401">
            <v>0</v>
          </cell>
          <cell r="R401">
            <v>0</v>
          </cell>
        </row>
        <row r="402">
          <cell r="O402">
            <v>0</v>
          </cell>
          <cell r="P402">
            <v>0</v>
          </cell>
          <cell r="Q402">
            <v>0</v>
          </cell>
          <cell r="R402">
            <v>0</v>
          </cell>
        </row>
        <row r="403">
          <cell r="O403">
            <v>0</v>
          </cell>
          <cell r="P403">
            <v>0</v>
          </cell>
          <cell r="Q403">
            <v>0</v>
          </cell>
          <cell r="R403">
            <v>0</v>
          </cell>
        </row>
        <row r="404">
          <cell r="O404">
            <v>0</v>
          </cell>
          <cell r="P404">
            <v>0</v>
          </cell>
          <cell r="Q404">
            <v>0</v>
          </cell>
          <cell r="R404">
            <v>0</v>
          </cell>
        </row>
        <row r="405">
          <cell r="O405">
            <v>0</v>
          </cell>
          <cell r="P405">
            <v>0</v>
          </cell>
          <cell r="Q405">
            <v>0</v>
          </cell>
          <cell r="R405">
            <v>0</v>
          </cell>
        </row>
        <row r="407">
          <cell r="O407">
            <v>0</v>
          </cell>
          <cell r="P407">
            <v>0</v>
          </cell>
          <cell r="Q407">
            <v>0</v>
          </cell>
          <cell r="R407">
            <v>0</v>
          </cell>
        </row>
        <row r="408">
          <cell r="O408">
            <v>0</v>
          </cell>
          <cell r="P408">
            <v>0</v>
          </cell>
          <cell r="Q408">
            <v>0</v>
          </cell>
          <cell r="R408">
            <v>0</v>
          </cell>
        </row>
        <row r="409">
          <cell r="O409">
            <v>0</v>
          </cell>
          <cell r="P409">
            <v>0</v>
          </cell>
          <cell r="Q409">
            <v>0</v>
          </cell>
          <cell r="R409">
            <v>0</v>
          </cell>
        </row>
        <row r="410">
          <cell r="O410">
            <v>0</v>
          </cell>
          <cell r="P410">
            <v>0</v>
          </cell>
          <cell r="Q410">
            <v>0</v>
          </cell>
          <cell r="R410">
            <v>0</v>
          </cell>
        </row>
        <row r="411">
          <cell r="O411">
            <v>0</v>
          </cell>
          <cell r="P411">
            <v>0</v>
          </cell>
          <cell r="Q411">
            <v>0</v>
          </cell>
          <cell r="R411">
            <v>0</v>
          </cell>
        </row>
        <row r="412">
          <cell r="O412">
            <v>0</v>
          </cell>
          <cell r="P412">
            <v>0</v>
          </cell>
          <cell r="Q412">
            <v>0</v>
          </cell>
          <cell r="R412">
            <v>0</v>
          </cell>
        </row>
        <row r="413">
          <cell r="O413">
            <v>0</v>
          </cell>
          <cell r="P413">
            <v>0</v>
          </cell>
          <cell r="Q413">
            <v>0</v>
          </cell>
          <cell r="R413">
            <v>0</v>
          </cell>
        </row>
        <row r="414">
          <cell r="O414">
            <v>0</v>
          </cell>
          <cell r="P414">
            <v>0</v>
          </cell>
          <cell r="Q414">
            <v>0</v>
          </cell>
          <cell r="R414">
            <v>0</v>
          </cell>
        </row>
        <row r="415">
          <cell r="O415">
            <v>0</v>
          </cell>
          <cell r="P415">
            <v>0</v>
          </cell>
          <cell r="Q415">
            <v>0</v>
          </cell>
          <cell r="R415">
            <v>0</v>
          </cell>
        </row>
        <row r="416">
          <cell r="O416">
            <v>0</v>
          </cell>
          <cell r="P416">
            <v>0</v>
          </cell>
          <cell r="Q416">
            <v>0</v>
          </cell>
          <cell r="R416">
            <v>0</v>
          </cell>
        </row>
        <row r="417">
          <cell r="O417">
            <v>0</v>
          </cell>
          <cell r="P417">
            <v>0</v>
          </cell>
          <cell r="Q417">
            <v>0</v>
          </cell>
          <cell r="R417">
            <v>0</v>
          </cell>
        </row>
        <row r="418">
          <cell r="O418">
            <v>0</v>
          </cell>
          <cell r="P418">
            <v>0</v>
          </cell>
          <cell r="Q418">
            <v>0</v>
          </cell>
          <cell r="R418">
            <v>0</v>
          </cell>
        </row>
        <row r="419">
          <cell r="O419">
            <v>0</v>
          </cell>
          <cell r="P419">
            <v>0</v>
          </cell>
          <cell r="Q419">
            <v>0</v>
          </cell>
          <cell r="R419">
            <v>0</v>
          </cell>
        </row>
        <row r="420">
          <cell r="O420">
            <v>0</v>
          </cell>
          <cell r="P420">
            <v>0</v>
          </cell>
          <cell r="Q420">
            <v>0</v>
          </cell>
          <cell r="R420">
            <v>0</v>
          </cell>
        </row>
        <row r="421">
          <cell r="O421">
            <v>0</v>
          </cell>
          <cell r="P421">
            <v>0</v>
          </cell>
          <cell r="Q421">
            <v>0</v>
          </cell>
          <cell r="R421">
            <v>0</v>
          </cell>
        </row>
        <row r="422">
          <cell r="O422">
            <v>0</v>
          </cell>
          <cell r="P422">
            <v>0</v>
          </cell>
          <cell r="Q422">
            <v>0</v>
          </cell>
          <cell r="R422">
            <v>0</v>
          </cell>
        </row>
        <row r="423">
          <cell r="O423">
            <v>0</v>
          </cell>
          <cell r="P423">
            <v>0</v>
          </cell>
          <cell r="Q423">
            <v>0</v>
          </cell>
          <cell r="R423">
            <v>0</v>
          </cell>
        </row>
        <row r="424">
          <cell r="O424">
            <v>0</v>
          </cell>
          <cell r="P424">
            <v>0</v>
          </cell>
          <cell r="Q424">
            <v>0</v>
          </cell>
          <cell r="R424">
            <v>0</v>
          </cell>
        </row>
        <row r="426">
          <cell r="O426">
            <v>0</v>
          </cell>
          <cell r="P426">
            <v>0</v>
          </cell>
          <cell r="Q426">
            <v>0</v>
          </cell>
          <cell r="R426">
            <v>0</v>
          </cell>
        </row>
        <row r="427">
          <cell r="O427">
            <v>0</v>
          </cell>
          <cell r="P427">
            <v>0</v>
          </cell>
          <cell r="Q427">
            <v>0</v>
          </cell>
          <cell r="R427">
            <v>0</v>
          </cell>
        </row>
        <row r="428">
          <cell r="O428">
            <v>0</v>
          </cell>
          <cell r="P428">
            <v>0</v>
          </cell>
          <cell r="Q428">
            <v>0</v>
          </cell>
          <cell r="R428">
            <v>0</v>
          </cell>
        </row>
        <row r="430">
          <cell r="B430">
            <v>1</v>
          </cell>
          <cell r="O430">
            <v>13060.1699146875</v>
          </cell>
          <cell r="P430">
            <v>8227.4000000000015</v>
          </cell>
          <cell r="Q430">
            <v>6108.96</v>
          </cell>
          <cell r="R430">
            <v>0</v>
          </cell>
        </row>
        <row r="431">
          <cell r="B431">
            <v>1</v>
          </cell>
          <cell r="C431" t="str">
            <v>A5YN017</v>
          </cell>
          <cell r="O431">
            <v>15296.831812500001</v>
          </cell>
          <cell r="P431">
            <v>9482</v>
          </cell>
          <cell r="Q431">
            <v>5650.11</v>
          </cell>
          <cell r="R431">
            <v>0</v>
          </cell>
        </row>
        <row r="433">
          <cell r="O433">
            <v>0</v>
          </cell>
          <cell r="P433">
            <v>0</v>
          </cell>
          <cell r="Q433">
            <v>0</v>
          </cell>
          <cell r="R433">
            <v>0</v>
          </cell>
        </row>
        <row r="434">
          <cell r="O434">
            <v>0</v>
          </cell>
          <cell r="P434">
            <v>0</v>
          </cell>
          <cell r="Q434">
            <v>0</v>
          </cell>
          <cell r="R434">
            <v>0</v>
          </cell>
        </row>
        <row r="436">
          <cell r="B436">
            <v>1</v>
          </cell>
          <cell r="O436">
            <v>1903.615</v>
          </cell>
          <cell r="P436">
            <v>1395.72</v>
          </cell>
          <cell r="Q436">
            <v>983.84</v>
          </cell>
          <cell r="R436">
            <v>0</v>
          </cell>
        </row>
        <row r="437">
          <cell r="O437">
            <v>0</v>
          </cell>
          <cell r="P437">
            <v>0</v>
          </cell>
          <cell r="Q437">
            <v>0</v>
          </cell>
          <cell r="R437">
            <v>0</v>
          </cell>
        </row>
        <row r="439">
          <cell r="O439">
            <v>0</v>
          </cell>
          <cell r="P439">
            <v>0</v>
          </cell>
          <cell r="Q439">
            <v>0</v>
          </cell>
          <cell r="R439">
            <v>0</v>
          </cell>
        </row>
        <row r="440">
          <cell r="O440">
            <v>0</v>
          </cell>
          <cell r="P440">
            <v>0</v>
          </cell>
          <cell r="Q440">
            <v>0</v>
          </cell>
          <cell r="R440">
            <v>0</v>
          </cell>
        </row>
        <row r="441">
          <cell r="O441">
            <v>0</v>
          </cell>
          <cell r="P441">
            <v>0</v>
          </cell>
          <cell r="Q441">
            <v>0</v>
          </cell>
          <cell r="R441">
            <v>0</v>
          </cell>
        </row>
        <row r="442">
          <cell r="O442">
            <v>0</v>
          </cell>
          <cell r="P442">
            <v>0</v>
          </cell>
          <cell r="Q442">
            <v>0</v>
          </cell>
          <cell r="R442">
            <v>0</v>
          </cell>
        </row>
        <row r="443">
          <cell r="O443">
            <v>0</v>
          </cell>
          <cell r="P443">
            <v>0</v>
          </cell>
          <cell r="Q443">
            <v>0</v>
          </cell>
          <cell r="R443">
            <v>0</v>
          </cell>
        </row>
        <row r="444">
          <cell r="O444">
            <v>0</v>
          </cell>
          <cell r="P444">
            <v>0</v>
          </cell>
          <cell r="Q444">
            <v>0</v>
          </cell>
          <cell r="R444">
            <v>0</v>
          </cell>
        </row>
        <row r="445">
          <cell r="O445">
            <v>0</v>
          </cell>
          <cell r="P445">
            <v>0</v>
          </cell>
          <cell r="Q445">
            <v>0</v>
          </cell>
          <cell r="R445">
            <v>0</v>
          </cell>
        </row>
        <row r="446">
          <cell r="B446">
            <v>1</v>
          </cell>
          <cell r="O446">
            <v>1058.0050000000001</v>
          </cell>
          <cell r="P446">
            <v>816.8</v>
          </cell>
          <cell r="Q446">
            <v>683.28</v>
          </cell>
          <cell r="R446">
            <v>0</v>
          </cell>
        </row>
        <row r="447">
          <cell r="O447">
            <v>0</v>
          </cell>
          <cell r="P447">
            <v>0</v>
          </cell>
          <cell r="Q447">
            <v>0</v>
          </cell>
          <cell r="R447">
            <v>0</v>
          </cell>
        </row>
        <row r="448">
          <cell r="O448">
            <v>0</v>
          </cell>
          <cell r="P448">
            <v>0</v>
          </cell>
          <cell r="Q448">
            <v>0</v>
          </cell>
          <cell r="R448">
            <v>0</v>
          </cell>
        </row>
        <row r="450">
          <cell r="B450">
            <v>1</v>
          </cell>
          <cell r="O450">
            <v>870.42250000000001</v>
          </cell>
          <cell r="P450">
            <v>580</v>
          </cell>
          <cell r="Q450">
            <v>464.88</v>
          </cell>
          <cell r="R450">
            <v>0</v>
          </cell>
        </row>
        <row r="451">
          <cell r="O451">
            <v>0</v>
          </cell>
          <cell r="P451">
            <v>0</v>
          </cell>
          <cell r="Q451">
            <v>0</v>
          </cell>
          <cell r="R451">
            <v>0</v>
          </cell>
        </row>
        <row r="452">
          <cell r="O452">
            <v>0</v>
          </cell>
          <cell r="P452">
            <v>0</v>
          </cell>
          <cell r="Q452">
            <v>0</v>
          </cell>
          <cell r="R452">
            <v>0</v>
          </cell>
        </row>
        <row r="454">
          <cell r="O454">
            <v>0</v>
          </cell>
          <cell r="P454">
            <v>0</v>
          </cell>
          <cell r="Q454">
            <v>0</v>
          </cell>
          <cell r="R454">
            <v>0</v>
          </cell>
        </row>
        <row r="455">
          <cell r="O455">
            <v>0</v>
          </cell>
          <cell r="P455">
            <v>0</v>
          </cell>
          <cell r="Q455">
            <v>0</v>
          </cell>
          <cell r="R455">
            <v>0</v>
          </cell>
        </row>
        <row r="456">
          <cell r="O456">
            <v>0</v>
          </cell>
          <cell r="P456">
            <v>0</v>
          </cell>
          <cell r="Q456">
            <v>0</v>
          </cell>
          <cell r="R456">
            <v>0</v>
          </cell>
        </row>
        <row r="457">
          <cell r="O457">
            <v>0</v>
          </cell>
          <cell r="P457">
            <v>0</v>
          </cell>
          <cell r="Q457">
            <v>0</v>
          </cell>
          <cell r="R457">
            <v>0</v>
          </cell>
        </row>
        <row r="458">
          <cell r="O458">
            <v>0</v>
          </cell>
          <cell r="P458">
            <v>0</v>
          </cell>
          <cell r="Q458">
            <v>0</v>
          </cell>
          <cell r="R458">
            <v>0</v>
          </cell>
        </row>
        <row r="459">
          <cell r="O459">
            <v>0</v>
          </cell>
          <cell r="P459">
            <v>0</v>
          </cell>
          <cell r="Q459">
            <v>0</v>
          </cell>
          <cell r="R459">
            <v>0</v>
          </cell>
        </row>
        <row r="460">
          <cell r="O460">
            <v>0</v>
          </cell>
          <cell r="P460">
            <v>0</v>
          </cell>
          <cell r="Q460">
            <v>0</v>
          </cell>
          <cell r="R460">
            <v>0</v>
          </cell>
        </row>
        <row r="461">
          <cell r="O461">
            <v>0</v>
          </cell>
          <cell r="P461">
            <v>0</v>
          </cell>
          <cell r="Q461">
            <v>0</v>
          </cell>
          <cell r="R461">
            <v>0</v>
          </cell>
        </row>
        <row r="463">
          <cell r="O463">
            <v>0</v>
          </cell>
          <cell r="P463">
            <v>0</v>
          </cell>
          <cell r="Q463">
            <v>0</v>
          </cell>
          <cell r="R463">
            <v>0</v>
          </cell>
        </row>
        <row r="464">
          <cell r="O464">
            <v>0</v>
          </cell>
          <cell r="P464">
            <v>0</v>
          </cell>
          <cell r="Q464">
            <v>0</v>
          </cell>
          <cell r="R464">
            <v>0</v>
          </cell>
        </row>
        <row r="465">
          <cell r="O465">
            <v>0</v>
          </cell>
          <cell r="P465">
            <v>0</v>
          </cell>
          <cell r="Q465">
            <v>0</v>
          </cell>
          <cell r="R465">
            <v>0</v>
          </cell>
        </row>
        <row r="466">
          <cell r="O466">
            <v>0</v>
          </cell>
          <cell r="P466">
            <v>0</v>
          </cell>
          <cell r="Q466">
            <v>0</v>
          </cell>
          <cell r="R466">
            <v>0</v>
          </cell>
        </row>
        <row r="467">
          <cell r="O467">
            <v>0</v>
          </cell>
          <cell r="P467">
            <v>0</v>
          </cell>
          <cell r="Q467">
            <v>0</v>
          </cell>
          <cell r="R467">
            <v>0</v>
          </cell>
        </row>
        <row r="468">
          <cell r="O468">
            <v>0</v>
          </cell>
          <cell r="P468">
            <v>0</v>
          </cell>
          <cell r="Q468">
            <v>0</v>
          </cell>
          <cell r="R468">
            <v>0</v>
          </cell>
        </row>
        <row r="469">
          <cell r="O469">
            <v>0</v>
          </cell>
          <cell r="P469">
            <v>0</v>
          </cell>
          <cell r="Q469">
            <v>0</v>
          </cell>
          <cell r="R469">
            <v>0</v>
          </cell>
        </row>
        <row r="470">
          <cell r="O470">
            <v>0</v>
          </cell>
          <cell r="P470">
            <v>0</v>
          </cell>
          <cell r="Q470">
            <v>0</v>
          </cell>
          <cell r="R470">
            <v>0</v>
          </cell>
        </row>
        <row r="471">
          <cell r="O471">
            <v>0</v>
          </cell>
          <cell r="P471">
            <v>0</v>
          </cell>
          <cell r="Q471">
            <v>0</v>
          </cell>
          <cell r="R471">
            <v>0</v>
          </cell>
        </row>
        <row r="472">
          <cell r="O472">
            <v>0</v>
          </cell>
          <cell r="P472">
            <v>0</v>
          </cell>
          <cell r="Q472">
            <v>0</v>
          </cell>
          <cell r="R472">
            <v>0</v>
          </cell>
        </row>
        <row r="473">
          <cell r="O473">
            <v>0</v>
          </cell>
          <cell r="P473">
            <v>0</v>
          </cell>
          <cell r="Q473">
            <v>0</v>
          </cell>
          <cell r="R473">
            <v>0</v>
          </cell>
        </row>
        <row r="474">
          <cell r="O474">
            <v>0</v>
          </cell>
          <cell r="P474">
            <v>0</v>
          </cell>
          <cell r="Q474">
            <v>0</v>
          </cell>
          <cell r="R474">
            <v>0</v>
          </cell>
        </row>
        <row r="475">
          <cell r="O475">
            <v>0</v>
          </cell>
          <cell r="P475">
            <v>0</v>
          </cell>
          <cell r="Q475">
            <v>0</v>
          </cell>
          <cell r="R475">
            <v>0</v>
          </cell>
        </row>
        <row r="476">
          <cell r="O476">
            <v>0</v>
          </cell>
          <cell r="P476">
            <v>0</v>
          </cell>
          <cell r="Q476">
            <v>0</v>
          </cell>
          <cell r="R476">
            <v>0</v>
          </cell>
        </row>
        <row r="477">
          <cell r="O477">
            <v>0</v>
          </cell>
          <cell r="P477">
            <v>0</v>
          </cell>
          <cell r="Q477">
            <v>0</v>
          </cell>
          <cell r="R477">
            <v>0</v>
          </cell>
        </row>
        <row r="478">
          <cell r="O478">
            <v>0</v>
          </cell>
          <cell r="P478">
            <v>0</v>
          </cell>
          <cell r="Q478">
            <v>0</v>
          </cell>
          <cell r="R478">
            <v>0</v>
          </cell>
        </row>
        <row r="479">
          <cell r="O479">
            <v>0</v>
          </cell>
          <cell r="P479">
            <v>0</v>
          </cell>
          <cell r="Q479">
            <v>0</v>
          </cell>
          <cell r="R479">
            <v>0</v>
          </cell>
        </row>
        <row r="481">
          <cell r="O481">
            <v>0</v>
          </cell>
          <cell r="P481">
            <v>0</v>
          </cell>
          <cell r="Q481">
            <v>0</v>
          </cell>
          <cell r="R481">
            <v>0</v>
          </cell>
        </row>
        <row r="482">
          <cell r="O482">
            <v>0</v>
          </cell>
          <cell r="P482">
            <v>0</v>
          </cell>
          <cell r="Q482">
            <v>0</v>
          </cell>
          <cell r="R482">
            <v>0</v>
          </cell>
        </row>
        <row r="483">
          <cell r="O483">
            <v>0</v>
          </cell>
          <cell r="P483">
            <v>0</v>
          </cell>
          <cell r="Q483">
            <v>0</v>
          </cell>
          <cell r="R483">
            <v>0</v>
          </cell>
        </row>
        <row r="485">
          <cell r="B485">
            <v>1</v>
          </cell>
          <cell r="O485">
            <v>19128.874312500004</v>
          </cell>
          <cell r="P485">
            <v>12274.519999999999</v>
          </cell>
          <cell r="Q485">
            <v>7782.11</v>
          </cell>
          <cell r="R485">
            <v>0</v>
          </cell>
        </row>
        <row r="486">
          <cell r="B486">
            <v>1</v>
          </cell>
          <cell r="C486" t="str">
            <v>A55V017</v>
          </cell>
          <cell r="O486">
            <v>15296.831812500001</v>
          </cell>
          <cell r="P486">
            <v>11476</v>
          </cell>
          <cell r="Q486">
            <v>5932.16</v>
          </cell>
          <cell r="R486">
            <v>0</v>
          </cell>
        </row>
        <row r="488">
          <cell r="O488">
            <v>0</v>
          </cell>
          <cell r="P488">
            <v>0</v>
          </cell>
          <cell r="Q488">
            <v>0</v>
          </cell>
          <cell r="R488">
            <v>0</v>
          </cell>
        </row>
        <row r="489">
          <cell r="O489">
            <v>0</v>
          </cell>
          <cell r="P489">
            <v>0</v>
          </cell>
          <cell r="Q489">
            <v>0</v>
          </cell>
          <cell r="R489">
            <v>0</v>
          </cell>
        </row>
        <row r="491">
          <cell r="O491">
            <v>0</v>
          </cell>
          <cell r="P491">
            <v>0</v>
          </cell>
          <cell r="Q491">
            <v>0</v>
          </cell>
          <cell r="R491">
            <v>0</v>
          </cell>
        </row>
        <row r="492">
          <cell r="B492">
            <v>1</v>
          </cell>
          <cell r="O492">
            <v>1015.3275000000001</v>
          </cell>
          <cell r="P492">
            <v>761.34</v>
          </cell>
          <cell r="Q492">
            <v>601.12</v>
          </cell>
          <cell r="R492">
            <v>0</v>
          </cell>
        </row>
        <row r="494">
          <cell r="O494">
            <v>0</v>
          </cell>
          <cell r="P494">
            <v>0</v>
          </cell>
          <cell r="Q494">
            <v>0</v>
          </cell>
          <cell r="R494">
            <v>0</v>
          </cell>
        </row>
        <row r="495">
          <cell r="O495">
            <v>0</v>
          </cell>
          <cell r="P495">
            <v>0</v>
          </cell>
          <cell r="Q495">
            <v>0</v>
          </cell>
          <cell r="R495">
            <v>0</v>
          </cell>
        </row>
        <row r="496">
          <cell r="O496">
            <v>0</v>
          </cell>
          <cell r="P496">
            <v>0</v>
          </cell>
          <cell r="Q496">
            <v>0</v>
          </cell>
          <cell r="R496">
            <v>0</v>
          </cell>
        </row>
        <row r="497">
          <cell r="O497">
            <v>0</v>
          </cell>
          <cell r="P497">
            <v>0</v>
          </cell>
          <cell r="Q497">
            <v>0</v>
          </cell>
          <cell r="R497">
            <v>0</v>
          </cell>
        </row>
        <row r="498">
          <cell r="O498">
            <v>0</v>
          </cell>
          <cell r="P498">
            <v>0</v>
          </cell>
          <cell r="Q498">
            <v>0</v>
          </cell>
          <cell r="R498">
            <v>0</v>
          </cell>
        </row>
        <row r="499">
          <cell r="O499">
            <v>0</v>
          </cell>
          <cell r="P499">
            <v>0</v>
          </cell>
          <cell r="Q499">
            <v>0</v>
          </cell>
          <cell r="R499">
            <v>0</v>
          </cell>
        </row>
        <row r="500">
          <cell r="O500">
            <v>0</v>
          </cell>
          <cell r="P500">
            <v>0</v>
          </cell>
          <cell r="Q500">
            <v>0</v>
          </cell>
          <cell r="R500">
            <v>0</v>
          </cell>
        </row>
        <row r="501">
          <cell r="B501">
            <v>1</v>
          </cell>
          <cell r="O501">
            <v>1058.0050000000001</v>
          </cell>
          <cell r="P501">
            <v>816.8</v>
          </cell>
          <cell r="Q501">
            <v>683.28</v>
          </cell>
          <cell r="R501">
            <v>0</v>
          </cell>
        </row>
        <row r="502">
          <cell r="O502">
            <v>0</v>
          </cell>
          <cell r="P502">
            <v>0</v>
          </cell>
          <cell r="Q502">
            <v>0</v>
          </cell>
          <cell r="R502">
            <v>0</v>
          </cell>
        </row>
        <row r="503">
          <cell r="O503">
            <v>0</v>
          </cell>
          <cell r="P503">
            <v>0</v>
          </cell>
          <cell r="Q503">
            <v>0</v>
          </cell>
          <cell r="R503">
            <v>0</v>
          </cell>
        </row>
        <row r="505">
          <cell r="B505">
            <v>1</v>
          </cell>
          <cell r="O505">
            <v>870.42250000000001</v>
          </cell>
          <cell r="P505">
            <v>580</v>
          </cell>
          <cell r="Q505">
            <v>464.88</v>
          </cell>
          <cell r="R505">
            <v>0</v>
          </cell>
        </row>
        <row r="506">
          <cell r="O506">
            <v>0</v>
          </cell>
          <cell r="P506">
            <v>0</v>
          </cell>
          <cell r="Q506">
            <v>0</v>
          </cell>
          <cell r="R506">
            <v>0</v>
          </cell>
        </row>
        <row r="507">
          <cell r="O507">
            <v>0</v>
          </cell>
          <cell r="P507">
            <v>0</v>
          </cell>
          <cell r="Q507">
            <v>0</v>
          </cell>
          <cell r="R507">
            <v>0</v>
          </cell>
        </row>
        <row r="509">
          <cell r="O509">
            <v>0</v>
          </cell>
          <cell r="P509">
            <v>0</v>
          </cell>
          <cell r="Q509">
            <v>0</v>
          </cell>
          <cell r="R509">
            <v>0</v>
          </cell>
        </row>
        <row r="510">
          <cell r="O510">
            <v>0</v>
          </cell>
          <cell r="P510">
            <v>0</v>
          </cell>
          <cell r="Q510">
            <v>0</v>
          </cell>
          <cell r="R510">
            <v>0</v>
          </cell>
        </row>
        <row r="511">
          <cell r="O511">
            <v>0</v>
          </cell>
          <cell r="P511">
            <v>0</v>
          </cell>
          <cell r="Q511">
            <v>0</v>
          </cell>
          <cell r="R511">
            <v>0</v>
          </cell>
        </row>
        <row r="512">
          <cell r="O512">
            <v>0</v>
          </cell>
          <cell r="P512">
            <v>0</v>
          </cell>
          <cell r="Q512">
            <v>0</v>
          </cell>
          <cell r="R512">
            <v>0</v>
          </cell>
        </row>
        <row r="513">
          <cell r="O513">
            <v>0</v>
          </cell>
          <cell r="P513">
            <v>0</v>
          </cell>
          <cell r="Q513">
            <v>0</v>
          </cell>
          <cell r="R513">
            <v>0</v>
          </cell>
        </row>
        <row r="514">
          <cell r="O514">
            <v>0</v>
          </cell>
          <cell r="P514">
            <v>0</v>
          </cell>
          <cell r="Q514">
            <v>0</v>
          </cell>
          <cell r="R514">
            <v>0</v>
          </cell>
        </row>
        <row r="515">
          <cell r="O515">
            <v>0</v>
          </cell>
          <cell r="P515">
            <v>0</v>
          </cell>
          <cell r="Q515">
            <v>0</v>
          </cell>
          <cell r="R515">
            <v>0</v>
          </cell>
        </row>
        <row r="516">
          <cell r="O516">
            <v>0</v>
          </cell>
          <cell r="P516">
            <v>0</v>
          </cell>
          <cell r="Q516">
            <v>0</v>
          </cell>
          <cell r="R516">
            <v>0</v>
          </cell>
        </row>
        <row r="518">
          <cell r="O518">
            <v>0</v>
          </cell>
          <cell r="P518">
            <v>0</v>
          </cell>
          <cell r="Q518">
            <v>0</v>
          </cell>
          <cell r="R518">
            <v>0</v>
          </cell>
        </row>
        <row r="519">
          <cell r="O519">
            <v>0</v>
          </cell>
          <cell r="P519">
            <v>0</v>
          </cell>
          <cell r="Q519">
            <v>0</v>
          </cell>
          <cell r="R519">
            <v>0</v>
          </cell>
        </row>
        <row r="520">
          <cell r="O520">
            <v>0</v>
          </cell>
          <cell r="P520">
            <v>0</v>
          </cell>
          <cell r="Q520">
            <v>0</v>
          </cell>
          <cell r="R520">
            <v>0</v>
          </cell>
        </row>
        <row r="521">
          <cell r="O521">
            <v>0</v>
          </cell>
          <cell r="P521">
            <v>0</v>
          </cell>
          <cell r="Q521">
            <v>0</v>
          </cell>
          <cell r="R521">
            <v>0</v>
          </cell>
        </row>
        <row r="522">
          <cell r="O522">
            <v>0</v>
          </cell>
          <cell r="P522">
            <v>0</v>
          </cell>
          <cell r="Q522">
            <v>0</v>
          </cell>
          <cell r="R522">
            <v>0</v>
          </cell>
        </row>
        <row r="523">
          <cell r="O523">
            <v>0</v>
          </cell>
          <cell r="P523">
            <v>0</v>
          </cell>
          <cell r="Q523">
            <v>0</v>
          </cell>
          <cell r="R523">
            <v>0</v>
          </cell>
        </row>
        <row r="524">
          <cell r="O524">
            <v>0</v>
          </cell>
          <cell r="P524">
            <v>0</v>
          </cell>
          <cell r="Q524">
            <v>0</v>
          </cell>
          <cell r="R524">
            <v>0</v>
          </cell>
        </row>
        <row r="525">
          <cell r="O525">
            <v>0</v>
          </cell>
          <cell r="P525">
            <v>0</v>
          </cell>
          <cell r="Q525">
            <v>0</v>
          </cell>
          <cell r="R525">
            <v>0</v>
          </cell>
        </row>
        <row r="526">
          <cell r="O526">
            <v>0</v>
          </cell>
          <cell r="P526">
            <v>0</v>
          </cell>
          <cell r="Q526">
            <v>0</v>
          </cell>
          <cell r="R526">
            <v>0</v>
          </cell>
        </row>
        <row r="527">
          <cell r="O527">
            <v>0</v>
          </cell>
          <cell r="P527">
            <v>0</v>
          </cell>
          <cell r="Q527">
            <v>0</v>
          </cell>
          <cell r="R527">
            <v>0</v>
          </cell>
        </row>
        <row r="528">
          <cell r="O528">
            <v>0</v>
          </cell>
          <cell r="P528">
            <v>0</v>
          </cell>
          <cell r="Q528">
            <v>0</v>
          </cell>
          <cell r="R528">
            <v>0</v>
          </cell>
        </row>
        <row r="529">
          <cell r="O529">
            <v>0</v>
          </cell>
          <cell r="P529">
            <v>0</v>
          </cell>
          <cell r="Q529">
            <v>0</v>
          </cell>
          <cell r="R529">
            <v>0</v>
          </cell>
        </row>
        <row r="530">
          <cell r="O530">
            <v>0</v>
          </cell>
          <cell r="P530">
            <v>0</v>
          </cell>
          <cell r="Q530">
            <v>0</v>
          </cell>
          <cell r="R530">
            <v>0</v>
          </cell>
        </row>
        <row r="531">
          <cell r="O531">
            <v>0</v>
          </cell>
          <cell r="P531">
            <v>0</v>
          </cell>
          <cell r="Q531">
            <v>0</v>
          </cell>
          <cell r="R531">
            <v>0</v>
          </cell>
        </row>
        <row r="532">
          <cell r="O532">
            <v>0</v>
          </cell>
          <cell r="P532">
            <v>0</v>
          </cell>
          <cell r="Q532">
            <v>0</v>
          </cell>
          <cell r="R532">
            <v>0</v>
          </cell>
        </row>
        <row r="533">
          <cell r="O533">
            <v>0</v>
          </cell>
          <cell r="P533">
            <v>0</v>
          </cell>
          <cell r="Q533">
            <v>0</v>
          </cell>
          <cell r="R533">
            <v>0</v>
          </cell>
        </row>
        <row r="534">
          <cell r="O534">
            <v>0</v>
          </cell>
          <cell r="P534">
            <v>0</v>
          </cell>
          <cell r="Q534">
            <v>0</v>
          </cell>
          <cell r="R534">
            <v>0</v>
          </cell>
        </row>
        <row r="536">
          <cell r="O536">
            <v>0</v>
          </cell>
          <cell r="P536">
            <v>0</v>
          </cell>
          <cell r="Q536">
            <v>0</v>
          </cell>
          <cell r="R536">
            <v>0</v>
          </cell>
        </row>
        <row r="537">
          <cell r="O537">
            <v>0</v>
          </cell>
          <cell r="P537">
            <v>0</v>
          </cell>
          <cell r="Q537">
            <v>0</v>
          </cell>
          <cell r="R537">
            <v>0</v>
          </cell>
        </row>
        <row r="538">
          <cell r="O538">
            <v>0</v>
          </cell>
          <cell r="P538">
            <v>0</v>
          </cell>
          <cell r="Q538">
            <v>0</v>
          </cell>
          <cell r="R538">
            <v>0</v>
          </cell>
        </row>
        <row r="540">
          <cell r="B540">
            <v>1</v>
          </cell>
          <cell r="O540">
            <v>18240.586812500002</v>
          </cell>
          <cell r="P540">
            <v>13634.14</v>
          </cell>
          <cell r="Q540">
            <v>7681.44</v>
          </cell>
          <cell r="R540">
            <v>0</v>
          </cell>
        </row>
        <row r="541">
          <cell r="B541">
            <v>1</v>
          </cell>
          <cell r="C541" t="str">
            <v>A4EW011</v>
          </cell>
          <cell r="O541">
            <v>18899.185000000001</v>
          </cell>
          <cell r="P541">
            <v>13125</v>
          </cell>
          <cell r="Q541">
            <v>9254.9599999999991</v>
          </cell>
          <cell r="R541">
            <v>0</v>
          </cell>
        </row>
        <row r="543">
          <cell r="O543">
            <v>0</v>
          </cell>
          <cell r="P543">
            <v>0</v>
          </cell>
          <cell r="Q543">
            <v>0</v>
          </cell>
          <cell r="R543">
            <v>0</v>
          </cell>
        </row>
        <row r="544">
          <cell r="O544">
            <v>0</v>
          </cell>
          <cell r="P544">
            <v>0</v>
          </cell>
          <cell r="Q544">
            <v>0</v>
          </cell>
          <cell r="R544">
            <v>0</v>
          </cell>
        </row>
        <row r="545">
          <cell r="O545">
            <v>0</v>
          </cell>
          <cell r="P545">
            <v>0</v>
          </cell>
          <cell r="Q545">
            <v>0</v>
          </cell>
          <cell r="R545">
            <v>0</v>
          </cell>
        </row>
        <row r="546">
          <cell r="O546">
            <v>0</v>
          </cell>
          <cell r="P546">
            <v>0</v>
          </cell>
          <cell r="Q546">
            <v>0</v>
          </cell>
          <cell r="R546">
            <v>0</v>
          </cell>
        </row>
        <row r="547">
          <cell r="O547">
            <v>0</v>
          </cell>
          <cell r="P547">
            <v>0</v>
          </cell>
          <cell r="Q547">
            <v>0</v>
          </cell>
          <cell r="R547">
            <v>0</v>
          </cell>
        </row>
        <row r="548">
          <cell r="O548">
            <v>0</v>
          </cell>
          <cell r="P548">
            <v>0</v>
          </cell>
          <cell r="Q548">
            <v>0</v>
          </cell>
          <cell r="R548">
            <v>0</v>
          </cell>
        </row>
        <row r="550">
          <cell r="O550">
            <v>0</v>
          </cell>
          <cell r="P550">
            <v>0</v>
          </cell>
          <cell r="Q550">
            <v>0</v>
          </cell>
          <cell r="R550">
            <v>0</v>
          </cell>
        </row>
        <row r="551">
          <cell r="O551">
            <v>0</v>
          </cell>
          <cell r="P551">
            <v>0</v>
          </cell>
          <cell r="Q551">
            <v>0</v>
          </cell>
          <cell r="R551">
            <v>0</v>
          </cell>
        </row>
        <row r="552">
          <cell r="O552">
            <v>0</v>
          </cell>
          <cell r="P552">
            <v>0</v>
          </cell>
          <cell r="Q552">
            <v>0</v>
          </cell>
          <cell r="R552">
            <v>0</v>
          </cell>
        </row>
        <row r="553">
          <cell r="O553">
            <v>0</v>
          </cell>
          <cell r="P553">
            <v>0</v>
          </cell>
          <cell r="Q553">
            <v>0</v>
          </cell>
          <cell r="R553">
            <v>0</v>
          </cell>
        </row>
        <row r="555">
          <cell r="B555">
            <v>1</v>
          </cell>
          <cell r="O555">
            <v>2967.5750000000003</v>
          </cell>
          <cell r="P555">
            <v>2832</v>
          </cell>
          <cell r="Q555">
            <v>2256.8000000000002</v>
          </cell>
          <cell r="R555">
            <v>0</v>
          </cell>
        </row>
        <row r="556">
          <cell r="O556">
            <v>0</v>
          </cell>
          <cell r="P556">
            <v>0</v>
          </cell>
          <cell r="Q556">
            <v>0</v>
          </cell>
          <cell r="R556">
            <v>0</v>
          </cell>
        </row>
        <row r="557">
          <cell r="O557">
            <v>0</v>
          </cell>
          <cell r="P557">
            <v>0</v>
          </cell>
          <cell r="Q557">
            <v>0</v>
          </cell>
          <cell r="R557">
            <v>0</v>
          </cell>
        </row>
        <row r="558">
          <cell r="O558">
            <v>0</v>
          </cell>
          <cell r="P558">
            <v>0</v>
          </cell>
          <cell r="Q558">
            <v>0</v>
          </cell>
          <cell r="R558">
            <v>0</v>
          </cell>
        </row>
        <row r="559">
          <cell r="O559">
            <v>0</v>
          </cell>
          <cell r="P559">
            <v>0</v>
          </cell>
          <cell r="Q559">
            <v>0</v>
          </cell>
          <cell r="R559">
            <v>0</v>
          </cell>
        </row>
        <row r="560">
          <cell r="O560">
            <v>0</v>
          </cell>
          <cell r="P560">
            <v>0</v>
          </cell>
          <cell r="Q560">
            <v>0</v>
          </cell>
          <cell r="R560">
            <v>0</v>
          </cell>
        </row>
        <row r="561">
          <cell r="O561">
            <v>0</v>
          </cell>
          <cell r="P561">
            <v>0</v>
          </cell>
          <cell r="Q561">
            <v>0</v>
          </cell>
          <cell r="R561">
            <v>0</v>
          </cell>
        </row>
        <row r="562">
          <cell r="O562">
            <v>0</v>
          </cell>
          <cell r="P562">
            <v>0</v>
          </cell>
          <cell r="Q562">
            <v>0</v>
          </cell>
          <cell r="R562">
            <v>0</v>
          </cell>
        </row>
        <row r="563">
          <cell r="O563">
            <v>0</v>
          </cell>
          <cell r="P563">
            <v>0</v>
          </cell>
          <cell r="Q563">
            <v>0</v>
          </cell>
          <cell r="R563">
            <v>0</v>
          </cell>
        </row>
        <row r="564">
          <cell r="O564">
            <v>0</v>
          </cell>
          <cell r="P564">
            <v>0</v>
          </cell>
          <cell r="Q564">
            <v>0</v>
          </cell>
          <cell r="R564">
            <v>0</v>
          </cell>
        </row>
        <row r="565">
          <cell r="O565">
            <v>0</v>
          </cell>
          <cell r="P565">
            <v>0</v>
          </cell>
          <cell r="Q565">
            <v>0</v>
          </cell>
          <cell r="R565">
            <v>0</v>
          </cell>
        </row>
        <row r="566">
          <cell r="O566">
            <v>0</v>
          </cell>
          <cell r="P566">
            <v>0</v>
          </cell>
          <cell r="Q566">
            <v>0</v>
          </cell>
          <cell r="R566">
            <v>0</v>
          </cell>
        </row>
        <row r="567">
          <cell r="O567">
            <v>0</v>
          </cell>
          <cell r="P567">
            <v>0</v>
          </cell>
          <cell r="Q567">
            <v>0</v>
          </cell>
          <cell r="R567">
            <v>0</v>
          </cell>
        </row>
        <row r="568">
          <cell r="O568">
            <v>0</v>
          </cell>
          <cell r="P568">
            <v>0</v>
          </cell>
          <cell r="Q568">
            <v>0</v>
          </cell>
          <cell r="R568">
            <v>0</v>
          </cell>
        </row>
        <row r="569">
          <cell r="O569">
            <v>0</v>
          </cell>
          <cell r="P569">
            <v>0</v>
          </cell>
          <cell r="Q569">
            <v>0</v>
          </cell>
          <cell r="R569">
            <v>0</v>
          </cell>
        </row>
        <row r="570">
          <cell r="O570">
            <v>0</v>
          </cell>
          <cell r="P570">
            <v>0</v>
          </cell>
          <cell r="Q570">
            <v>0</v>
          </cell>
          <cell r="R570">
            <v>0</v>
          </cell>
        </row>
        <row r="571">
          <cell r="O571">
            <v>0</v>
          </cell>
          <cell r="P571">
            <v>0</v>
          </cell>
          <cell r="Q571">
            <v>0</v>
          </cell>
          <cell r="R571">
            <v>0</v>
          </cell>
        </row>
        <row r="572">
          <cell r="O572">
            <v>0</v>
          </cell>
          <cell r="P572">
            <v>0</v>
          </cell>
          <cell r="Q572">
            <v>0</v>
          </cell>
          <cell r="R572">
            <v>0</v>
          </cell>
        </row>
        <row r="573">
          <cell r="O573">
            <v>0</v>
          </cell>
          <cell r="P573">
            <v>0</v>
          </cell>
          <cell r="Q573">
            <v>0</v>
          </cell>
          <cell r="R573">
            <v>0</v>
          </cell>
        </row>
        <row r="574">
          <cell r="O574">
            <v>0</v>
          </cell>
          <cell r="P574">
            <v>0</v>
          </cell>
          <cell r="Q574">
            <v>0</v>
          </cell>
          <cell r="R574">
            <v>0</v>
          </cell>
        </row>
        <row r="576">
          <cell r="O576">
            <v>0</v>
          </cell>
          <cell r="P576">
            <v>0</v>
          </cell>
          <cell r="Q576">
            <v>0</v>
          </cell>
          <cell r="R576">
            <v>0</v>
          </cell>
        </row>
        <row r="577">
          <cell r="O577">
            <v>0</v>
          </cell>
          <cell r="P577">
            <v>0</v>
          </cell>
          <cell r="Q577">
            <v>0</v>
          </cell>
          <cell r="R577">
            <v>0</v>
          </cell>
        </row>
        <row r="578">
          <cell r="O578">
            <v>0</v>
          </cell>
          <cell r="P578">
            <v>0</v>
          </cell>
          <cell r="Q578">
            <v>0</v>
          </cell>
          <cell r="R578">
            <v>0</v>
          </cell>
        </row>
        <row r="579">
          <cell r="O579">
            <v>0</v>
          </cell>
          <cell r="P579">
            <v>0</v>
          </cell>
          <cell r="Q579">
            <v>0</v>
          </cell>
          <cell r="R579">
            <v>0</v>
          </cell>
        </row>
        <row r="580">
          <cell r="O580">
            <v>0</v>
          </cell>
          <cell r="P580">
            <v>0</v>
          </cell>
          <cell r="Q580">
            <v>0</v>
          </cell>
          <cell r="R580">
            <v>0</v>
          </cell>
        </row>
        <row r="581">
          <cell r="O581">
            <v>0</v>
          </cell>
          <cell r="P581">
            <v>0</v>
          </cell>
          <cell r="Q581">
            <v>0</v>
          </cell>
          <cell r="R581">
            <v>0</v>
          </cell>
        </row>
        <row r="582">
          <cell r="O582">
            <v>0</v>
          </cell>
          <cell r="P582">
            <v>0</v>
          </cell>
          <cell r="Q582">
            <v>0</v>
          </cell>
          <cell r="R582">
            <v>0</v>
          </cell>
        </row>
        <row r="584">
          <cell r="B584">
            <v>1</v>
          </cell>
          <cell r="O584">
            <v>21866.760000000002</v>
          </cell>
          <cell r="P584">
            <v>15957</v>
          </cell>
          <cell r="Q584">
            <v>11511.759999999998</v>
          </cell>
          <cell r="R584">
            <v>0</v>
          </cell>
        </row>
        <row r="585">
          <cell r="B585">
            <v>1</v>
          </cell>
          <cell r="C585" t="str">
            <v>A4EV011</v>
          </cell>
          <cell r="O585">
            <v>29248.975000000002</v>
          </cell>
          <cell r="P585">
            <v>19600</v>
          </cell>
          <cell r="Q585">
            <v>13453.44</v>
          </cell>
          <cell r="R585">
            <v>0</v>
          </cell>
        </row>
        <row r="587">
          <cell r="O587">
            <v>0</v>
          </cell>
          <cell r="P587">
            <v>0</v>
          </cell>
          <cell r="Q587">
            <v>0</v>
          </cell>
          <cell r="R587">
            <v>0</v>
          </cell>
        </row>
        <row r="588">
          <cell r="O588">
            <v>0</v>
          </cell>
          <cell r="P588">
            <v>0</v>
          </cell>
          <cell r="Q588">
            <v>0</v>
          </cell>
          <cell r="R588">
            <v>0</v>
          </cell>
        </row>
        <row r="589">
          <cell r="O589">
            <v>0</v>
          </cell>
          <cell r="P589">
            <v>0</v>
          </cell>
          <cell r="Q589">
            <v>0</v>
          </cell>
          <cell r="R589">
            <v>0</v>
          </cell>
        </row>
        <row r="590">
          <cell r="O590">
            <v>0</v>
          </cell>
          <cell r="P590">
            <v>0</v>
          </cell>
          <cell r="Q590">
            <v>0</v>
          </cell>
          <cell r="R590">
            <v>0</v>
          </cell>
        </row>
        <row r="591">
          <cell r="O591">
            <v>0</v>
          </cell>
          <cell r="P591">
            <v>0</v>
          </cell>
          <cell r="Q591">
            <v>0</v>
          </cell>
          <cell r="R591">
            <v>0</v>
          </cell>
        </row>
        <row r="592">
          <cell r="O592">
            <v>0</v>
          </cell>
          <cell r="P592">
            <v>0</v>
          </cell>
          <cell r="Q592">
            <v>0</v>
          </cell>
          <cell r="R592">
            <v>0</v>
          </cell>
        </row>
        <row r="594">
          <cell r="B594">
            <v>1</v>
          </cell>
          <cell r="O594">
            <v>762.24</v>
          </cell>
          <cell r="P594">
            <v>686.88</v>
          </cell>
          <cell r="Q594">
            <v>466.96</v>
          </cell>
          <cell r="R594">
            <v>0</v>
          </cell>
        </row>
        <row r="595">
          <cell r="B595">
            <v>1</v>
          </cell>
          <cell r="O595">
            <v>3680.19</v>
          </cell>
          <cell r="P595">
            <v>2910.68</v>
          </cell>
          <cell r="Q595">
            <v>1991.81</v>
          </cell>
          <cell r="R595">
            <v>0</v>
          </cell>
        </row>
        <row r="596">
          <cell r="O596">
            <v>0</v>
          </cell>
          <cell r="P596">
            <v>0</v>
          </cell>
          <cell r="Q596">
            <v>0</v>
          </cell>
          <cell r="R596">
            <v>0</v>
          </cell>
        </row>
        <row r="597">
          <cell r="O597">
            <v>0</v>
          </cell>
          <cell r="P597">
            <v>0</v>
          </cell>
          <cell r="Q597">
            <v>0</v>
          </cell>
          <cell r="R597">
            <v>0</v>
          </cell>
        </row>
        <row r="598">
          <cell r="O598">
            <v>0</v>
          </cell>
          <cell r="P598">
            <v>0</v>
          </cell>
          <cell r="Q598">
            <v>0</v>
          </cell>
          <cell r="R598">
            <v>0</v>
          </cell>
        </row>
        <row r="600">
          <cell r="O600">
            <v>0</v>
          </cell>
          <cell r="P600">
            <v>0</v>
          </cell>
          <cell r="Q600">
            <v>0</v>
          </cell>
          <cell r="R600">
            <v>0</v>
          </cell>
        </row>
        <row r="601">
          <cell r="O601">
            <v>0</v>
          </cell>
          <cell r="P601">
            <v>0</v>
          </cell>
          <cell r="Q601">
            <v>0</v>
          </cell>
          <cell r="R601">
            <v>0</v>
          </cell>
        </row>
        <row r="602">
          <cell r="O602">
            <v>0</v>
          </cell>
          <cell r="P602">
            <v>0</v>
          </cell>
          <cell r="Q602">
            <v>0</v>
          </cell>
          <cell r="R602">
            <v>0</v>
          </cell>
        </row>
        <row r="603">
          <cell r="O603">
            <v>0</v>
          </cell>
          <cell r="P603">
            <v>0</v>
          </cell>
          <cell r="Q603">
            <v>0</v>
          </cell>
          <cell r="R603">
            <v>0</v>
          </cell>
        </row>
        <row r="604">
          <cell r="O604">
            <v>0</v>
          </cell>
          <cell r="P604">
            <v>0</v>
          </cell>
          <cell r="Q604">
            <v>0</v>
          </cell>
          <cell r="R604">
            <v>0</v>
          </cell>
        </row>
        <row r="605">
          <cell r="O605">
            <v>0</v>
          </cell>
          <cell r="P605">
            <v>0</v>
          </cell>
          <cell r="Q605">
            <v>0</v>
          </cell>
          <cell r="R605">
            <v>0</v>
          </cell>
        </row>
        <row r="606">
          <cell r="O606">
            <v>0</v>
          </cell>
          <cell r="P606">
            <v>0</v>
          </cell>
          <cell r="Q606">
            <v>0</v>
          </cell>
          <cell r="R606">
            <v>0</v>
          </cell>
        </row>
        <row r="607">
          <cell r="O607">
            <v>0</v>
          </cell>
          <cell r="P607">
            <v>0</v>
          </cell>
          <cell r="Q607">
            <v>0</v>
          </cell>
          <cell r="R607">
            <v>0</v>
          </cell>
        </row>
        <row r="608">
          <cell r="O608">
            <v>0</v>
          </cell>
          <cell r="P608">
            <v>0</v>
          </cell>
          <cell r="Q608">
            <v>0</v>
          </cell>
          <cell r="R608">
            <v>0</v>
          </cell>
        </row>
        <row r="609">
          <cell r="O609">
            <v>0</v>
          </cell>
          <cell r="P609">
            <v>0</v>
          </cell>
          <cell r="Q609">
            <v>0</v>
          </cell>
          <cell r="R609">
            <v>0</v>
          </cell>
        </row>
        <row r="610">
          <cell r="O610">
            <v>0</v>
          </cell>
          <cell r="P610">
            <v>0</v>
          </cell>
          <cell r="Q610">
            <v>0</v>
          </cell>
          <cell r="R610">
            <v>0</v>
          </cell>
        </row>
        <row r="611">
          <cell r="O611">
            <v>0</v>
          </cell>
          <cell r="P611">
            <v>0</v>
          </cell>
          <cell r="Q611">
            <v>0</v>
          </cell>
          <cell r="R611">
            <v>0</v>
          </cell>
        </row>
        <row r="612">
          <cell r="O612">
            <v>0</v>
          </cell>
          <cell r="P612">
            <v>0</v>
          </cell>
          <cell r="Q612">
            <v>0</v>
          </cell>
          <cell r="R612">
            <v>0</v>
          </cell>
        </row>
        <row r="613">
          <cell r="O613">
            <v>0</v>
          </cell>
          <cell r="P613">
            <v>0</v>
          </cell>
          <cell r="Q613">
            <v>0</v>
          </cell>
          <cell r="R613">
            <v>0</v>
          </cell>
        </row>
        <row r="614">
          <cell r="O614">
            <v>0</v>
          </cell>
          <cell r="P614">
            <v>0</v>
          </cell>
          <cell r="Q614">
            <v>0</v>
          </cell>
          <cell r="R614">
            <v>0</v>
          </cell>
        </row>
        <row r="615">
          <cell r="O615">
            <v>0</v>
          </cell>
          <cell r="P615">
            <v>0</v>
          </cell>
          <cell r="Q615">
            <v>0</v>
          </cell>
          <cell r="R615">
            <v>0</v>
          </cell>
        </row>
        <row r="616">
          <cell r="O616">
            <v>0</v>
          </cell>
          <cell r="P616">
            <v>0</v>
          </cell>
          <cell r="Q616">
            <v>0</v>
          </cell>
          <cell r="R616">
            <v>0</v>
          </cell>
        </row>
        <row r="617">
          <cell r="O617">
            <v>0</v>
          </cell>
          <cell r="P617">
            <v>0</v>
          </cell>
          <cell r="Q617">
            <v>0</v>
          </cell>
          <cell r="R617">
            <v>0</v>
          </cell>
        </row>
        <row r="618">
          <cell r="O618">
            <v>0</v>
          </cell>
          <cell r="P618">
            <v>0</v>
          </cell>
          <cell r="Q618">
            <v>0</v>
          </cell>
          <cell r="R618">
            <v>0</v>
          </cell>
        </row>
        <row r="619">
          <cell r="O619">
            <v>0</v>
          </cell>
          <cell r="P619">
            <v>0</v>
          </cell>
          <cell r="Q619">
            <v>0</v>
          </cell>
          <cell r="R619">
            <v>0</v>
          </cell>
        </row>
        <row r="620">
          <cell r="O620">
            <v>0</v>
          </cell>
          <cell r="P620">
            <v>0</v>
          </cell>
          <cell r="Q620">
            <v>0</v>
          </cell>
          <cell r="R620">
            <v>0</v>
          </cell>
        </row>
        <row r="621">
          <cell r="O621">
            <v>0</v>
          </cell>
          <cell r="P621">
            <v>0</v>
          </cell>
          <cell r="Q621">
            <v>0</v>
          </cell>
          <cell r="R621">
            <v>0</v>
          </cell>
        </row>
        <row r="622">
          <cell r="B622">
            <v>1</v>
          </cell>
          <cell r="O622">
            <v>2967.5750000000003</v>
          </cell>
          <cell r="P622">
            <v>2832</v>
          </cell>
          <cell r="Q622">
            <v>2256.8000000000002</v>
          </cell>
          <cell r="R622">
            <v>0</v>
          </cell>
        </row>
        <row r="623">
          <cell r="O623">
            <v>0</v>
          </cell>
          <cell r="P623">
            <v>0</v>
          </cell>
          <cell r="Q623">
            <v>0</v>
          </cell>
          <cell r="R623">
            <v>0</v>
          </cell>
        </row>
        <row r="624">
          <cell r="O624">
            <v>0</v>
          </cell>
          <cell r="P624">
            <v>0</v>
          </cell>
          <cell r="Q624">
            <v>0</v>
          </cell>
          <cell r="R624">
            <v>0</v>
          </cell>
        </row>
        <row r="625">
          <cell r="O625">
            <v>0</v>
          </cell>
          <cell r="P625">
            <v>0</v>
          </cell>
          <cell r="Q625">
            <v>0</v>
          </cell>
          <cell r="R625">
            <v>0</v>
          </cell>
        </row>
        <row r="626">
          <cell r="B626">
            <v>1</v>
          </cell>
          <cell r="O626">
            <v>1699.16</v>
          </cell>
          <cell r="P626">
            <v>1192</v>
          </cell>
          <cell r="Q626">
            <v>1048.32</v>
          </cell>
          <cell r="R626">
            <v>0</v>
          </cell>
        </row>
        <row r="627">
          <cell r="O627">
            <v>0</v>
          </cell>
          <cell r="P627">
            <v>0</v>
          </cell>
          <cell r="Q627">
            <v>0</v>
          </cell>
          <cell r="R627">
            <v>0</v>
          </cell>
        </row>
        <row r="629">
          <cell r="O629">
            <v>0</v>
          </cell>
          <cell r="P629">
            <v>0</v>
          </cell>
          <cell r="Q629">
            <v>0</v>
          </cell>
          <cell r="R629">
            <v>0</v>
          </cell>
        </row>
        <row r="630">
          <cell r="O630">
            <v>0</v>
          </cell>
          <cell r="P630">
            <v>0</v>
          </cell>
          <cell r="Q630">
            <v>0</v>
          </cell>
          <cell r="R630">
            <v>0</v>
          </cell>
        </row>
        <row r="632">
          <cell r="O632">
            <v>0</v>
          </cell>
          <cell r="P632">
            <v>0</v>
          </cell>
          <cell r="Q632">
            <v>0</v>
          </cell>
          <cell r="R632">
            <v>0</v>
          </cell>
        </row>
        <row r="633">
          <cell r="O633">
            <v>0</v>
          </cell>
          <cell r="P633">
            <v>0</v>
          </cell>
          <cell r="Q633">
            <v>0</v>
          </cell>
          <cell r="R633">
            <v>0</v>
          </cell>
        </row>
        <row r="634">
          <cell r="O634">
            <v>0</v>
          </cell>
          <cell r="P634">
            <v>0</v>
          </cell>
          <cell r="Q634">
            <v>0</v>
          </cell>
          <cell r="R634">
            <v>0</v>
          </cell>
        </row>
        <row r="635">
          <cell r="O635">
            <v>0</v>
          </cell>
          <cell r="P635">
            <v>0</v>
          </cell>
          <cell r="Q635">
            <v>0</v>
          </cell>
          <cell r="R635">
            <v>0</v>
          </cell>
        </row>
        <row r="636">
          <cell r="O636">
            <v>0</v>
          </cell>
          <cell r="P636">
            <v>0</v>
          </cell>
          <cell r="Q636">
            <v>0</v>
          </cell>
          <cell r="R636">
            <v>0</v>
          </cell>
        </row>
        <row r="638">
          <cell r="B638">
            <v>1</v>
          </cell>
          <cell r="O638">
            <v>38358.140000000007</v>
          </cell>
          <cell r="P638">
            <v>27221.56</v>
          </cell>
          <cell r="Q638">
            <v>19217.329999999998</v>
          </cell>
          <cell r="R638">
            <v>0</v>
          </cell>
        </row>
        <row r="639">
          <cell r="B639">
            <v>1</v>
          </cell>
          <cell r="O639">
            <v>38748.192500000005</v>
          </cell>
          <cell r="P639">
            <v>27300</v>
          </cell>
          <cell r="Q639">
            <v>19364.8</v>
          </cell>
          <cell r="R639">
            <v>0</v>
          </cell>
        </row>
        <row r="641">
          <cell r="O641">
            <v>0</v>
          </cell>
          <cell r="P641">
            <v>0</v>
          </cell>
          <cell r="Q641">
            <v>0</v>
          </cell>
          <cell r="R641">
            <v>0</v>
          </cell>
        </row>
        <row r="642">
          <cell r="O642">
            <v>0</v>
          </cell>
          <cell r="P642">
            <v>0</v>
          </cell>
          <cell r="Q642">
            <v>0</v>
          </cell>
          <cell r="R642">
            <v>0</v>
          </cell>
        </row>
        <row r="643">
          <cell r="O643">
            <v>0</v>
          </cell>
          <cell r="P643">
            <v>0</v>
          </cell>
          <cell r="Q643">
            <v>0</v>
          </cell>
          <cell r="R643">
            <v>0</v>
          </cell>
        </row>
        <row r="644">
          <cell r="O644">
            <v>0</v>
          </cell>
          <cell r="P644">
            <v>0</v>
          </cell>
          <cell r="Q644">
            <v>0</v>
          </cell>
          <cell r="R644">
            <v>0</v>
          </cell>
        </row>
        <row r="645">
          <cell r="O645">
            <v>0</v>
          </cell>
          <cell r="P645">
            <v>0</v>
          </cell>
          <cell r="Q645">
            <v>0</v>
          </cell>
          <cell r="R645">
            <v>0</v>
          </cell>
        </row>
        <row r="646">
          <cell r="B646">
            <v>1</v>
          </cell>
          <cell r="O646">
            <v>33903.800000000003</v>
          </cell>
          <cell r="P646">
            <v>24500</v>
          </cell>
          <cell r="Q646">
            <v>17326.400000000001</v>
          </cell>
          <cell r="R646">
            <v>0</v>
          </cell>
        </row>
        <row r="648">
          <cell r="O648">
            <v>0</v>
          </cell>
          <cell r="P648">
            <v>0</v>
          </cell>
          <cell r="Q648">
            <v>0</v>
          </cell>
          <cell r="R648">
            <v>0</v>
          </cell>
        </row>
        <row r="649">
          <cell r="O649">
            <v>0</v>
          </cell>
          <cell r="P649">
            <v>0</v>
          </cell>
          <cell r="Q649">
            <v>0</v>
          </cell>
          <cell r="R649">
            <v>0</v>
          </cell>
        </row>
        <row r="650">
          <cell r="O650">
            <v>0</v>
          </cell>
          <cell r="P650">
            <v>0</v>
          </cell>
          <cell r="Q650">
            <v>0</v>
          </cell>
          <cell r="R650">
            <v>0</v>
          </cell>
        </row>
        <row r="651">
          <cell r="O651">
            <v>0</v>
          </cell>
          <cell r="P651">
            <v>0</v>
          </cell>
          <cell r="Q651">
            <v>0</v>
          </cell>
          <cell r="R651">
            <v>0</v>
          </cell>
        </row>
        <row r="652">
          <cell r="O652">
            <v>0</v>
          </cell>
          <cell r="P652">
            <v>0</v>
          </cell>
          <cell r="Q652">
            <v>0</v>
          </cell>
          <cell r="R652">
            <v>0</v>
          </cell>
        </row>
        <row r="654">
          <cell r="O654">
            <v>0</v>
          </cell>
          <cell r="P654">
            <v>0</v>
          </cell>
          <cell r="Q654">
            <v>0</v>
          </cell>
          <cell r="R654">
            <v>0</v>
          </cell>
        </row>
        <row r="655">
          <cell r="O655">
            <v>0</v>
          </cell>
          <cell r="P655">
            <v>0</v>
          </cell>
          <cell r="Q655">
            <v>0</v>
          </cell>
          <cell r="R655">
            <v>0</v>
          </cell>
        </row>
        <row r="656">
          <cell r="O656">
            <v>0</v>
          </cell>
          <cell r="P656">
            <v>0</v>
          </cell>
          <cell r="Q656">
            <v>0</v>
          </cell>
          <cell r="R656">
            <v>0</v>
          </cell>
        </row>
        <row r="657">
          <cell r="O657">
            <v>0</v>
          </cell>
          <cell r="P657">
            <v>0</v>
          </cell>
          <cell r="Q657">
            <v>0</v>
          </cell>
          <cell r="R657">
            <v>0</v>
          </cell>
        </row>
        <row r="658">
          <cell r="O658">
            <v>0</v>
          </cell>
          <cell r="P658">
            <v>0</v>
          </cell>
          <cell r="Q658">
            <v>0</v>
          </cell>
          <cell r="R658">
            <v>0</v>
          </cell>
        </row>
        <row r="660">
          <cell r="O660">
            <v>0</v>
          </cell>
          <cell r="P660">
            <v>0</v>
          </cell>
          <cell r="Q660">
            <v>0</v>
          </cell>
          <cell r="R660">
            <v>0</v>
          </cell>
        </row>
        <row r="661">
          <cell r="O661">
            <v>0</v>
          </cell>
          <cell r="P661">
            <v>0</v>
          </cell>
          <cell r="Q661">
            <v>0</v>
          </cell>
          <cell r="R661">
            <v>0</v>
          </cell>
        </row>
        <row r="662">
          <cell r="O662">
            <v>0</v>
          </cell>
          <cell r="P662">
            <v>0</v>
          </cell>
          <cell r="Q662">
            <v>0</v>
          </cell>
          <cell r="R662">
            <v>0</v>
          </cell>
        </row>
        <row r="663">
          <cell r="O663">
            <v>0</v>
          </cell>
          <cell r="P663">
            <v>0</v>
          </cell>
          <cell r="Q663">
            <v>0</v>
          </cell>
          <cell r="R663">
            <v>0</v>
          </cell>
        </row>
        <row r="664">
          <cell r="O664">
            <v>0</v>
          </cell>
          <cell r="P664">
            <v>0</v>
          </cell>
          <cell r="Q664">
            <v>0</v>
          </cell>
          <cell r="R664">
            <v>0</v>
          </cell>
        </row>
        <row r="665">
          <cell r="O665">
            <v>0</v>
          </cell>
          <cell r="P665">
            <v>0</v>
          </cell>
          <cell r="Q665">
            <v>0</v>
          </cell>
          <cell r="R665">
            <v>0</v>
          </cell>
        </row>
        <row r="666">
          <cell r="O666">
            <v>0</v>
          </cell>
          <cell r="P666">
            <v>0</v>
          </cell>
          <cell r="Q666">
            <v>0</v>
          </cell>
          <cell r="R666">
            <v>0</v>
          </cell>
        </row>
        <row r="667">
          <cell r="O667">
            <v>0</v>
          </cell>
          <cell r="P667">
            <v>0</v>
          </cell>
          <cell r="Q667">
            <v>0</v>
          </cell>
          <cell r="R667">
            <v>0</v>
          </cell>
        </row>
        <row r="668">
          <cell r="O668">
            <v>0</v>
          </cell>
          <cell r="P668">
            <v>0</v>
          </cell>
          <cell r="Q668">
            <v>0</v>
          </cell>
          <cell r="R668">
            <v>0</v>
          </cell>
        </row>
        <row r="669">
          <cell r="O669">
            <v>0</v>
          </cell>
          <cell r="P669">
            <v>0</v>
          </cell>
          <cell r="Q669">
            <v>0</v>
          </cell>
          <cell r="R669">
            <v>0</v>
          </cell>
        </row>
        <row r="670">
          <cell r="O670">
            <v>0</v>
          </cell>
          <cell r="P670">
            <v>0</v>
          </cell>
          <cell r="Q670">
            <v>0</v>
          </cell>
          <cell r="R670">
            <v>0</v>
          </cell>
        </row>
        <row r="671">
          <cell r="O671">
            <v>0</v>
          </cell>
          <cell r="P671">
            <v>0</v>
          </cell>
          <cell r="Q671">
            <v>0</v>
          </cell>
          <cell r="R671">
            <v>0</v>
          </cell>
        </row>
        <row r="672">
          <cell r="O672">
            <v>0</v>
          </cell>
          <cell r="P672">
            <v>0</v>
          </cell>
          <cell r="Q672">
            <v>0</v>
          </cell>
          <cell r="R672">
            <v>0</v>
          </cell>
        </row>
        <row r="673">
          <cell r="O673">
            <v>0</v>
          </cell>
          <cell r="P673">
            <v>0</v>
          </cell>
          <cell r="Q673">
            <v>0</v>
          </cell>
          <cell r="R673">
            <v>0</v>
          </cell>
        </row>
        <row r="674">
          <cell r="O674">
            <v>0</v>
          </cell>
          <cell r="P674">
            <v>0</v>
          </cell>
          <cell r="Q674">
            <v>0</v>
          </cell>
          <cell r="R674">
            <v>0</v>
          </cell>
        </row>
        <row r="675">
          <cell r="O675">
            <v>0</v>
          </cell>
          <cell r="P675">
            <v>0</v>
          </cell>
          <cell r="Q675">
            <v>0</v>
          </cell>
          <cell r="R675">
            <v>0</v>
          </cell>
        </row>
        <row r="676">
          <cell r="O676">
            <v>0</v>
          </cell>
          <cell r="P676">
            <v>0</v>
          </cell>
          <cell r="Q676">
            <v>0</v>
          </cell>
          <cell r="R676">
            <v>0</v>
          </cell>
        </row>
        <row r="677">
          <cell r="O677">
            <v>0</v>
          </cell>
          <cell r="P677">
            <v>0</v>
          </cell>
          <cell r="Q677">
            <v>0</v>
          </cell>
          <cell r="R677">
            <v>0</v>
          </cell>
        </row>
        <row r="678">
          <cell r="O678">
            <v>0</v>
          </cell>
          <cell r="P678">
            <v>0</v>
          </cell>
          <cell r="Q678">
            <v>0</v>
          </cell>
          <cell r="R678">
            <v>0</v>
          </cell>
        </row>
        <row r="679">
          <cell r="O679">
            <v>0</v>
          </cell>
          <cell r="P679">
            <v>0</v>
          </cell>
          <cell r="Q679">
            <v>0</v>
          </cell>
          <cell r="R679">
            <v>0</v>
          </cell>
        </row>
        <row r="680">
          <cell r="O680">
            <v>0</v>
          </cell>
          <cell r="P680">
            <v>0</v>
          </cell>
          <cell r="Q680">
            <v>0</v>
          </cell>
          <cell r="R680">
            <v>0</v>
          </cell>
        </row>
        <row r="681">
          <cell r="O681">
            <v>0</v>
          </cell>
          <cell r="P681">
            <v>0</v>
          </cell>
          <cell r="Q681">
            <v>0</v>
          </cell>
          <cell r="R681">
            <v>0</v>
          </cell>
        </row>
        <row r="682">
          <cell r="O682">
            <v>0</v>
          </cell>
          <cell r="P682">
            <v>0</v>
          </cell>
          <cell r="Q682">
            <v>0</v>
          </cell>
          <cell r="R682">
            <v>0</v>
          </cell>
        </row>
        <row r="683">
          <cell r="O683">
            <v>0</v>
          </cell>
          <cell r="P683">
            <v>0</v>
          </cell>
          <cell r="Q683">
            <v>0</v>
          </cell>
          <cell r="R683">
            <v>0</v>
          </cell>
        </row>
        <row r="684">
          <cell r="O684">
            <v>0</v>
          </cell>
          <cell r="P684">
            <v>0</v>
          </cell>
          <cell r="Q684">
            <v>0</v>
          </cell>
          <cell r="R684">
            <v>0</v>
          </cell>
        </row>
        <row r="685">
          <cell r="O685">
            <v>0</v>
          </cell>
          <cell r="P685">
            <v>0</v>
          </cell>
          <cell r="Q685">
            <v>0</v>
          </cell>
          <cell r="R685">
            <v>0</v>
          </cell>
        </row>
        <row r="686">
          <cell r="B686">
            <v>2</v>
          </cell>
          <cell r="O686">
            <v>3398.32</v>
          </cell>
          <cell r="P686">
            <v>2384</v>
          </cell>
          <cell r="Q686">
            <v>2096.64</v>
          </cell>
          <cell r="R686">
            <v>0</v>
          </cell>
        </row>
        <row r="687">
          <cell r="O687">
            <v>0</v>
          </cell>
          <cell r="P687">
            <v>0</v>
          </cell>
          <cell r="Q687">
            <v>0</v>
          </cell>
          <cell r="R687">
            <v>0</v>
          </cell>
        </row>
        <row r="689">
          <cell r="O689">
            <v>0</v>
          </cell>
          <cell r="P689">
            <v>0</v>
          </cell>
          <cell r="Q689">
            <v>0</v>
          </cell>
          <cell r="R689">
            <v>0</v>
          </cell>
        </row>
        <row r="690">
          <cell r="O690">
            <v>0</v>
          </cell>
          <cell r="P690">
            <v>0</v>
          </cell>
          <cell r="Q690">
            <v>0</v>
          </cell>
          <cell r="R690">
            <v>0</v>
          </cell>
        </row>
        <row r="692">
          <cell r="O692">
            <v>0</v>
          </cell>
          <cell r="P692">
            <v>0</v>
          </cell>
          <cell r="Q692">
            <v>0</v>
          </cell>
          <cell r="R692">
            <v>0</v>
          </cell>
        </row>
        <row r="693">
          <cell r="O693">
            <v>0</v>
          </cell>
          <cell r="P693">
            <v>0</v>
          </cell>
          <cell r="Q693">
            <v>0</v>
          </cell>
          <cell r="R693">
            <v>0</v>
          </cell>
        </row>
        <row r="694">
          <cell r="O694">
            <v>0</v>
          </cell>
          <cell r="P694">
            <v>0</v>
          </cell>
          <cell r="Q694">
            <v>0</v>
          </cell>
          <cell r="R694">
            <v>0</v>
          </cell>
        </row>
        <row r="695">
          <cell r="O695">
            <v>0</v>
          </cell>
          <cell r="P695">
            <v>0</v>
          </cell>
          <cell r="Q695">
            <v>0</v>
          </cell>
          <cell r="R695">
            <v>0</v>
          </cell>
        </row>
        <row r="696">
          <cell r="O696">
            <v>0</v>
          </cell>
          <cell r="P696">
            <v>0</v>
          </cell>
          <cell r="Q696">
            <v>0</v>
          </cell>
          <cell r="R696">
            <v>0</v>
          </cell>
        </row>
        <row r="698">
          <cell r="B698">
            <v>2</v>
          </cell>
          <cell r="O698">
            <v>76050.312500000015</v>
          </cell>
          <cell r="P698">
            <v>54184</v>
          </cell>
          <cell r="Q698">
            <v>38787.839999999997</v>
          </cell>
          <cell r="R698">
            <v>0</v>
          </cell>
        </row>
        <row r="699">
          <cell r="B699">
            <v>1</v>
          </cell>
          <cell r="C699" t="str">
            <v>A5C4011</v>
          </cell>
          <cell r="O699">
            <v>5488.443615000001</v>
          </cell>
          <cell r="P699">
            <v>2506</v>
          </cell>
          <cell r="Q699">
            <v>1743.04</v>
          </cell>
          <cell r="R699">
            <v>0</v>
          </cell>
        </row>
        <row r="701">
          <cell r="O701">
            <v>0</v>
          </cell>
          <cell r="P701">
            <v>0</v>
          </cell>
          <cell r="Q701">
            <v>0</v>
          </cell>
          <cell r="R701">
            <v>0</v>
          </cell>
        </row>
        <row r="702">
          <cell r="O702">
            <v>0</v>
          </cell>
          <cell r="P702">
            <v>0</v>
          </cell>
          <cell r="Q702">
            <v>0</v>
          </cell>
          <cell r="R702">
            <v>0</v>
          </cell>
        </row>
        <row r="704">
          <cell r="O704">
            <v>0</v>
          </cell>
          <cell r="P704">
            <v>0</v>
          </cell>
          <cell r="Q704">
            <v>0</v>
          </cell>
          <cell r="R704">
            <v>0</v>
          </cell>
        </row>
        <row r="705">
          <cell r="B705">
            <v>1</v>
          </cell>
          <cell r="O705">
            <v>929.97250000000008</v>
          </cell>
          <cell r="P705">
            <v>783.2</v>
          </cell>
          <cell r="Q705">
            <v>629.20000000000005</v>
          </cell>
          <cell r="R705">
            <v>0</v>
          </cell>
        </row>
        <row r="706">
          <cell r="O706">
            <v>0</v>
          </cell>
          <cell r="P706">
            <v>0</v>
          </cell>
          <cell r="Q706">
            <v>0</v>
          </cell>
          <cell r="R706">
            <v>0</v>
          </cell>
        </row>
        <row r="708">
          <cell r="B708">
            <v>1</v>
          </cell>
          <cell r="O708">
            <v>799.95500000000004</v>
          </cell>
          <cell r="P708">
            <v>672</v>
          </cell>
          <cell r="Q708">
            <v>436.8</v>
          </cell>
          <cell r="R708">
            <v>0</v>
          </cell>
        </row>
        <row r="709">
          <cell r="O709">
            <v>0</v>
          </cell>
          <cell r="P709">
            <v>0</v>
          </cell>
          <cell r="Q709">
            <v>0</v>
          </cell>
          <cell r="R709">
            <v>0</v>
          </cell>
        </row>
        <row r="710">
          <cell r="O710">
            <v>0</v>
          </cell>
          <cell r="P710">
            <v>0</v>
          </cell>
          <cell r="Q710">
            <v>0</v>
          </cell>
          <cell r="R710">
            <v>0</v>
          </cell>
        </row>
        <row r="711">
          <cell r="O711">
            <v>0</v>
          </cell>
          <cell r="P711">
            <v>0</v>
          </cell>
          <cell r="Q711">
            <v>0</v>
          </cell>
          <cell r="R711">
            <v>0</v>
          </cell>
        </row>
        <row r="713">
          <cell r="O713">
            <v>0</v>
          </cell>
          <cell r="P713">
            <v>0</v>
          </cell>
          <cell r="Q713">
            <v>0</v>
          </cell>
          <cell r="R713">
            <v>0</v>
          </cell>
        </row>
        <row r="714">
          <cell r="O714">
            <v>0</v>
          </cell>
          <cell r="P714">
            <v>0</v>
          </cell>
          <cell r="Q714">
            <v>0</v>
          </cell>
          <cell r="R714">
            <v>0</v>
          </cell>
        </row>
        <row r="715">
          <cell r="O715">
            <v>0</v>
          </cell>
          <cell r="P715">
            <v>0</v>
          </cell>
          <cell r="Q715">
            <v>0</v>
          </cell>
          <cell r="R715">
            <v>0</v>
          </cell>
        </row>
        <row r="716">
          <cell r="O716">
            <v>0</v>
          </cell>
          <cell r="P716">
            <v>0</v>
          </cell>
          <cell r="Q716">
            <v>0</v>
          </cell>
          <cell r="R716">
            <v>0</v>
          </cell>
        </row>
        <row r="717">
          <cell r="O717">
            <v>0</v>
          </cell>
          <cell r="P717">
            <v>0</v>
          </cell>
          <cell r="Q717">
            <v>0</v>
          </cell>
          <cell r="R717">
            <v>0</v>
          </cell>
        </row>
        <row r="718">
          <cell r="B718">
            <v>1</v>
          </cell>
          <cell r="O718">
            <v>1885.13812375</v>
          </cell>
          <cell r="P718">
            <v>1472.8</v>
          </cell>
          <cell r="Q718">
            <v>1226.1600000000001</v>
          </cell>
          <cell r="R718">
            <v>0</v>
          </cell>
        </row>
        <row r="720">
          <cell r="B720">
            <v>1</v>
          </cell>
          <cell r="O720">
            <v>610.38750000000005</v>
          </cell>
          <cell r="P720">
            <v>580</v>
          </cell>
          <cell r="Q720">
            <v>464.88</v>
          </cell>
          <cell r="R720">
            <v>0</v>
          </cell>
        </row>
        <row r="721">
          <cell r="O721">
            <v>0</v>
          </cell>
          <cell r="P721">
            <v>0</v>
          </cell>
          <cell r="Q721">
            <v>0</v>
          </cell>
          <cell r="R721">
            <v>0</v>
          </cell>
        </row>
        <row r="722">
          <cell r="O722">
            <v>0</v>
          </cell>
          <cell r="P722">
            <v>0</v>
          </cell>
          <cell r="Q722">
            <v>0</v>
          </cell>
          <cell r="R722">
            <v>0</v>
          </cell>
        </row>
        <row r="723">
          <cell r="O723">
            <v>0</v>
          </cell>
          <cell r="P723">
            <v>0</v>
          </cell>
          <cell r="Q723">
            <v>0</v>
          </cell>
          <cell r="R723">
            <v>0</v>
          </cell>
        </row>
        <row r="724">
          <cell r="O724">
            <v>0</v>
          </cell>
          <cell r="P724">
            <v>0</v>
          </cell>
          <cell r="Q724">
            <v>0</v>
          </cell>
          <cell r="R724">
            <v>0</v>
          </cell>
        </row>
        <row r="726">
          <cell r="O726">
            <v>0</v>
          </cell>
          <cell r="P726">
            <v>0</v>
          </cell>
          <cell r="Q726">
            <v>0</v>
          </cell>
          <cell r="R726">
            <v>0</v>
          </cell>
        </row>
        <row r="727">
          <cell r="O727">
            <v>0</v>
          </cell>
          <cell r="P727">
            <v>0</v>
          </cell>
          <cell r="Q727">
            <v>0</v>
          </cell>
          <cell r="R727">
            <v>0</v>
          </cell>
        </row>
        <row r="728">
          <cell r="O728">
            <v>0</v>
          </cell>
          <cell r="P728">
            <v>0</v>
          </cell>
          <cell r="Q728">
            <v>0</v>
          </cell>
          <cell r="R728">
            <v>0</v>
          </cell>
        </row>
        <row r="729">
          <cell r="O729">
            <v>0</v>
          </cell>
          <cell r="P729">
            <v>0</v>
          </cell>
          <cell r="Q729">
            <v>0</v>
          </cell>
          <cell r="R729">
            <v>0</v>
          </cell>
        </row>
        <row r="730">
          <cell r="O730">
            <v>0</v>
          </cell>
          <cell r="P730">
            <v>0</v>
          </cell>
          <cell r="Q730">
            <v>0</v>
          </cell>
          <cell r="R730">
            <v>0</v>
          </cell>
        </row>
        <row r="731">
          <cell r="O731">
            <v>0</v>
          </cell>
          <cell r="P731">
            <v>0</v>
          </cell>
          <cell r="Q731">
            <v>0</v>
          </cell>
          <cell r="R731">
            <v>0</v>
          </cell>
        </row>
        <row r="732">
          <cell r="O732">
            <v>0</v>
          </cell>
          <cell r="P732">
            <v>0</v>
          </cell>
          <cell r="Q732">
            <v>0</v>
          </cell>
          <cell r="R732">
            <v>0</v>
          </cell>
        </row>
        <row r="733">
          <cell r="O733">
            <v>0</v>
          </cell>
          <cell r="P733">
            <v>0</v>
          </cell>
          <cell r="Q733">
            <v>0</v>
          </cell>
          <cell r="R733">
            <v>0</v>
          </cell>
        </row>
        <row r="734">
          <cell r="O734">
            <v>0</v>
          </cell>
          <cell r="P734">
            <v>0</v>
          </cell>
          <cell r="Q734">
            <v>0</v>
          </cell>
          <cell r="R734">
            <v>0</v>
          </cell>
        </row>
        <row r="735">
          <cell r="O735">
            <v>0</v>
          </cell>
          <cell r="P735">
            <v>0</v>
          </cell>
          <cell r="Q735">
            <v>0</v>
          </cell>
          <cell r="R735">
            <v>0</v>
          </cell>
        </row>
        <row r="737">
          <cell r="O737">
            <v>0</v>
          </cell>
          <cell r="P737">
            <v>0</v>
          </cell>
          <cell r="Q737">
            <v>0</v>
          </cell>
          <cell r="R737">
            <v>0</v>
          </cell>
        </row>
        <row r="738">
          <cell r="O738">
            <v>0</v>
          </cell>
          <cell r="P738">
            <v>0</v>
          </cell>
          <cell r="Q738">
            <v>0</v>
          </cell>
          <cell r="R738">
            <v>0</v>
          </cell>
        </row>
        <row r="739">
          <cell r="O739">
            <v>0</v>
          </cell>
          <cell r="P739">
            <v>0</v>
          </cell>
          <cell r="Q739">
            <v>0</v>
          </cell>
          <cell r="R739">
            <v>0</v>
          </cell>
        </row>
        <row r="740">
          <cell r="O740">
            <v>0</v>
          </cell>
          <cell r="P740">
            <v>0</v>
          </cell>
          <cell r="Q740">
            <v>0</v>
          </cell>
          <cell r="R740">
            <v>0</v>
          </cell>
        </row>
        <row r="741">
          <cell r="O741">
            <v>0</v>
          </cell>
          <cell r="P741">
            <v>0</v>
          </cell>
          <cell r="Q741">
            <v>0</v>
          </cell>
          <cell r="R741">
            <v>0</v>
          </cell>
        </row>
        <row r="742">
          <cell r="O742">
            <v>0</v>
          </cell>
          <cell r="P742">
            <v>0</v>
          </cell>
          <cell r="Q742">
            <v>0</v>
          </cell>
          <cell r="R742">
            <v>0</v>
          </cell>
        </row>
        <row r="743">
          <cell r="O743">
            <v>0</v>
          </cell>
          <cell r="P743">
            <v>0</v>
          </cell>
          <cell r="Q743">
            <v>0</v>
          </cell>
          <cell r="R743">
            <v>0</v>
          </cell>
        </row>
        <row r="744">
          <cell r="O744">
            <v>0</v>
          </cell>
          <cell r="P744">
            <v>0</v>
          </cell>
          <cell r="Q744">
            <v>0</v>
          </cell>
          <cell r="R744">
            <v>0</v>
          </cell>
        </row>
        <row r="745">
          <cell r="O745">
            <v>0</v>
          </cell>
          <cell r="P745">
            <v>0</v>
          </cell>
          <cell r="Q745">
            <v>0</v>
          </cell>
          <cell r="R745">
            <v>0</v>
          </cell>
        </row>
        <row r="746">
          <cell r="O746">
            <v>0</v>
          </cell>
          <cell r="P746">
            <v>0</v>
          </cell>
          <cell r="Q746">
            <v>0</v>
          </cell>
          <cell r="R746">
            <v>0</v>
          </cell>
        </row>
        <row r="747">
          <cell r="O747">
            <v>0</v>
          </cell>
          <cell r="P747">
            <v>0</v>
          </cell>
          <cell r="Q747">
            <v>0</v>
          </cell>
          <cell r="R747">
            <v>0</v>
          </cell>
        </row>
        <row r="748">
          <cell r="O748">
            <v>0</v>
          </cell>
          <cell r="P748">
            <v>0</v>
          </cell>
          <cell r="Q748">
            <v>0</v>
          </cell>
          <cell r="R748">
            <v>0</v>
          </cell>
        </row>
        <row r="749">
          <cell r="O749">
            <v>0</v>
          </cell>
          <cell r="P749">
            <v>0</v>
          </cell>
          <cell r="Q749">
            <v>0</v>
          </cell>
          <cell r="R749">
            <v>0</v>
          </cell>
        </row>
        <row r="750">
          <cell r="O750">
            <v>0</v>
          </cell>
          <cell r="P750">
            <v>0</v>
          </cell>
          <cell r="Q750">
            <v>0</v>
          </cell>
          <cell r="R750">
            <v>0</v>
          </cell>
        </row>
        <row r="751">
          <cell r="O751">
            <v>0</v>
          </cell>
          <cell r="P751">
            <v>0</v>
          </cell>
          <cell r="Q751">
            <v>0</v>
          </cell>
          <cell r="R751">
            <v>0</v>
          </cell>
        </row>
        <row r="752">
          <cell r="O752">
            <v>0</v>
          </cell>
          <cell r="P752">
            <v>0</v>
          </cell>
          <cell r="Q752">
            <v>0</v>
          </cell>
          <cell r="R752">
            <v>0</v>
          </cell>
        </row>
        <row r="753">
          <cell r="O753">
            <v>0</v>
          </cell>
          <cell r="P753">
            <v>0</v>
          </cell>
          <cell r="Q753">
            <v>0</v>
          </cell>
          <cell r="R753">
            <v>0</v>
          </cell>
        </row>
        <row r="754">
          <cell r="O754">
            <v>0</v>
          </cell>
          <cell r="P754">
            <v>0</v>
          </cell>
          <cell r="Q754">
            <v>0</v>
          </cell>
          <cell r="R754">
            <v>0</v>
          </cell>
        </row>
        <row r="756">
          <cell r="O756">
            <v>0</v>
          </cell>
          <cell r="P756">
            <v>0</v>
          </cell>
          <cell r="Q756">
            <v>0</v>
          </cell>
          <cell r="R756">
            <v>0</v>
          </cell>
        </row>
        <row r="757">
          <cell r="O757">
            <v>0</v>
          </cell>
          <cell r="P757">
            <v>0</v>
          </cell>
          <cell r="Q757">
            <v>0</v>
          </cell>
          <cell r="R757">
            <v>0</v>
          </cell>
        </row>
        <row r="758">
          <cell r="O758">
            <v>0</v>
          </cell>
          <cell r="P758">
            <v>0</v>
          </cell>
          <cell r="Q758">
            <v>0</v>
          </cell>
          <cell r="R758">
            <v>0</v>
          </cell>
        </row>
        <row r="760">
          <cell r="B760">
            <v>1</v>
          </cell>
          <cell r="O760">
            <v>9713.8967387500015</v>
          </cell>
          <cell r="P760">
            <v>6014</v>
          </cell>
          <cell r="Q760">
            <v>4500.08</v>
          </cell>
          <cell r="R760">
            <v>0</v>
          </cell>
        </row>
        <row r="761">
          <cell r="B761">
            <v>1</v>
          </cell>
          <cell r="C761" t="str">
            <v>A5C2011</v>
          </cell>
          <cell r="O761">
            <v>6434.3477250000005</v>
          </cell>
          <cell r="P761">
            <v>3623.38</v>
          </cell>
          <cell r="Q761">
            <v>2173.6</v>
          </cell>
          <cell r="R761">
            <v>0</v>
          </cell>
        </row>
        <row r="763">
          <cell r="O763">
            <v>0</v>
          </cell>
          <cell r="P763">
            <v>0</v>
          </cell>
          <cell r="Q763">
            <v>0</v>
          </cell>
          <cell r="R763">
            <v>0</v>
          </cell>
        </row>
        <row r="764">
          <cell r="O764">
            <v>0</v>
          </cell>
          <cell r="P764">
            <v>0</v>
          </cell>
          <cell r="Q764">
            <v>0</v>
          </cell>
          <cell r="R764">
            <v>0</v>
          </cell>
        </row>
        <row r="766">
          <cell r="O766">
            <v>0</v>
          </cell>
          <cell r="P766">
            <v>0</v>
          </cell>
          <cell r="Q766">
            <v>0</v>
          </cell>
          <cell r="R766">
            <v>0</v>
          </cell>
        </row>
        <row r="767">
          <cell r="B767">
            <v>1</v>
          </cell>
          <cell r="O767">
            <v>929.97250000000008</v>
          </cell>
          <cell r="P767">
            <v>783.2</v>
          </cell>
          <cell r="Q767">
            <v>629.20000000000005</v>
          </cell>
          <cell r="R767">
            <v>0</v>
          </cell>
        </row>
        <row r="768">
          <cell r="O768">
            <v>0</v>
          </cell>
          <cell r="P768">
            <v>0</v>
          </cell>
          <cell r="Q768">
            <v>0</v>
          </cell>
          <cell r="R768">
            <v>0</v>
          </cell>
        </row>
        <row r="770">
          <cell r="B770">
            <v>1</v>
          </cell>
          <cell r="O770">
            <v>799.95500000000004</v>
          </cell>
          <cell r="P770">
            <v>672</v>
          </cell>
          <cell r="Q770">
            <v>436.8</v>
          </cell>
          <cell r="R770">
            <v>0</v>
          </cell>
        </row>
        <row r="771">
          <cell r="O771">
            <v>0</v>
          </cell>
          <cell r="P771">
            <v>0</v>
          </cell>
          <cell r="Q771">
            <v>0</v>
          </cell>
          <cell r="R771">
            <v>0</v>
          </cell>
        </row>
        <row r="772">
          <cell r="O772">
            <v>0</v>
          </cell>
          <cell r="P772">
            <v>0</v>
          </cell>
          <cell r="Q772">
            <v>0</v>
          </cell>
          <cell r="R772">
            <v>0</v>
          </cell>
        </row>
        <row r="773">
          <cell r="O773">
            <v>0</v>
          </cell>
          <cell r="P773">
            <v>0</v>
          </cell>
          <cell r="Q773">
            <v>0</v>
          </cell>
          <cell r="R773">
            <v>0</v>
          </cell>
        </row>
        <row r="775">
          <cell r="O775">
            <v>0</v>
          </cell>
          <cell r="P775">
            <v>0</v>
          </cell>
          <cell r="Q775">
            <v>0</v>
          </cell>
          <cell r="R775">
            <v>0</v>
          </cell>
        </row>
        <row r="776">
          <cell r="O776">
            <v>0</v>
          </cell>
          <cell r="P776">
            <v>0</v>
          </cell>
          <cell r="Q776">
            <v>0</v>
          </cell>
          <cell r="R776">
            <v>0</v>
          </cell>
        </row>
        <row r="777">
          <cell r="O777">
            <v>0</v>
          </cell>
          <cell r="P777">
            <v>0</v>
          </cell>
          <cell r="Q777">
            <v>0</v>
          </cell>
          <cell r="R777">
            <v>0</v>
          </cell>
        </row>
        <row r="778">
          <cell r="O778">
            <v>0</v>
          </cell>
          <cell r="P778">
            <v>0</v>
          </cell>
          <cell r="Q778">
            <v>0</v>
          </cell>
          <cell r="R778">
            <v>0</v>
          </cell>
        </row>
        <row r="779">
          <cell r="O779">
            <v>0</v>
          </cell>
          <cell r="P779">
            <v>0</v>
          </cell>
          <cell r="Q779">
            <v>0</v>
          </cell>
          <cell r="R779">
            <v>0</v>
          </cell>
        </row>
        <row r="780">
          <cell r="B780">
            <v>1</v>
          </cell>
          <cell r="O780">
            <v>1885.13812375</v>
          </cell>
          <cell r="P780">
            <v>1472.8</v>
          </cell>
          <cell r="Q780">
            <v>1226.1600000000001</v>
          </cell>
          <cell r="R780">
            <v>0</v>
          </cell>
        </row>
        <row r="782">
          <cell r="B782">
            <v>1</v>
          </cell>
          <cell r="O782">
            <v>610.38750000000005</v>
          </cell>
          <cell r="P782">
            <v>580</v>
          </cell>
          <cell r="Q782">
            <v>464.88</v>
          </cell>
          <cell r="R782">
            <v>0</v>
          </cell>
        </row>
        <row r="783">
          <cell r="O783">
            <v>0</v>
          </cell>
          <cell r="P783">
            <v>0</v>
          </cell>
          <cell r="Q783">
            <v>0</v>
          </cell>
          <cell r="R783">
            <v>0</v>
          </cell>
        </row>
        <row r="784">
          <cell r="O784">
            <v>0</v>
          </cell>
          <cell r="P784">
            <v>0</v>
          </cell>
          <cell r="Q784">
            <v>0</v>
          </cell>
          <cell r="R784">
            <v>0</v>
          </cell>
        </row>
        <row r="785">
          <cell r="O785">
            <v>0</v>
          </cell>
          <cell r="P785">
            <v>0</v>
          </cell>
          <cell r="Q785">
            <v>0</v>
          </cell>
          <cell r="R785">
            <v>0</v>
          </cell>
        </row>
        <row r="786">
          <cell r="O786">
            <v>0</v>
          </cell>
          <cell r="P786">
            <v>0</v>
          </cell>
          <cell r="Q786">
            <v>0</v>
          </cell>
          <cell r="R786">
            <v>0</v>
          </cell>
        </row>
        <row r="788">
          <cell r="O788">
            <v>0</v>
          </cell>
          <cell r="P788">
            <v>0</v>
          </cell>
          <cell r="Q788">
            <v>0</v>
          </cell>
          <cell r="R788">
            <v>0</v>
          </cell>
        </row>
        <row r="789">
          <cell r="O789">
            <v>0</v>
          </cell>
          <cell r="P789">
            <v>0</v>
          </cell>
          <cell r="Q789">
            <v>0</v>
          </cell>
          <cell r="R789">
            <v>0</v>
          </cell>
        </row>
        <row r="790">
          <cell r="O790">
            <v>0</v>
          </cell>
          <cell r="P790">
            <v>0</v>
          </cell>
          <cell r="Q790">
            <v>0</v>
          </cell>
          <cell r="R790">
            <v>0</v>
          </cell>
        </row>
        <row r="791">
          <cell r="O791">
            <v>0</v>
          </cell>
          <cell r="P791">
            <v>0</v>
          </cell>
          <cell r="Q791">
            <v>0</v>
          </cell>
          <cell r="R791">
            <v>0</v>
          </cell>
        </row>
        <row r="792">
          <cell r="O792">
            <v>0</v>
          </cell>
          <cell r="P792">
            <v>0</v>
          </cell>
          <cell r="Q792">
            <v>0</v>
          </cell>
          <cell r="R792">
            <v>0</v>
          </cell>
        </row>
        <row r="793">
          <cell r="O793">
            <v>0</v>
          </cell>
          <cell r="P793">
            <v>0</v>
          </cell>
          <cell r="Q793">
            <v>0</v>
          </cell>
          <cell r="R793">
            <v>0</v>
          </cell>
        </row>
        <row r="794">
          <cell r="O794">
            <v>0</v>
          </cell>
          <cell r="P794">
            <v>0</v>
          </cell>
          <cell r="Q794">
            <v>0</v>
          </cell>
          <cell r="R794">
            <v>0</v>
          </cell>
        </row>
        <row r="795">
          <cell r="O795">
            <v>0</v>
          </cell>
          <cell r="P795">
            <v>0</v>
          </cell>
          <cell r="Q795">
            <v>0</v>
          </cell>
          <cell r="R795">
            <v>0</v>
          </cell>
        </row>
        <row r="796">
          <cell r="O796">
            <v>0</v>
          </cell>
          <cell r="P796">
            <v>0</v>
          </cell>
          <cell r="Q796">
            <v>0</v>
          </cell>
          <cell r="R796">
            <v>0</v>
          </cell>
        </row>
        <row r="797">
          <cell r="O797">
            <v>0</v>
          </cell>
          <cell r="P797">
            <v>0</v>
          </cell>
          <cell r="Q797">
            <v>0</v>
          </cell>
          <cell r="R797">
            <v>0</v>
          </cell>
        </row>
        <row r="799">
          <cell r="O799">
            <v>0</v>
          </cell>
          <cell r="P799">
            <v>0</v>
          </cell>
          <cell r="Q799">
            <v>0</v>
          </cell>
          <cell r="R799">
            <v>0</v>
          </cell>
        </row>
        <row r="800">
          <cell r="O800">
            <v>0</v>
          </cell>
          <cell r="P800">
            <v>0</v>
          </cell>
          <cell r="Q800">
            <v>0</v>
          </cell>
          <cell r="R800">
            <v>0</v>
          </cell>
        </row>
        <row r="801">
          <cell r="O801">
            <v>0</v>
          </cell>
          <cell r="P801">
            <v>0</v>
          </cell>
          <cell r="Q801">
            <v>0</v>
          </cell>
          <cell r="R801">
            <v>0</v>
          </cell>
        </row>
        <row r="802">
          <cell r="O802">
            <v>0</v>
          </cell>
          <cell r="P802">
            <v>0</v>
          </cell>
          <cell r="Q802">
            <v>0</v>
          </cell>
          <cell r="R802">
            <v>0</v>
          </cell>
        </row>
        <row r="803">
          <cell r="O803">
            <v>0</v>
          </cell>
          <cell r="P803">
            <v>0</v>
          </cell>
          <cell r="Q803">
            <v>0</v>
          </cell>
          <cell r="R803">
            <v>0</v>
          </cell>
        </row>
        <row r="804">
          <cell r="O804">
            <v>0</v>
          </cell>
          <cell r="P804">
            <v>0</v>
          </cell>
          <cell r="Q804">
            <v>0</v>
          </cell>
          <cell r="R804">
            <v>0</v>
          </cell>
        </row>
        <row r="805">
          <cell r="O805">
            <v>0</v>
          </cell>
          <cell r="P805">
            <v>0</v>
          </cell>
          <cell r="Q805">
            <v>0</v>
          </cell>
          <cell r="R805">
            <v>0</v>
          </cell>
        </row>
        <row r="806">
          <cell r="O806">
            <v>0</v>
          </cell>
          <cell r="P806">
            <v>0</v>
          </cell>
          <cell r="Q806">
            <v>0</v>
          </cell>
          <cell r="R806">
            <v>0</v>
          </cell>
        </row>
        <row r="807">
          <cell r="O807">
            <v>0</v>
          </cell>
          <cell r="P807">
            <v>0</v>
          </cell>
          <cell r="Q807">
            <v>0</v>
          </cell>
          <cell r="R807">
            <v>0</v>
          </cell>
        </row>
        <row r="808">
          <cell r="O808">
            <v>0</v>
          </cell>
          <cell r="P808">
            <v>0</v>
          </cell>
          <cell r="Q808">
            <v>0</v>
          </cell>
          <cell r="R808">
            <v>0</v>
          </cell>
        </row>
        <row r="810">
          <cell r="O810">
            <v>0</v>
          </cell>
          <cell r="P810">
            <v>0</v>
          </cell>
          <cell r="Q810">
            <v>0</v>
          </cell>
          <cell r="R810">
            <v>0</v>
          </cell>
        </row>
        <row r="811">
          <cell r="O811">
            <v>0</v>
          </cell>
          <cell r="P811">
            <v>0</v>
          </cell>
          <cell r="Q811">
            <v>0</v>
          </cell>
          <cell r="R811">
            <v>0</v>
          </cell>
        </row>
        <row r="812">
          <cell r="O812">
            <v>0</v>
          </cell>
          <cell r="P812">
            <v>0</v>
          </cell>
          <cell r="Q812">
            <v>0</v>
          </cell>
          <cell r="R812">
            <v>0</v>
          </cell>
        </row>
        <row r="813">
          <cell r="O813">
            <v>0</v>
          </cell>
          <cell r="P813">
            <v>0</v>
          </cell>
          <cell r="Q813">
            <v>0</v>
          </cell>
          <cell r="R813">
            <v>0</v>
          </cell>
        </row>
        <row r="814">
          <cell r="O814">
            <v>0</v>
          </cell>
          <cell r="P814">
            <v>0</v>
          </cell>
          <cell r="Q814">
            <v>0</v>
          </cell>
          <cell r="R814">
            <v>0</v>
          </cell>
        </row>
        <row r="815">
          <cell r="O815">
            <v>0</v>
          </cell>
          <cell r="P815">
            <v>0</v>
          </cell>
          <cell r="Q815">
            <v>0</v>
          </cell>
          <cell r="R815">
            <v>0</v>
          </cell>
        </row>
        <row r="816">
          <cell r="O816">
            <v>0</v>
          </cell>
          <cell r="P816">
            <v>0</v>
          </cell>
          <cell r="Q816">
            <v>0</v>
          </cell>
          <cell r="R816">
            <v>0</v>
          </cell>
        </row>
        <row r="817">
          <cell r="O817">
            <v>0</v>
          </cell>
          <cell r="P817">
            <v>0</v>
          </cell>
          <cell r="Q817">
            <v>0</v>
          </cell>
          <cell r="R817">
            <v>0</v>
          </cell>
        </row>
        <row r="818">
          <cell r="O818">
            <v>0</v>
          </cell>
          <cell r="P818">
            <v>0</v>
          </cell>
          <cell r="Q818">
            <v>0</v>
          </cell>
          <cell r="R818">
            <v>0</v>
          </cell>
        </row>
        <row r="819">
          <cell r="O819">
            <v>0</v>
          </cell>
          <cell r="P819">
            <v>0</v>
          </cell>
          <cell r="Q819">
            <v>0</v>
          </cell>
          <cell r="R819">
            <v>0</v>
          </cell>
        </row>
        <row r="820">
          <cell r="O820">
            <v>0</v>
          </cell>
          <cell r="P820">
            <v>0</v>
          </cell>
          <cell r="Q820">
            <v>0</v>
          </cell>
          <cell r="R820">
            <v>0</v>
          </cell>
        </row>
        <row r="821">
          <cell r="O821">
            <v>0</v>
          </cell>
          <cell r="P821">
            <v>0</v>
          </cell>
          <cell r="Q821">
            <v>0</v>
          </cell>
          <cell r="R821">
            <v>0</v>
          </cell>
        </row>
        <row r="822">
          <cell r="O822">
            <v>0</v>
          </cell>
          <cell r="P822">
            <v>0</v>
          </cell>
          <cell r="Q822">
            <v>0</v>
          </cell>
          <cell r="R822">
            <v>0</v>
          </cell>
        </row>
        <row r="823">
          <cell r="O823">
            <v>0</v>
          </cell>
          <cell r="P823">
            <v>0</v>
          </cell>
          <cell r="Q823">
            <v>0</v>
          </cell>
          <cell r="R823">
            <v>0</v>
          </cell>
        </row>
        <row r="824">
          <cell r="O824">
            <v>0</v>
          </cell>
          <cell r="P824">
            <v>0</v>
          </cell>
          <cell r="Q824">
            <v>0</v>
          </cell>
          <cell r="R824">
            <v>0</v>
          </cell>
        </row>
        <row r="825">
          <cell r="O825">
            <v>0</v>
          </cell>
          <cell r="P825">
            <v>0</v>
          </cell>
          <cell r="Q825">
            <v>0</v>
          </cell>
          <cell r="R825">
            <v>0</v>
          </cell>
        </row>
        <row r="826">
          <cell r="O826">
            <v>0</v>
          </cell>
          <cell r="P826">
            <v>0</v>
          </cell>
          <cell r="Q826">
            <v>0</v>
          </cell>
          <cell r="R826">
            <v>0</v>
          </cell>
        </row>
        <row r="827">
          <cell r="O827">
            <v>0</v>
          </cell>
          <cell r="P827">
            <v>0</v>
          </cell>
          <cell r="Q827">
            <v>0</v>
          </cell>
          <cell r="R827">
            <v>0</v>
          </cell>
        </row>
        <row r="829">
          <cell r="O829">
            <v>0</v>
          </cell>
          <cell r="P829">
            <v>0</v>
          </cell>
          <cell r="Q829">
            <v>0</v>
          </cell>
          <cell r="R829">
            <v>0</v>
          </cell>
        </row>
        <row r="830">
          <cell r="O830">
            <v>0</v>
          </cell>
          <cell r="P830">
            <v>0</v>
          </cell>
          <cell r="Q830">
            <v>0</v>
          </cell>
          <cell r="R830">
            <v>0</v>
          </cell>
        </row>
        <row r="831">
          <cell r="O831">
            <v>0</v>
          </cell>
          <cell r="P831">
            <v>0</v>
          </cell>
          <cell r="Q831">
            <v>0</v>
          </cell>
          <cell r="R831">
            <v>0</v>
          </cell>
        </row>
        <row r="833">
          <cell r="B833">
            <v>1</v>
          </cell>
          <cell r="O833">
            <v>10659.800848750001</v>
          </cell>
          <cell r="P833">
            <v>7131.38</v>
          </cell>
          <cell r="Q833">
            <v>4930.6400000000003</v>
          </cell>
          <cell r="R833">
            <v>0</v>
          </cell>
        </row>
        <row r="834">
          <cell r="B834">
            <v>1</v>
          </cell>
          <cell r="C834" t="str">
            <v>A5C1011</v>
          </cell>
          <cell r="O834">
            <v>8491.1392200000009</v>
          </cell>
          <cell r="P834">
            <v>4986.63</v>
          </cell>
          <cell r="Q834">
            <v>2857.92</v>
          </cell>
          <cell r="R834">
            <v>0</v>
          </cell>
        </row>
        <row r="836">
          <cell r="O836">
            <v>0</v>
          </cell>
          <cell r="P836">
            <v>0</v>
          </cell>
          <cell r="Q836">
            <v>0</v>
          </cell>
          <cell r="R836">
            <v>0</v>
          </cell>
        </row>
        <row r="837">
          <cell r="O837">
            <v>0</v>
          </cell>
          <cell r="P837">
            <v>0</v>
          </cell>
          <cell r="Q837">
            <v>0</v>
          </cell>
          <cell r="R837">
            <v>0</v>
          </cell>
        </row>
        <row r="839">
          <cell r="O839">
            <v>0</v>
          </cell>
          <cell r="P839">
            <v>0</v>
          </cell>
          <cell r="Q839">
            <v>0</v>
          </cell>
          <cell r="R839">
            <v>0</v>
          </cell>
        </row>
        <row r="840">
          <cell r="B840">
            <v>1</v>
          </cell>
          <cell r="O840">
            <v>929.97250000000008</v>
          </cell>
          <cell r="P840">
            <v>783.2</v>
          </cell>
          <cell r="Q840">
            <v>629.20000000000005</v>
          </cell>
          <cell r="R840">
            <v>0</v>
          </cell>
        </row>
        <row r="841">
          <cell r="O841">
            <v>0</v>
          </cell>
          <cell r="P841">
            <v>0</v>
          </cell>
          <cell r="Q841">
            <v>0</v>
          </cell>
          <cell r="R841">
            <v>0</v>
          </cell>
        </row>
        <row r="843">
          <cell r="B843">
            <v>1</v>
          </cell>
          <cell r="O843">
            <v>799.95500000000004</v>
          </cell>
          <cell r="P843">
            <v>672</v>
          </cell>
          <cell r="Q843">
            <v>436.8</v>
          </cell>
          <cell r="R843">
            <v>0</v>
          </cell>
        </row>
        <row r="844">
          <cell r="O844">
            <v>0</v>
          </cell>
          <cell r="P844">
            <v>0</v>
          </cell>
          <cell r="Q844">
            <v>0</v>
          </cell>
          <cell r="R844">
            <v>0</v>
          </cell>
        </row>
        <row r="845">
          <cell r="O845">
            <v>0</v>
          </cell>
          <cell r="P845">
            <v>0</v>
          </cell>
          <cell r="Q845">
            <v>0</v>
          </cell>
          <cell r="R845">
            <v>0</v>
          </cell>
        </row>
        <row r="846">
          <cell r="O846">
            <v>0</v>
          </cell>
          <cell r="P846">
            <v>0</v>
          </cell>
          <cell r="Q846">
            <v>0</v>
          </cell>
          <cell r="R846">
            <v>0</v>
          </cell>
        </row>
        <row r="848">
          <cell r="O848">
            <v>0</v>
          </cell>
          <cell r="P848">
            <v>0</v>
          </cell>
          <cell r="Q848">
            <v>0</v>
          </cell>
          <cell r="R848">
            <v>0</v>
          </cell>
        </row>
        <row r="849">
          <cell r="O849">
            <v>0</v>
          </cell>
          <cell r="P849">
            <v>0</v>
          </cell>
          <cell r="Q849">
            <v>0</v>
          </cell>
          <cell r="R849">
            <v>0</v>
          </cell>
        </row>
        <row r="850">
          <cell r="O850">
            <v>0</v>
          </cell>
          <cell r="P850">
            <v>0</v>
          </cell>
          <cell r="Q850">
            <v>0</v>
          </cell>
          <cell r="R850">
            <v>0</v>
          </cell>
        </row>
        <row r="851">
          <cell r="O851">
            <v>0</v>
          </cell>
          <cell r="P851">
            <v>0</v>
          </cell>
          <cell r="Q851">
            <v>0</v>
          </cell>
          <cell r="R851">
            <v>0</v>
          </cell>
        </row>
        <row r="852">
          <cell r="O852">
            <v>0</v>
          </cell>
          <cell r="P852">
            <v>0</v>
          </cell>
          <cell r="Q852">
            <v>0</v>
          </cell>
          <cell r="R852">
            <v>0</v>
          </cell>
        </row>
        <row r="853">
          <cell r="B853">
            <v>1</v>
          </cell>
          <cell r="O853">
            <v>1885.13812375</v>
          </cell>
          <cell r="P853">
            <v>1472.8</v>
          </cell>
          <cell r="Q853">
            <v>1226.1600000000001</v>
          </cell>
          <cell r="R853">
            <v>0</v>
          </cell>
        </row>
        <row r="855">
          <cell r="B855">
            <v>1</v>
          </cell>
          <cell r="O855">
            <v>610.38750000000005</v>
          </cell>
          <cell r="P855">
            <v>580</v>
          </cell>
          <cell r="Q855">
            <v>464.88</v>
          </cell>
          <cell r="R855">
            <v>0</v>
          </cell>
        </row>
        <row r="856">
          <cell r="O856">
            <v>0</v>
          </cell>
          <cell r="P856">
            <v>0</v>
          </cell>
          <cell r="Q856">
            <v>0</v>
          </cell>
          <cell r="R856">
            <v>0</v>
          </cell>
        </row>
        <row r="857">
          <cell r="O857">
            <v>0</v>
          </cell>
          <cell r="P857">
            <v>0</v>
          </cell>
          <cell r="Q857">
            <v>0</v>
          </cell>
          <cell r="R857">
            <v>0</v>
          </cell>
        </row>
        <row r="858">
          <cell r="O858">
            <v>0</v>
          </cell>
          <cell r="P858">
            <v>0</v>
          </cell>
          <cell r="Q858">
            <v>0</v>
          </cell>
          <cell r="R858">
            <v>0</v>
          </cell>
        </row>
        <row r="859">
          <cell r="O859">
            <v>0</v>
          </cell>
          <cell r="P859">
            <v>0</v>
          </cell>
          <cell r="Q859">
            <v>0</v>
          </cell>
          <cell r="R859">
            <v>0</v>
          </cell>
        </row>
        <row r="861">
          <cell r="O861">
            <v>0</v>
          </cell>
          <cell r="P861">
            <v>0</v>
          </cell>
          <cell r="Q861">
            <v>0</v>
          </cell>
          <cell r="R861">
            <v>0</v>
          </cell>
        </row>
        <row r="862">
          <cell r="O862">
            <v>0</v>
          </cell>
          <cell r="P862">
            <v>0</v>
          </cell>
          <cell r="Q862">
            <v>0</v>
          </cell>
          <cell r="R862">
            <v>0</v>
          </cell>
        </row>
        <row r="863">
          <cell r="O863">
            <v>0</v>
          </cell>
          <cell r="P863">
            <v>0</v>
          </cell>
          <cell r="Q863">
            <v>0</v>
          </cell>
          <cell r="R863">
            <v>0</v>
          </cell>
        </row>
        <row r="864">
          <cell r="O864">
            <v>0</v>
          </cell>
          <cell r="P864">
            <v>0</v>
          </cell>
          <cell r="Q864">
            <v>0</v>
          </cell>
          <cell r="R864">
            <v>0</v>
          </cell>
        </row>
        <row r="865">
          <cell r="O865">
            <v>0</v>
          </cell>
          <cell r="P865">
            <v>0</v>
          </cell>
          <cell r="Q865">
            <v>0</v>
          </cell>
          <cell r="R865">
            <v>0</v>
          </cell>
        </row>
        <row r="866">
          <cell r="O866">
            <v>0</v>
          </cell>
          <cell r="P866">
            <v>0</v>
          </cell>
          <cell r="Q866">
            <v>0</v>
          </cell>
          <cell r="R866">
            <v>0</v>
          </cell>
        </row>
        <row r="867">
          <cell r="O867">
            <v>0</v>
          </cell>
          <cell r="P867">
            <v>0</v>
          </cell>
          <cell r="Q867">
            <v>0</v>
          </cell>
          <cell r="R867">
            <v>0</v>
          </cell>
        </row>
        <row r="868">
          <cell r="O868">
            <v>0</v>
          </cell>
          <cell r="P868">
            <v>0</v>
          </cell>
          <cell r="Q868">
            <v>0</v>
          </cell>
          <cell r="R868">
            <v>0</v>
          </cell>
        </row>
        <row r="869">
          <cell r="O869">
            <v>0</v>
          </cell>
          <cell r="P869">
            <v>0</v>
          </cell>
          <cell r="Q869">
            <v>0</v>
          </cell>
          <cell r="R869">
            <v>0</v>
          </cell>
        </row>
        <row r="870">
          <cell r="O870">
            <v>0</v>
          </cell>
          <cell r="P870">
            <v>0</v>
          </cell>
          <cell r="Q870">
            <v>0</v>
          </cell>
          <cell r="R870">
            <v>0</v>
          </cell>
        </row>
        <row r="872">
          <cell r="O872">
            <v>0</v>
          </cell>
          <cell r="P872">
            <v>0</v>
          </cell>
          <cell r="Q872">
            <v>0</v>
          </cell>
          <cell r="R872">
            <v>0</v>
          </cell>
        </row>
        <row r="873">
          <cell r="O873">
            <v>0</v>
          </cell>
          <cell r="P873">
            <v>0</v>
          </cell>
          <cell r="Q873">
            <v>0</v>
          </cell>
          <cell r="R873">
            <v>0</v>
          </cell>
        </row>
        <row r="874">
          <cell r="O874">
            <v>0</v>
          </cell>
          <cell r="P874">
            <v>0</v>
          </cell>
          <cell r="Q874">
            <v>0</v>
          </cell>
          <cell r="R874">
            <v>0</v>
          </cell>
        </row>
        <row r="875">
          <cell r="O875">
            <v>0</v>
          </cell>
          <cell r="P875">
            <v>0</v>
          </cell>
          <cell r="Q875">
            <v>0</v>
          </cell>
          <cell r="R875">
            <v>0</v>
          </cell>
        </row>
        <row r="876">
          <cell r="O876">
            <v>0</v>
          </cell>
          <cell r="P876">
            <v>0</v>
          </cell>
          <cell r="Q876">
            <v>0</v>
          </cell>
          <cell r="R876">
            <v>0</v>
          </cell>
        </row>
        <row r="877">
          <cell r="O877">
            <v>0</v>
          </cell>
          <cell r="P877">
            <v>0</v>
          </cell>
          <cell r="Q877">
            <v>0</v>
          </cell>
          <cell r="R877">
            <v>0</v>
          </cell>
        </row>
        <row r="878">
          <cell r="O878">
            <v>0</v>
          </cell>
          <cell r="P878">
            <v>0</v>
          </cell>
          <cell r="Q878">
            <v>0</v>
          </cell>
          <cell r="R878">
            <v>0</v>
          </cell>
        </row>
        <row r="879">
          <cell r="O879">
            <v>0</v>
          </cell>
          <cell r="P879">
            <v>0</v>
          </cell>
          <cell r="Q879">
            <v>0</v>
          </cell>
          <cell r="R879">
            <v>0</v>
          </cell>
        </row>
        <row r="880">
          <cell r="O880">
            <v>0</v>
          </cell>
          <cell r="P880">
            <v>0</v>
          </cell>
          <cell r="Q880">
            <v>0</v>
          </cell>
          <cell r="R880">
            <v>0</v>
          </cell>
        </row>
        <row r="881">
          <cell r="O881">
            <v>0</v>
          </cell>
          <cell r="P881">
            <v>0</v>
          </cell>
          <cell r="Q881">
            <v>0</v>
          </cell>
          <cell r="R881">
            <v>0</v>
          </cell>
        </row>
        <row r="883">
          <cell r="O883">
            <v>0</v>
          </cell>
          <cell r="P883">
            <v>0</v>
          </cell>
          <cell r="Q883">
            <v>0</v>
          </cell>
          <cell r="R883">
            <v>0</v>
          </cell>
        </row>
        <row r="884">
          <cell r="O884">
            <v>0</v>
          </cell>
          <cell r="P884">
            <v>0</v>
          </cell>
          <cell r="Q884">
            <v>0</v>
          </cell>
          <cell r="R884">
            <v>0</v>
          </cell>
        </row>
        <row r="885">
          <cell r="O885">
            <v>0</v>
          </cell>
          <cell r="P885">
            <v>0</v>
          </cell>
          <cell r="Q885">
            <v>0</v>
          </cell>
          <cell r="R885">
            <v>0</v>
          </cell>
        </row>
        <row r="886">
          <cell r="O886">
            <v>0</v>
          </cell>
          <cell r="P886">
            <v>0</v>
          </cell>
          <cell r="Q886">
            <v>0</v>
          </cell>
          <cell r="R886">
            <v>0</v>
          </cell>
        </row>
        <row r="887">
          <cell r="O887">
            <v>0</v>
          </cell>
          <cell r="P887">
            <v>0</v>
          </cell>
          <cell r="Q887">
            <v>0</v>
          </cell>
          <cell r="R887">
            <v>0</v>
          </cell>
        </row>
        <row r="888">
          <cell r="O888">
            <v>0</v>
          </cell>
          <cell r="P888">
            <v>0</v>
          </cell>
          <cell r="Q888">
            <v>0</v>
          </cell>
          <cell r="R888">
            <v>0</v>
          </cell>
        </row>
        <row r="889">
          <cell r="O889">
            <v>0</v>
          </cell>
          <cell r="P889">
            <v>0</v>
          </cell>
          <cell r="Q889">
            <v>0</v>
          </cell>
          <cell r="R889">
            <v>0</v>
          </cell>
        </row>
        <row r="890">
          <cell r="O890">
            <v>0</v>
          </cell>
          <cell r="P890">
            <v>0</v>
          </cell>
          <cell r="Q890">
            <v>0</v>
          </cell>
          <cell r="R890">
            <v>0</v>
          </cell>
        </row>
        <row r="891">
          <cell r="O891">
            <v>0</v>
          </cell>
          <cell r="P891">
            <v>0</v>
          </cell>
          <cell r="Q891">
            <v>0</v>
          </cell>
          <cell r="R891">
            <v>0</v>
          </cell>
        </row>
        <row r="892">
          <cell r="O892">
            <v>0</v>
          </cell>
          <cell r="P892">
            <v>0</v>
          </cell>
          <cell r="Q892">
            <v>0</v>
          </cell>
          <cell r="R892">
            <v>0</v>
          </cell>
        </row>
        <row r="893">
          <cell r="O893">
            <v>0</v>
          </cell>
          <cell r="P893">
            <v>0</v>
          </cell>
          <cell r="Q893">
            <v>0</v>
          </cell>
          <cell r="R893">
            <v>0</v>
          </cell>
        </row>
        <row r="894">
          <cell r="O894">
            <v>0</v>
          </cell>
          <cell r="P894">
            <v>0</v>
          </cell>
          <cell r="Q894">
            <v>0</v>
          </cell>
          <cell r="R894">
            <v>0</v>
          </cell>
        </row>
        <row r="895">
          <cell r="O895">
            <v>0</v>
          </cell>
          <cell r="P895">
            <v>0</v>
          </cell>
          <cell r="Q895">
            <v>0</v>
          </cell>
          <cell r="R895">
            <v>0</v>
          </cell>
        </row>
        <row r="896">
          <cell r="O896">
            <v>0</v>
          </cell>
          <cell r="P896">
            <v>0</v>
          </cell>
          <cell r="Q896">
            <v>0</v>
          </cell>
          <cell r="R896">
            <v>0</v>
          </cell>
        </row>
        <row r="897">
          <cell r="O897">
            <v>0</v>
          </cell>
          <cell r="P897">
            <v>0</v>
          </cell>
          <cell r="Q897">
            <v>0</v>
          </cell>
          <cell r="R897">
            <v>0</v>
          </cell>
        </row>
        <row r="898">
          <cell r="O898">
            <v>0</v>
          </cell>
          <cell r="P898">
            <v>0</v>
          </cell>
          <cell r="Q898">
            <v>0</v>
          </cell>
          <cell r="R898">
            <v>0</v>
          </cell>
        </row>
        <row r="899">
          <cell r="O899">
            <v>0</v>
          </cell>
          <cell r="P899">
            <v>0</v>
          </cell>
          <cell r="Q899">
            <v>0</v>
          </cell>
          <cell r="R899">
            <v>0</v>
          </cell>
        </row>
        <row r="900">
          <cell r="O900">
            <v>0</v>
          </cell>
          <cell r="P900">
            <v>0</v>
          </cell>
          <cell r="Q900">
            <v>0</v>
          </cell>
          <cell r="R900">
            <v>0</v>
          </cell>
        </row>
        <row r="902">
          <cell r="O902">
            <v>0</v>
          </cell>
          <cell r="P902">
            <v>0</v>
          </cell>
          <cell r="Q902">
            <v>0</v>
          </cell>
          <cell r="R902">
            <v>0</v>
          </cell>
        </row>
        <row r="903">
          <cell r="O903">
            <v>0</v>
          </cell>
          <cell r="P903">
            <v>0</v>
          </cell>
          <cell r="Q903">
            <v>0</v>
          </cell>
          <cell r="R903">
            <v>0</v>
          </cell>
        </row>
        <row r="904">
          <cell r="O904">
            <v>0</v>
          </cell>
          <cell r="P904">
            <v>0</v>
          </cell>
          <cell r="Q904">
            <v>0</v>
          </cell>
          <cell r="R904">
            <v>0</v>
          </cell>
        </row>
        <row r="906">
          <cell r="B906">
            <v>1</v>
          </cell>
          <cell r="O906">
            <v>12716.592343750002</v>
          </cell>
          <cell r="P906">
            <v>8494.630000000001</v>
          </cell>
          <cell r="Q906">
            <v>5614.96</v>
          </cell>
          <cell r="R906">
            <v>0</v>
          </cell>
        </row>
        <row r="907">
          <cell r="B907">
            <v>1</v>
          </cell>
          <cell r="C907" t="str">
            <v>A121011</v>
          </cell>
          <cell r="O907">
            <v>2063.4075000000003</v>
          </cell>
          <cell r="P907">
            <v>1383.2</v>
          </cell>
          <cell r="Q907">
            <v>1311.44</v>
          </cell>
          <cell r="R907">
            <v>0</v>
          </cell>
        </row>
        <row r="909">
          <cell r="O909">
            <v>0</v>
          </cell>
          <cell r="P909">
            <v>0</v>
          </cell>
          <cell r="Q909">
            <v>0</v>
          </cell>
          <cell r="R909">
            <v>0</v>
          </cell>
        </row>
        <row r="910">
          <cell r="O910">
            <v>0</v>
          </cell>
          <cell r="P910">
            <v>0</v>
          </cell>
          <cell r="Q910">
            <v>0</v>
          </cell>
          <cell r="R910">
            <v>0</v>
          </cell>
        </row>
        <row r="912">
          <cell r="O912">
            <v>0</v>
          </cell>
          <cell r="P912">
            <v>0</v>
          </cell>
          <cell r="Q912">
            <v>0</v>
          </cell>
          <cell r="R912">
            <v>0</v>
          </cell>
        </row>
        <row r="913">
          <cell r="B913">
            <v>1</v>
          </cell>
          <cell r="O913">
            <v>180.63500000000002</v>
          </cell>
          <cell r="P913">
            <v>127.2</v>
          </cell>
          <cell r="Q913">
            <v>95.09</v>
          </cell>
          <cell r="R913">
            <v>0</v>
          </cell>
        </row>
        <row r="915">
          <cell r="O915">
            <v>0</v>
          </cell>
          <cell r="P915">
            <v>0</v>
          </cell>
          <cell r="Q915">
            <v>0</v>
          </cell>
          <cell r="R915">
            <v>0</v>
          </cell>
        </row>
        <row r="916">
          <cell r="O916">
            <v>0</v>
          </cell>
          <cell r="P916">
            <v>0</v>
          </cell>
          <cell r="Q916">
            <v>0</v>
          </cell>
          <cell r="R916">
            <v>0</v>
          </cell>
        </row>
        <row r="917">
          <cell r="O917">
            <v>0</v>
          </cell>
          <cell r="P917">
            <v>0</v>
          </cell>
          <cell r="Q917">
            <v>0</v>
          </cell>
          <cell r="R917">
            <v>0</v>
          </cell>
        </row>
        <row r="918">
          <cell r="O918">
            <v>0</v>
          </cell>
          <cell r="P918">
            <v>0</v>
          </cell>
          <cell r="Q918">
            <v>0</v>
          </cell>
          <cell r="R918">
            <v>0</v>
          </cell>
        </row>
        <row r="919">
          <cell r="O919">
            <v>0</v>
          </cell>
          <cell r="P919">
            <v>0</v>
          </cell>
          <cell r="Q919">
            <v>0</v>
          </cell>
          <cell r="R919">
            <v>0</v>
          </cell>
        </row>
        <row r="921">
          <cell r="O921">
            <v>0</v>
          </cell>
          <cell r="P921">
            <v>0</v>
          </cell>
          <cell r="Q921">
            <v>0</v>
          </cell>
          <cell r="R921">
            <v>0</v>
          </cell>
        </row>
        <row r="922">
          <cell r="O922">
            <v>0</v>
          </cell>
          <cell r="P922">
            <v>0</v>
          </cell>
          <cell r="Q922">
            <v>0</v>
          </cell>
          <cell r="R922">
            <v>0</v>
          </cell>
        </row>
        <row r="924">
          <cell r="B924">
            <v>1</v>
          </cell>
          <cell r="O924">
            <v>2244.0425000000005</v>
          </cell>
          <cell r="P924">
            <v>1510.4</v>
          </cell>
          <cell r="Q924">
            <v>1406.53</v>
          </cell>
          <cell r="R924">
            <v>0</v>
          </cell>
        </row>
        <row r="925">
          <cell r="B925">
            <v>1</v>
          </cell>
          <cell r="C925" t="str">
            <v>A5C0011</v>
          </cell>
          <cell r="O925">
            <v>10739.795852500001</v>
          </cell>
          <cell r="P925">
            <v>6580</v>
          </cell>
          <cell r="Q925">
            <v>4235.92</v>
          </cell>
          <cell r="R925">
            <v>0</v>
          </cell>
        </row>
        <row r="927">
          <cell r="O927">
            <v>0</v>
          </cell>
          <cell r="P927">
            <v>0</v>
          </cell>
          <cell r="Q927">
            <v>0</v>
          </cell>
          <cell r="R927">
            <v>0</v>
          </cell>
        </row>
        <row r="928">
          <cell r="O928">
            <v>0</v>
          </cell>
          <cell r="P928">
            <v>0</v>
          </cell>
          <cell r="Q928">
            <v>0</v>
          </cell>
          <cell r="R928">
            <v>0</v>
          </cell>
        </row>
        <row r="930">
          <cell r="B930">
            <v>1</v>
          </cell>
          <cell r="O930">
            <v>799.95500000000004</v>
          </cell>
          <cell r="P930">
            <v>672</v>
          </cell>
          <cell r="Q930">
            <v>436.8</v>
          </cell>
          <cell r="R930">
            <v>0</v>
          </cell>
        </row>
        <row r="931">
          <cell r="O931">
            <v>0</v>
          </cell>
          <cell r="P931">
            <v>0</v>
          </cell>
          <cell r="Q931">
            <v>0</v>
          </cell>
          <cell r="R931">
            <v>0</v>
          </cell>
        </row>
        <row r="932">
          <cell r="O932">
            <v>0</v>
          </cell>
          <cell r="P932">
            <v>0</v>
          </cell>
          <cell r="Q932">
            <v>0</v>
          </cell>
          <cell r="R932">
            <v>0</v>
          </cell>
        </row>
        <row r="933">
          <cell r="O933">
            <v>0</v>
          </cell>
          <cell r="P933">
            <v>0</v>
          </cell>
          <cell r="Q933">
            <v>0</v>
          </cell>
          <cell r="R933">
            <v>0</v>
          </cell>
        </row>
        <row r="934">
          <cell r="O934">
            <v>0</v>
          </cell>
          <cell r="P934">
            <v>0</v>
          </cell>
          <cell r="Q934">
            <v>0</v>
          </cell>
          <cell r="R934">
            <v>0</v>
          </cell>
        </row>
        <row r="935">
          <cell r="O935">
            <v>0</v>
          </cell>
          <cell r="P935">
            <v>0</v>
          </cell>
          <cell r="Q935">
            <v>0</v>
          </cell>
          <cell r="R935">
            <v>0</v>
          </cell>
        </row>
        <row r="937">
          <cell r="O937">
            <v>0</v>
          </cell>
          <cell r="P937">
            <v>0</v>
          </cell>
          <cell r="Q937">
            <v>0</v>
          </cell>
          <cell r="R937">
            <v>0</v>
          </cell>
        </row>
        <row r="938">
          <cell r="B938">
            <v>1</v>
          </cell>
          <cell r="O938">
            <v>1058.0050000000001</v>
          </cell>
          <cell r="P938">
            <v>816.8</v>
          </cell>
          <cell r="Q938">
            <v>683.28</v>
          </cell>
          <cell r="R938">
            <v>0</v>
          </cell>
        </row>
        <row r="939">
          <cell r="O939">
            <v>0</v>
          </cell>
          <cell r="P939">
            <v>0</v>
          </cell>
          <cell r="Q939">
            <v>0</v>
          </cell>
          <cell r="R939">
            <v>0</v>
          </cell>
        </row>
        <row r="940">
          <cell r="O940">
            <v>0</v>
          </cell>
          <cell r="P940">
            <v>0</v>
          </cell>
          <cell r="Q940">
            <v>0</v>
          </cell>
          <cell r="R940">
            <v>0</v>
          </cell>
        </row>
        <row r="941">
          <cell r="O941">
            <v>0</v>
          </cell>
          <cell r="P941">
            <v>0</v>
          </cell>
          <cell r="Q941">
            <v>0</v>
          </cell>
          <cell r="R941">
            <v>0</v>
          </cell>
        </row>
        <row r="942">
          <cell r="O942">
            <v>0</v>
          </cell>
          <cell r="P942">
            <v>0</v>
          </cell>
          <cell r="Q942">
            <v>0</v>
          </cell>
          <cell r="R942">
            <v>0</v>
          </cell>
        </row>
        <row r="943">
          <cell r="O943">
            <v>0</v>
          </cell>
          <cell r="P943">
            <v>0</v>
          </cell>
          <cell r="Q943">
            <v>0</v>
          </cell>
          <cell r="R943">
            <v>0</v>
          </cell>
        </row>
        <row r="945">
          <cell r="B945">
            <v>1</v>
          </cell>
          <cell r="O945">
            <v>610.38750000000005</v>
          </cell>
          <cell r="P945">
            <v>580</v>
          </cell>
          <cell r="Q945">
            <v>464.88</v>
          </cell>
          <cell r="R945">
            <v>0</v>
          </cell>
        </row>
        <row r="946">
          <cell r="O946">
            <v>0</v>
          </cell>
          <cell r="P946">
            <v>0</v>
          </cell>
          <cell r="Q946">
            <v>0</v>
          </cell>
          <cell r="R946">
            <v>0</v>
          </cell>
        </row>
        <row r="947">
          <cell r="O947">
            <v>0</v>
          </cell>
          <cell r="P947">
            <v>0</v>
          </cell>
          <cell r="Q947">
            <v>0</v>
          </cell>
          <cell r="R947">
            <v>0</v>
          </cell>
        </row>
        <row r="948">
          <cell r="O948">
            <v>0</v>
          </cell>
          <cell r="P948">
            <v>0</v>
          </cell>
          <cell r="Q948">
            <v>0</v>
          </cell>
          <cell r="R948">
            <v>0</v>
          </cell>
        </row>
        <row r="949">
          <cell r="O949">
            <v>0</v>
          </cell>
          <cell r="P949">
            <v>0</v>
          </cell>
          <cell r="Q949">
            <v>0</v>
          </cell>
          <cell r="R949">
            <v>0</v>
          </cell>
        </row>
        <row r="951">
          <cell r="O951">
            <v>0</v>
          </cell>
          <cell r="P951">
            <v>0</v>
          </cell>
          <cell r="Q951">
            <v>0</v>
          </cell>
          <cell r="R951">
            <v>0</v>
          </cell>
        </row>
        <row r="952">
          <cell r="O952">
            <v>0</v>
          </cell>
          <cell r="P952">
            <v>0</v>
          </cell>
          <cell r="Q952">
            <v>0</v>
          </cell>
          <cell r="R952">
            <v>0</v>
          </cell>
        </row>
        <row r="953">
          <cell r="O953">
            <v>0</v>
          </cell>
          <cell r="P953">
            <v>0</v>
          </cell>
          <cell r="Q953">
            <v>0</v>
          </cell>
          <cell r="R953">
            <v>0</v>
          </cell>
        </row>
        <row r="954">
          <cell r="O954">
            <v>0</v>
          </cell>
          <cell r="P954">
            <v>0</v>
          </cell>
          <cell r="Q954">
            <v>0</v>
          </cell>
          <cell r="R954">
            <v>0</v>
          </cell>
        </row>
        <row r="955">
          <cell r="O955">
            <v>0</v>
          </cell>
          <cell r="P955">
            <v>0</v>
          </cell>
          <cell r="Q955">
            <v>0</v>
          </cell>
          <cell r="R955">
            <v>0</v>
          </cell>
        </row>
        <row r="956">
          <cell r="O956">
            <v>0</v>
          </cell>
          <cell r="P956">
            <v>0</v>
          </cell>
          <cell r="Q956">
            <v>0</v>
          </cell>
          <cell r="R956">
            <v>0</v>
          </cell>
        </row>
        <row r="957">
          <cell r="O957">
            <v>0</v>
          </cell>
          <cell r="P957">
            <v>0</v>
          </cell>
          <cell r="Q957">
            <v>0</v>
          </cell>
          <cell r="R957">
            <v>0</v>
          </cell>
        </row>
        <row r="958">
          <cell r="O958">
            <v>0</v>
          </cell>
          <cell r="P958">
            <v>0</v>
          </cell>
          <cell r="Q958">
            <v>0</v>
          </cell>
          <cell r="R958">
            <v>0</v>
          </cell>
        </row>
        <row r="959">
          <cell r="O959">
            <v>0</v>
          </cell>
          <cell r="P959">
            <v>0</v>
          </cell>
          <cell r="Q959">
            <v>0</v>
          </cell>
          <cell r="R959">
            <v>0</v>
          </cell>
        </row>
        <row r="960">
          <cell r="O960">
            <v>0</v>
          </cell>
          <cell r="P960">
            <v>0</v>
          </cell>
          <cell r="Q960">
            <v>0</v>
          </cell>
          <cell r="R960">
            <v>0</v>
          </cell>
        </row>
        <row r="962">
          <cell r="O962">
            <v>0</v>
          </cell>
          <cell r="P962">
            <v>0</v>
          </cell>
          <cell r="Q962">
            <v>0</v>
          </cell>
          <cell r="R962">
            <v>0</v>
          </cell>
        </row>
        <row r="963">
          <cell r="O963">
            <v>0</v>
          </cell>
          <cell r="P963">
            <v>0</v>
          </cell>
          <cell r="Q963">
            <v>0</v>
          </cell>
          <cell r="R963">
            <v>0</v>
          </cell>
        </row>
        <row r="964">
          <cell r="O964">
            <v>0</v>
          </cell>
          <cell r="P964">
            <v>0</v>
          </cell>
          <cell r="Q964">
            <v>0</v>
          </cell>
          <cell r="R964">
            <v>0</v>
          </cell>
        </row>
        <row r="965">
          <cell r="O965">
            <v>0</v>
          </cell>
          <cell r="P965">
            <v>0</v>
          </cell>
          <cell r="Q965">
            <v>0</v>
          </cell>
          <cell r="R965">
            <v>0</v>
          </cell>
        </row>
        <row r="966">
          <cell r="O966">
            <v>0</v>
          </cell>
          <cell r="P966">
            <v>0</v>
          </cell>
          <cell r="Q966">
            <v>0</v>
          </cell>
          <cell r="R966">
            <v>0</v>
          </cell>
        </row>
        <row r="967">
          <cell r="O967">
            <v>0</v>
          </cell>
          <cell r="P967">
            <v>0</v>
          </cell>
          <cell r="Q967">
            <v>0</v>
          </cell>
          <cell r="R967">
            <v>0</v>
          </cell>
        </row>
        <row r="968">
          <cell r="O968">
            <v>0</v>
          </cell>
          <cell r="P968">
            <v>0</v>
          </cell>
          <cell r="Q968">
            <v>0</v>
          </cell>
          <cell r="R968">
            <v>0</v>
          </cell>
        </row>
        <row r="969">
          <cell r="O969">
            <v>0</v>
          </cell>
          <cell r="P969">
            <v>0</v>
          </cell>
          <cell r="Q969">
            <v>0</v>
          </cell>
          <cell r="R969">
            <v>0</v>
          </cell>
        </row>
        <row r="970">
          <cell r="O970">
            <v>0</v>
          </cell>
          <cell r="P970">
            <v>0</v>
          </cell>
          <cell r="Q970">
            <v>0</v>
          </cell>
          <cell r="R970">
            <v>0</v>
          </cell>
        </row>
        <row r="971">
          <cell r="O971">
            <v>0</v>
          </cell>
          <cell r="P971">
            <v>0</v>
          </cell>
          <cell r="Q971">
            <v>0</v>
          </cell>
          <cell r="R971">
            <v>0</v>
          </cell>
        </row>
        <row r="973">
          <cell r="O973">
            <v>0</v>
          </cell>
          <cell r="P973">
            <v>0</v>
          </cell>
          <cell r="Q973">
            <v>0</v>
          </cell>
          <cell r="R973">
            <v>0</v>
          </cell>
        </row>
        <row r="974">
          <cell r="O974">
            <v>0</v>
          </cell>
          <cell r="P974">
            <v>0</v>
          </cell>
          <cell r="Q974">
            <v>0</v>
          </cell>
          <cell r="R974">
            <v>0</v>
          </cell>
        </row>
        <row r="975">
          <cell r="O975">
            <v>0</v>
          </cell>
          <cell r="P975">
            <v>0</v>
          </cell>
          <cell r="Q975">
            <v>0</v>
          </cell>
          <cell r="R975">
            <v>0</v>
          </cell>
        </row>
        <row r="976">
          <cell r="O976">
            <v>0</v>
          </cell>
          <cell r="P976">
            <v>0</v>
          </cell>
          <cell r="Q976">
            <v>0</v>
          </cell>
          <cell r="R976">
            <v>0</v>
          </cell>
        </row>
        <row r="977">
          <cell r="O977">
            <v>0</v>
          </cell>
          <cell r="P977">
            <v>0</v>
          </cell>
          <cell r="Q977">
            <v>0</v>
          </cell>
          <cell r="R977">
            <v>0</v>
          </cell>
        </row>
        <row r="978">
          <cell r="O978">
            <v>0</v>
          </cell>
          <cell r="P978">
            <v>0</v>
          </cell>
          <cell r="Q978">
            <v>0</v>
          </cell>
          <cell r="R978">
            <v>0</v>
          </cell>
        </row>
        <row r="979">
          <cell r="O979">
            <v>0</v>
          </cell>
          <cell r="P979">
            <v>0</v>
          </cell>
          <cell r="Q979">
            <v>0</v>
          </cell>
          <cell r="R979">
            <v>0</v>
          </cell>
        </row>
        <row r="980">
          <cell r="O980">
            <v>0</v>
          </cell>
          <cell r="P980">
            <v>0</v>
          </cell>
          <cell r="Q980">
            <v>0</v>
          </cell>
          <cell r="R980">
            <v>0</v>
          </cell>
        </row>
        <row r="981">
          <cell r="O981">
            <v>0</v>
          </cell>
          <cell r="P981">
            <v>0</v>
          </cell>
          <cell r="Q981">
            <v>0</v>
          </cell>
          <cell r="R981">
            <v>0</v>
          </cell>
        </row>
        <row r="982">
          <cell r="O982">
            <v>0</v>
          </cell>
          <cell r="P982">
            <v>0</v>
          </cell>
          <cell r="Q982">
            <v>0</v>
          </cell>
          <cell r="R982">
            <v>0</v>
          </cell>
        </row>
        <row r="983">
          <cell r="O983">
            <v>0</v>
          </cell>
          <cell r="P983">
            <v>0</v>
          </cell>
          <cell r="Q983">
            <v>0</v>
          </cell>
          <cell r="R983">
            <v>0</v>
          </cell>
        </row>
        <row r="984">
          <cell r="O984">
            <v>0</v>
          </cell>
          <cell r="P984">
            <v>0</v>
          </cell>
          <cell r="Q984">
            <v>0</v>
          </cell>
          <cell r="R984">
            <v>0</v>
          </cell>
        </row>
        <row r="985">
          <cell r="O985">
            <v>0</v>
          </cell>
          <cell r="P985">
            <v>0</v>
          </cell>
          <cell r="Q985">
            <v>0</v>
          </cell>
          <cell r="R985">
            <v>0</v>
          </cell>
        </row>
        <row r="986">
          <cell r="O986">
            <v>0</v>
          </cell>
          <cell r="P986">
            <v>0</v>
          </cell>
          <cell r="Q986">
            <v>0</v>
          </cell>
          <cell r="R986">
            <v>0</v>
          </cell>
        </row>
        <row r="987">
          <cell r="O987">
            <v>0</v>
          </cell>
          <cell r="P987">
            <v>0</v>
          </cell>
          <cell r="Q987">
            <v>0</v>
          </cell>
          <cell r="R987">
            <v>0</v>
          </cell>
        </row>
        <row r="988">
          <cell r="O988">
            <v>0</v>
          </cell>
          <cell r="P988">
            <v>0</v>
          </cell>
          <cell r="Q988">
            <v>0</v>
          </cell>
          <cell r="R988">
            <v>0</v>
          </cell>
        </row>
        <row r="989">
          <cell r="O989">
            <v>0</v>
          </cell>
          <cell r="P989">
            <v>0</v>
          </cell>
          <cell r="Q989">
            <v>0</v>
          </cell>
          <cell r="R989">
            <v>0</v>
          </cell>
        </row>
        <row r="990">
          <cell r="O990">
            <v>0</v>
          </cell>
          <cell r="P990">
            <v>0</v>
          </cell>
          <cell r="Q990">
            <v>0</v>
          </cell>
          <cell r="R990">
            <v>0</v>
          </cell>
        </row>
        <row r="992">
          <cell r="O992">
            <v>0</v>
          </cell>
          <cell r="P992">
            <v>0</v>
          </cell>
          <cell r="Q992">
            <v>0</v>
          </cell>
          <cell r="R992">
            <v>0</v>
          </cell>
        </row>
        <row r="993">
          <cell r="O993">
            <v>0</v>
          </cell>
          <cell r="P993">
            <v>0</v>
          </cell>
          <cell r="Q993">
            <v>0</v>
          </cell>
          <cell r="R993">
            <v>0</v>
          </cell>
        </row>
        <row r="994">
          <cell r="O994">
            <v>0</v>
          </cell>
          <cell r="P994">
            <v>0</v>
          </cell>
          <cell r="Q994">
            <v>0</v>
          </cell>
          <cell r="R994">
            <v>0</v>
          </cell>
        </row>
        <row r="996">
          <cell r="B996">
            <v>1</v>
          </cell>
          <cell r="O996">
            <v>13208.143352500003</v>
          </cell>
          <cell r="P996">
            <v>8648.7999999999993</v>
          </cell>
          <cell r="Q996">
            <v>5820.88</v>
          </cell>
          <cell r="R996">
            <v>0</v>
          </cell>
        </row>
        <row r="997">
          <cell r="B997">
            <v>1</v>
          </cell>
          <cell r="C997" t="str">
            <v>A5AY011</v>
          </cell>
          <cell r="O997">
            <v>14965.643495</v>
          </cell>
          <cell r="P997">
            <v>8484</v>
          </cell>
          <cell r="Q997">
            <v>4548.96</v>
          </cell>
          <cell r="R997">
            <v>0</v>
          </cell>
        </row>
        <row r="999">
          <cell r="O999">
            <v>0</v>
          </cell>
          <cell r="P999">
            <v>0</v>
          </cell>
          <cell r="Q999">
            <v>0</v>
          </cell>
          <cell r="R999">
            <v>0</v>
          </cell>
        </row>
        <row r="1000">
          <cell r="O1000">
            <v>0</v>
          </cell>
          <cell r="P1000">
            <v>0</v>
          </cell>
          <cell r="Q1000">
            <v>0</v>
          </cell>
          <cell r="R1000">
            <v>0</v>
          </cell>
        </row>
        <row r="1002">
          <cell r="B1002">
            <v>1</v>
          </cell>
          <cell r="O1002">
            <v>799.95500000000004</v>
          </cell>
          <cell r="P1002">
            <v>672</v>
          </cell>
          <cell r="Q1002">
            <v>436.8</v>
          </cell>
          <cell r="R1002">
            <v>0</v>
          </cell>
        </row>
        <row r="1003">
          <cell r="O1003">
            <v>0</v>
          </cell>
          <cell r="P1003">
            <v>0</v>
          </cell>
          <cell r="Q1003">
            <v>0</v>
          </cell>
          <cell r="R1003">
            <v>0</v>
          </cell>
        </row>
        <row r="1004">
          <cell r="O1004">
            <v>0</v>
          </cell>
          <cell r="P1004">
            <v>0</v>
          </cell>
          <cell r="Q1004">
            <v>0</v>
          </cell>
          <cell r="R1004">
            <v>0</v>
          </cell>
        </row>
        <row r="1005">
          <cell r="O1005">
            <v>0</v>
          </cell>
          <cell r="P1005">
            <v>0</v>
          </cell>
          <cell r="Q1005">
            <v>0</v>
          </cell>
          <cell r="R1005">
            <v>0</v>
          </cell>
        </row>
        <row r="1006">
          <cell r="O1006">
            <v>0</v>
          </cell>
          <cell r="P1006">
            <v>0</v>
          </cell>
          <cell r="Q1006">
            <v>0</v>
          </cell>
          <cell r="R1006">
            <v>0</v>
          </cell>
        </row>
        <row r="1007">
          <cell r="O1007">
            <v>0</v>
          </cell>
          <cell r="P1007">
            <v>0</v>
          </cell>
          <cell r="Q1007">
            <v>0</v>
          </cell>
          <cell r="R1007">
            <v>0</v>
          </cell>
        </row>
        <row r="1009">
          <cell r="O1009">
            <v>0</v>
          </cell>
          <cell r="P1009">
            <v>0</v>
          </cell>
          <cell r="Q1009">
            <v>0</v>
          </cell>
          <cell r="R1009">
            <v>0</v>
          </cell>
        </row>
        <row r="1010">
          <cell r="O1010">
            <v>0</v>
          </cell>
          <cell r="P1010">
            <v>0</v>
          </cell>
          <cell r="Q1010">
            <v>0</v>
          </cell>
          <cell r="R1010">
            <v>0</v>
          </cell>
        </row>
        <row r="1011">
          <cell r="O1011">
            <v>0</v>
          </cell>
          <cell r="P1011">
            <v>0</v>
          </cell>
          <cell r="Q1011">
            <v>0</v>
          </cell>
          <cell r="R1011">
            <v>0</v>
          </cell>
        </row>
        <row r="1012">
          <cell r="B1012">
            <v>1</v>
          </cell>
          <cell r="O1012">
            <v>1058.0050000000001</v>
          </cell>
          <cell r="P1012">
            <v>816.8</v>
          </cell>
          <cell r="Q1012">
            <v>683.28</v>
          </cell>
          <cell r="R1012">
            <v>0</v>
          </cell>
        </row>
        <row r="1013">
          <cell r="O1013">
            <v>0</v>
          </cell>
          <cell r="P1013">
            <v>0</v>
          </cell>
          <cell r="Q1013">
            <v>0</v>
          </cell>
          <cell r="R1013">
            <v>0</v>
          </cell>
        </row>
        <row r="1014">
          <cell r="O1014">
            <v>0</v>
          </cell>
          <cell r="P1014">
            <v>0</v>
          </cell>
          <cell r="Q1014">
            <v>0</v>
          </cell>
          <cell r="R1014">
            <v>0</v>
          </cell>
        </row>
        <row r="1015">
          <cell r="O1015">
            <v>0</v>
          </cell>
          <cell r="P1015">
            <v>0</v>
          </cell>
          <cell r="Q1015">
            <v>0</v>
          </cell>
          <cell r="R1015">
            <v>0</v>
          </cell>
        </row>
        <row r="1016">
          <cell r="O1016">
            <v>0</v>
          </cell>
          <cell r="P1016">
            <v>0</v>
          </cell>
          <cell r="Q1016">
            <v>0</v>
          </cell>
          <cell r="R1016">
            <v>0</v>
          </cell>
        </row>
        <row r="1017">
          <cell r="O1017">
            <v>0</v>
          </cell>
          <cell r="P1017">
            <v>0</v>
          </cell>
          <cell r="Q1017">
            <v>0</v>
          </cell>
          <cell r="R1017">
            <v>0</v>
          </cell>
        </row>
        <row r="1018">
          <cell r="O1018">
            <v>0</v>
          </cell>
          <cell r="P1018">
            <v>0</v>
          </cell>
          <cell r="Q1018">
            <v>0</v>
          </cell>
          <cell r="R1018">
            <v>0</v>
          </cell>
        </row>
        <row r="1019">
          <cell r="O1019">
            <v>0</v>
          </cell>
          <cell r="P1019">
            <v>0</v>
          </cell>
          <cell r="Q1019">
            <v>0</v>
          </cell>
          <cell r="R1019">
            <v>0</v>
          </cell>
        </row>
        <row r="1020">
          <cell r="O1020">
            <v>0</v>
          </cell>
          <cell r="P1020">
            <v>0</v>
          </cell>
          <cell r="Q1020">
            <v>0</v>
          </cell>
          <cell r="R1020">
            <v>0</v>
          </cell>
        </row>
        <row r="1021">
          <cell r="O1021">
            <v>0</v>
          </cell>
          <cell r="P1021">
            <v>0</v>
          </cell>
          <cell r="Q1021">
            <v>0</v>
          </cell>
          <cell r="R1021">
            <v>0</v>
          </cell>
        </row>
        <row r="1023">
          <cell r="B1023">
            <v>1</v>
          </cell>
          <cell r="O1023">
            <v>610.38750000000005</v>
          </cell>
          <cell r="P1023">
            <v>580</v>
          </cell>
          <cell r="Q1023">
            <v>464.88</v>
          </cell>
          <cell r="R1023">
            <v>0</v>
          </cell>
        </row>
        <row r="1024">
          <cell r="O1024">
            <v>0</v>
          </cell>
          <cell r="P1024">
            <v>0</v>
          </cell>
          <cell r="Q1024">
            <v>0</v>
          </cell>
          <cell r="R1024">
            <v>0</v>
          </cell>
        </row>
        <row r="1025">
          <cell r="O1025">
            <v>0</v>
          </cell>
          <cell r="P1025">
            <v>0</v>
          </cell>
          <cell r="Q1025">
            <v>0</v>
          </cell>
          <cell r="R1025">
            <v>0</v>
          </cell>
        </row>
        <row r="1026">
          <cell r="O1026">
            <v>0</v>
          </cell>
          <cell r="P1026">
            <v>0</v>
          </cell>
          <cell r="Q1026">
            <v>0</v>
          </cell>
          <cell r="R1026">
            <v>0</v>
          </cell>
        </row>
        <row r="1027">
          <cell r="O1027">
            <v>0</v>
          </cell>
          <cell r="P1027">
            <v>0</v>
          </cell>
          <cell r="Q1027">
            <v>0</v>
          </cell>
          <cell r="R1027">
            <v>0</v>
          </cell>
        </row>
        <row r="1029">
          <cell r="O1029">
            <v>0</v>
          </cell>
          <cell r="P1029">
            <v>0</v>
          </cell>
          <cell r="Q1029">
            <v>0</v>
          </cell>
          <cell r="R1029">
            <v>0</v>
          </cell>
        </row>
        <row r="1030">
          <cell r="O1030">
            <v>0</v>
          </cell>
          <cell r="P1030">
            <v>0</v>
          </cell>
          <cell r="Q1030">
            <v>0</v>
          </cell>
          <cell r="R1030">
            <v>0</v>
          </cell>
        </row>
        <row r="1031">
          <cell r="O1031">
            <v>0</v>
          </cell>
          <cell r="P1031">
            <v>0</v>
          </cell>
          <cell r="Q1031">
            <v>0</v>
          </cell>
          <cell r="R1031">
            <v>0</v>
          </cell>
        </row>
        <row r="1032">
          <cell r="O1032">
            <v>0</v>
          </cell>
          <cell r="P1032">
            <v>0</v>
          </cell>
          <cell r="Q1032">
            <v>0</v>
          </cell>
          <cell r="R1032">
            <v>0</v>
          </cell>
        </row>
        <row r="1033">
          <cell r="O1033">
            <v>0</v>
          </cell>
          <cell r="P1033">
            <v>0</v>
          </cell>
          <cell r="Q1033">
            <v>0</v>
          </cell>
          <cell r="R1033">
            <v>0</v>
          </cell>
        </row>
        <row r="1034">
          <cell r="O1034">
            <v>0</v>
          </cell>
          <cell r="P1034">
            <v>0</v>
          </cell>
          <cell r="Q1034">
            <v>0</v>
          </cell>
          <cell r="R1034">
            <v>0</v>
          </cell>
        </row>
        <row r="1035">
          <cell r="O1035">
            <v>0</v>
          </cell>
          <cell r="P1035">
            <v>0</v>
          </cell>
          <cell r="Q1035">
            <v>0</v>
          </cell>
          <cell r="R1035">
            <v>0</v>
          </cell>
        </row>
        <row r="1036">
          <cell r="O1036">
            <v>0</v>
          </cell>
          <cell r="P1036">
            <v>0</v>
          </cell>
          <cell r="Q1036">
            <v>0</v>
          </cell>
          <cell r="R1036">
            <v>0</v>
          </cell>
        </row>
        <row r="1037">
          <cell r="O1037">
            <v>0</v>
          </cell>
          <cell r="P1037">
            <v>0</v>
          </cell>
          <cell r="Q1037">
            <v>0</v>
          </cell>
          <cell r="R1037">
            <v>0</v>
          </cell>
        </row>
        <row r="1038">
          <cell r="O1038">
            <v>0</v>
          </cell>
          <cell r="P1038">
            <v>0</v>
          </cell>
          <cell r="Q1038">
            <v>0</v>
          </cell>
          <cell r="R1038">
            <v>0</v>
          </cell>
        </row>
        <row r="1040">
          <cell r="O1040">
            <v>0</v>
          </cell>
          <cell r="P1040">
            <v>0</v>
          </cell>
          <cell r="Q1040">
            <v>0</v>
          </cell>
          <cell r="R1040">
            <v>0</v>
          </cell>
        </row>
        <row r="1041">
          <cell r="O1041">
            <v>0</v>
          </cell>
          <cell r="P1041">
            <v>0</v>
          </cell>
          <cell r="Q1041">
            <v>0</v>
          </cell>
          <cell r="R1041">
            <v>0</v>
          </cell>
        </row>
        <row r="1042">
          <cell r="O1042">
            <v>0</v>
          </cell>
          <cell r="P1042">
            <v>0</v>
          </cell>
          <cell r="Q1042">
            <v>0</v>
          </cell>
          <cell r="R1042">
            <v>0</v>
          </cell>
        </row>
        <row r="1043">
          <cell r="O1043">
            <v>0</v>
          </cell>
          <cell r="P1043">
            <v>0</v>
          </cell>
          <cell r="Q1043">
            <v>0</v>
          </cell>
          <cell r="R1043">
            <v>0</v>
          </cell>
        </row>
        <row r="1044">
          <cell r="O1044">
            <v>0</v>
          </cell>
          <cell r="P1044">
            <v>0</v>
          </cell>
          <cell r="Q1044">
            <v>0</v>
          </cell>
          <cell r="R1044">
            <v>0</v>
          </cell>
        </row>
        <row r="1045">
          <cell r="O1045">
            <v>0</v>
          </cell>
          <cell r="P1045">
            <v>0</v>
          </cell>
          <cell r="Q1045">
            <v>0</v>
          </cell>
          <cell r="R1045">
            <v>0</v>
          </cell>
        </row>
        <row r="1046">
          <cell r="O1046">
            <v>0</v>
          </cell>
          <cell r="P1046">
            <v>0</v>
          </cell>
          <cell r="Q1046">
            <v>0</v>
          </cell>
          <cell r="R1046">
            <v>0</v>
          </cell>
        </row>
        <row r="1047">
          <cell r="O1047">
            <v>0</v>
          </cell>
          <cell r="P1047">
            <v>0</v>
          </cell>
          <cell r="Q1047">
            <v>0</v>
          </cell>
          <cell r="R1047">
            <v>0</v>
          </cell>
        </row>
        <row r="1048">
          <cell r="O1048">
            <v>0</v>
          </cell>
          <cell r="P1048">
            <v>0</v>
          </cell>
          <cell r="Q1048">
            <v>0</v>
          </cell>
          <cell r="R1048">
            <v>0</v>
          </cell>
        </row>
        <row r="1049">
          <cell r="O1049">
            <v>0</v>
          </cell>
          <cell r="P1049">
            <v>0</v>
          </cell>
          <cell r="Q1049">
            <v>0</v>
          </cell>
          <cell r="R1049">
            <v>0</v>
          </cell>
        </row>
        <row r="1051">
          <cell r="O1051">
            <v>0</v>
          </cell>
          <cell r="P1051">
            <v>0</v>
          </cell>
          <cell r="Q1051">
            <v>0</v>
          </cell>
          <cell r="R1051">
            <v>0</v>
          </cell>
        </row>
        <row r="1052">
          <cell r="O1052">
            <v>0</v>
          </cell>
          <cell r="P1052">
            <v>0</v>
          </cell>
          <cell r="Q1052">
            <v>0</v>
          </cell>
          <cell r="R1052">
            <v>0</v>
          </cell>
        </row>
        <row r="1053">
          <cell r="O1053">
            <v>0</v>
          </cell>
          <cell r="P1053">
            <v>0</v>
          </cell>
          <cell r="Q1053">
            <v>0</v>
          </cell>
          <cell r="R1053">
            <v>0</v>
          </cell>
        </row>
        <row r="1054">
          <cell r="O1054">
            <v>0</v>
          </cell>
          <cell r="P1054">
            <v>0</v>
          </cell>
          <cell r="Q1054">
            <v>0</v>
          </cell>
          <cell r="R1054">
            <v>0</v>
          </cell>
        </row>
        <row r="1055">
          <cell r="O1055">
            <v>0</v>
          </cell>
          <cell r="P1055">
            <v>0</v>
          </cell>
          <cell r="Q1055">
            <v>0</v>
          </cell>
          <cell r="R1055">
            <v>0</v>
          </cell>
        </row>
        <row r="1056">
          <cell r="O1056">
            <v>0</v>
          </cell>
          <cell r="P1056">
            <v>0</v>
          </cell>
          <cell r="Q1056">
            <v>0</v>
          </cell>
          <cell r="R1056">
            <v>0</v>
          </cell>
        </row>
        <row r="1057">
          <cell r="O1057">
            <v>0</v>
          </cell>
          <cell r="P1057">
            <v>0</v>
          </cell>
          <cell r="Q1057">
            <v>0</v>
          </cell>
          <cell r="R1057">
            <v>0</v>
          </cell>
        </row>
        <row r="1058">
          <cell r="O1058">
            <v>0</v>
          </cell>
          <cell r="P1058">
            <v>0</v>
          </cell>
          <cell r="Q1058">
            <v>0</v>
          </cell>
          <cell r="R1058">
            <v>0</v>
          </cell>
        </row>
        <row r="1059">
          <cell r="O1059">
            <v>0</v>
          </cell>
          <cell r="P1059">
            <v>0</v>
          </cell>
          <cell r="Q1059">
            <v>0</v>
          </cell>
          <cell r="R1059">
            <v>0</v>
          </cell>
        </row>
        <row r="1060">
          <cell r="O1060">
            <v>0</v>
          </cell>
          <cell r="P1060">
            <v>0</v>
          </cell>
          <cell r="Q1060">
            <v>0</v>
          </cell>
          <cell r="R1060">
            <v>0</v>
          </cell>
        </row>
        <row r="1061">
          <cell r="O1061">
            <v>0</v>
          </cell>
          <cell r="P1061">
            <v>0</v>
          </cell>
          <cell r="Q1061">
            <v>0</v>
          </cell>
          <cell r="R1061">
            <v>0</v>
          </cell>
        </row>
        <row r="1062">
          <cell r="O1062">
            <v>0</v>
          </cell>
          <cell r="P1062">
            <v>0</v>
          </cell>
          <cell r="Q1062">
            <v>0</v>
          </cell>
          <cell r="R1062">
            <v>0</v>
          </cell>
        </row>
        <row r="1063">
          <cell r="O1063">
            <v>0</v>
          </cell>
          <cell r="P1063">
            <v>0</v>
          </cell>
          <cell r="Q1063">
            <v>0</v>
          </cell>
          <cell r="R1063">
            <v>0</v>
          </cell>
        </row>
        <row r="1064">
          <cell r="O1064">
            <v>0</v>
          </cell>
          <cell r="P1064">
            <v>0</v>
          </cell>
          <cell r="Q1064">
            <v>0</v>
          </cell>
          <cell r="R1064">
            <v>0</v>
          </cell>
        </row>
        <row r="1065">
          <cell r="O1065">
            <v>0</v>
          </cell>
          <cell r="P1065">
            <v>0</v>
          </cell>
          <cell r="Q1065">
            <v>0</v>
          </cell>
          <cell r="R1065">
            <v>0</v>
          </cell>
        </row>
        <row r="1066">
          <cell r="O1066">
            <v>0</v>
          </cell>
          <cell r="P1066">
            <v>0</v>
          </cell>
          <cell r="Q1066">
            <v>0</v>
          </cell>
          <cell r="R1066">
            <v>0</v>
          </cell>
        </row>
        <row r="1067">
          <cell r="O1067">
            <v>0</v>
          </cell>
          <cell r="P1067">
            <v>0</v>
          </cell>
          <cell r="Q1067">
            <v>0</v>
          </cell>
          <cell r="R1067">
            <v>0</v>
          </cell>
        </row>
        <row r="1068">
          <cell r="O1068">
            <v>0</v>
          </cell>
          <cell r="P1068">
            <v>0</v>
          </cell>
          <cell r="Q1068">
            <v>0</v>
          </cell>
          <cell r="R1068">
            <v>0</v>
          </cell>
        </row>
        <row r="1070">
          <cell r="O1070">
            <v>0</v>
          </cell>
          <cell r="P1070">
            <v>0</v>
          </cell>
          <cell r="Q1070">
            <v>0</v>
          </cell>
          <cell r="R1070">
            <v>0</v>
          </cell>
        </row>
        <row r="1071">
          <cell r="O1071">
            <v>0</v>
          </cell>
          <cell r="P1071">
            <v>0</v>
          </cell>
          <cell r="Q1071">
            <v>0</v>
          </cell>
          <cell r="R1071">
            <v>0</v>
          </cell>
        </row>
        <row r="1072">
          <cell r="O1072">
            <v>0</v>
          </cell>
          <cell r="P1072">
            <v>0</v>
          </cell>
          <cell r="Q1072">
            <v>0</v>
          </cell>
          <cell r="R1072">
            <v>0</v>
          </cell>
        </row>
        <row r="1074">
          <cell r="B1074">
            <v>1</v>
          </cell>
          <cell r="O1074">
            <v>17433.990995</v>
          </cell>
          <cell r="P1074">
            <v>10552.8</v>
          </cell>
          <cell r="Q1074">
            <v>6133.92</v>
          </cell>
          <cell r="R1074">
            <v>0</v>
          </cell>
        </row>
        <row r="1075">
          <cell r="B1075">
            <v>1</v>
          </cell>
          <cell r="C1075" t="str">
            <v>A2X1017</v>
          </cell>
          <cell r="O1075">
            <v>19273.073656910001</v>
          </cell>
          <cell r="P1075">
            <v>9811.9</v>
          </cell>
          <cell r="Q1075">
            <v>6930.56</v>
          </cell>
          <cell r="R1075">
            <v>0</v>
          </cell>
        </row>
        <row r="1077">
          <cell r="O1077">
            <v>0</v>
          </cell>
          <cell r="P1077">
            <v>0</v>
          </cell>
          <cell r="Q1077">
            <v>0</v>
          </cell>
          <cell r="R1077">
            <v>0</v>
          </cell>
        </row>
        <row r="1078">
          <cell r="O1078">
            <v>0</v>
          </cell>
          <cell r="P1078">
            <v>0</v>
          </cell>
          <cell r="Q1078">
            <v>0</v>
          </cell>
          <cell r="R1078">
            <v>0</v>
          </cell>
        </row>
        <row r="1080">
          <cell r="O1080">
            <v>0</v>
          </cell>
          <cell r="P1080">
            <v>0</v>
          </cell>
          <cell r="Q1080">
            <v>0</v>
          </cell>
          <cell r="R1080">
            <v>0</v>
          </cell>
        </row>
        <row r="1081">
          <cell r="O1081">
            <v>0</v>
          </cell>
          <cell r="P1081">
            <v>0</v>
          </cell>
          <cell r="Q1081">
            <v>0</v>
          </cell>
          <cell r="R1081">
            <v>0</v>
          </cell>
        </row>
        <row r="1083">
          <cell r="B1083">
            <v>1</v>
          </cell>
          <cell r="O1083">
            <v>2063.4075000000003</v>
          </cell>
          <cell r="P1083">
            <v>1376</v>
          </cell>
          <cell r="Q1083">
            <v>1235.52</v>
          </cell>
          <cell r="R1083">
            <v>0</v>
          </cell>
        </row>
        <row r="1084">
          <cell r="B1084">
            <v>1</v>
          </cell>
          <cell r="O1084">
            <v>1136.4125000000001</v>
          </cell>
          <cell r="P1084">
            <v>757.6</v>
          </cell>
          <cell r="Q1084">
            <v>715.52</v>
          </cell>
          <cell r="R1084">
            <v>0</v>
          </cell>
        </row>
        <row r="1085">
          <cell r="O1085">
            <v>0</v>
          </cell>
          <cell r="P1085">
            <v>0</v>
          </cell>
          <cell r="Q1085">
            <v>0</v>
          </cell>
          <cell r="R1085">
            <v>0</v>
          </cell>
        </row>
        <row r="1086">
          <cell r="O1086">
            <v>0</v>
          </cell>
          <cell r="P1086">
            <v>0</v>
          </cell>
          <cell r="Q1086">
            <v>0</v>
          </cell>
          <cell r="R1086">
            <v>0</v>
          </cell>
        </row>
        <row r="1087">
          <cell r="O1087">
            <v>0</v>
          </cell>
          <cell r="P1087">
            <v>0</v>
          </cell>
          <cell r="Q1087">
            <v>0</v>
          </cell>
          <cell r="R1087">
            <v>0</v>
          </cell>
        </row>
        <row r="1088">
          <cell r="O1088">
            <v>0</v>
          </cell>
          <cell r="P1088">
            <v>0</v>
          </cell>
          <cell r="Q1088">
            <v>0</v>
          </cell>
          <cell r="R1088">
            <v>0</v>
          </cell>
        </row>
        <row r="1089">
          <cell r="O1089">
            <v>0</v>
          </cell>
          <cell r="P1089">
            <v>0</v>
          </cell>
          <cell r="Q1089">
            <v>0</v>
          </cell>
          <cell r="R1089">
            <v>0</v>
          </cell>
        </row>
        <row r="1090">
          <cell r="O1090">
            <v>0</v>
          </cell>
          <cell r="P1090">
            <v>0</v>
          </cell>
          <cell r="Q1090">
            <v>0</v>
          </cell>
          <cell r="R1090">
            <v>0</v>
          </cell>
        </row>
        <row r="1091">
          <cell r="O1091">
            <v>0</v>
          </cell>
          <cell r="P1091">
            <v>0</v>
          </cell>
          <cell r="Q1091">
            <v>0</v>
          </cell>
          <cell r="R1091">
            <v>0</v>
          </cell>
        </row>
        <row r="1092">
          <cell r="O1092">
            <v>0</v>
          </cell>
          <cell r="P1092">
            <v>0</v>
          </cell>
          <cell r="Q1092">
            <v>0</v>
          </cell>
          <cell r="R1092">
            <v>0</v>
          </cell>
        </row>
        <row r="1094">
          <cell r="B1094">
            <v>1</v>
          </cell>
          <cell r="O1094">
            <v>610.38750000000005</v>
          </cell>
          <cell r="P1094">
            <v>580</v>
          </cell>
          <cell r="Q1094">
            <v>464.88</v>
          </cell>
          <cell r="R1094">
            <v>0</v>
          </cell>
        </row>
        <row r="1095">
          <cell r="O1095">
            <v>0</v>
          </cell>
          <cell r="P1095">
            <v>0</v>
          </cell>
          <cell r="Q1095">
            <v>0</v>
          </cell>
          <cell r="R1095">
            <v>0</v>
          </cell>
        </row>
        <row r="1096">
          <cell r="O1096">
            <v>0</v>
          </cell>
          <cell r="P1096">
            <v>0</v>
          </cell>
          <cell r="Q1096">
            <v>0</v>
          </cell>
          <cell r="R1096">
            <v>0</v>
          </cell>
        </row>
        <row r="1097">
          <cell r="O1097">
            <v>0</v>
          </cell>
          <cell r="P1097">
            <v>0</v>
          </cell>
          <cell r="Q1097">
            <v>0</v>
          </cell>
          <cell r="R1097">
            <v>0</v>
          </cell>
        </row>
        <row r="1098">
          <cell r="O1098">
            <v>0</v>
          </cell>
          <cell r="P1098">
            <v>0</v>
          </cell>
          <cell r="Q1098">
            <v>0</v>
          </cell>
          <cell r="R1098">
            <v>0</v>
          </cell>
        </row>
        <row r="1100">
          <cell r="O1100">
            <v>0</v>
          </cell>
          <cell r="P1100">
            <v>0</v>
          </cell>
          <cell r="Q1100">
            <v>0</v>
          </cell>
          <cell r="R1100">
            <v>0</v>
          </cell>
        </row>
        <row r="1101">
          <cell r="O1101">
            <v>0</v>
          </cell>
          <cell r="P1101">
            <v>0</v>
          </cell>
          <cell r="Q1101">
            <v>0</v>
          </cell>
          <cell r="R1101">
            <v>0</v>
          </cell>
        </row>
        <row r="1102">
          <cell r="O1102">
            <v>0</v>
          </cell>
          <cell r="P1102">
            <v>0</v>
          </cell>
          <cell r="Q1102">
            <v>0</v>
          </cell>
          <cell r="R1102">
            <v>0</v>
          </cell>
        </row>
        <row r="1103">
          <cell r="O1103">
            <v>0</v>
          </cell>
          <cell r="P1103">
            <v>0</v>
          </cell>
          <cell r="Q1103">
            <v>0</v>
          </cell>
          <cell r="R1103">
            <v>0</v>
          </cell>
        </row>
        <row r="1104">
          <cell r="O1104">
            <v>0</v>
          </cell>
          <cell r="P1104">
            <v>0</v>
          </cell>
          <cell r="Q1104">
            <v>0</v>
          </cell>
          <cell r="R1104">
            <v>0</v>
          </cell>
        </row>
        <row r="1105">
          <cell r="O1105">
            <v>0</v>
          </cell>
          <cell r="P1105">
            <v>0</v>
          </cell>
          <cell r="Q1105">
            <v>0</v>
          </cell>
          <cell r="R1105">
            <v>0</v>
          </cell>
        </row>
        <row r="1106">
          <cell r="O1106">
            <v>0</v>
          </cell>
          <cell r="P1106">
            <v>0</v>
          </cell>
          <cell r="Q1106">
            <v>0</v>
          </cell>
          <cell r="R1106">
            <v>0</v>
          </cell>
        </row>
        <row r="1107">
          <cell r="O1107">
            <v>0</v>
          </cell>
          <cell r="P1107">
            <v>0</v>
          </cell>
          <cell r="Q1107">
            <v>0</v>
          </cell>
          <cell r="R1107">
            <v>0</v>
          </cell>
        </row>
        <row r="1108">
          <cell r="O1108">
            <v>0</v>
          </cell>
          <cell r="P1108">
            <v>0</v>
          </cell>
          <cell r="Q1108">
            <v>0</v>
          </cell>
          <cell r="R1108">
            <v>0</v>
          </cell>
        </row>
        <row r="1109">
          <cell r="O1109">
            <v>0</v>
          </cell>
          <cell r="P1109">
            <v>0</v>
          </cell>
          <cell r="Q1109">
            <v>0</v>
          </cell>
          <cell r="R1109">
            <v>0</v>
          </cell>
        </row>
        <row r="1111">
          <cell r="O1111">
            <v>0</v>
          </cell>
          <cell r="P1111">
            <v>0</v>
          </cell>
          <cell r="Q1111">
            <v>0</v>
          </cell>
          <cell r="R1111">
            <v>0</v>
          </cell>
        </row>
        <row r="1112">
          <cell r="O1112">
            <v>0</v>
          </cell>
          <cell r="P1112">
            <v>0</v>
          </cell>
          <cell r="Q1112">
            <v>0</v>
          </cell>
          <cell r="R1112">
            <v>0</v>
          </cell>
        </row>
        <row r="1113">
          <cell r="O1113">
            <v>0</v>
          </cell>
          <cell r="P1113">
            <v>0</v>
          </cell>
          <cell r="Q1113">
            <v>0</v>
          </cell>
          <cell r="R1113">
            <v>0</v>
          </cell>
        </row>
        <row r="1114">
          <cell r="O1114">
            <v>0</v>
          </cell>
          <cell r="P1114">
            <v>0</v>
          </cell>
          <cell r="Q1114">
            <v>0</v>
          </cell>
          <cell r="R1114">
            <v>0</v>
          </cell>
        </row>
        <row r="1115">
          <cell r="O1115">
            <v>0</v>
          </cell>
          <cell r="P1115">
            <v>0</v>
          </cell>
          <cell r="Q1115">
            <v>0</v>
          </cell>
          <cell r="R1115">
            <v>0</v>
          </cell>
        </row>
        <row r="1116">
          <cell r="O1116">
            <v>0</v>
          </cell>
          <cell r="P1116">
            <v>0</v>
          </cell>
          <cell r="Q1116">
            <v>0</v>
          </cell>
          <cell r="R1116">
            <v>0</v>
          </cell>
        </row>
        <row r="1117">
          <cell r="O1117">
            <v>0</v>
          </cell>
          <cell r="P1117">
            <v>0</v>
          </cell>
          <cell r="Q1117">
            <v>0</v>
          </cell>
          <cell r="R1117">
            <v>0</v>
          </cell>
        </row>
        <row r="1118">
          <cell r="O1118">
            <v>0</v>
          </cell>
          <cell r="P1118">
            <v>0</v>
          </cell>
          <cell r="Q1118">
            <v>0</v>
          </cell>
          <cell r="R1118">
            <v>0</v>
          </cell>
        </row>
        <row r="1119">
          <cell r="O1119">
            <v>0</v>
          </cell>
          <cell r="P1119">
            <v>0</v>
          </cell>
          <cell r="Q1119">
            <v>0</v>
          </cell>
          <cell r="R1119">
            <v>0</v>
          </cell>
        </row>
        <row r="1120">
          <cell r="O1120">
            <v>0</v>
          </cell>
          <cell r="P1120">
            <v>0</v>
          </cell>
          <cell r="Q1120">
            <v>0</v>
          </cell>
          <cell r="R1120">
            <v>0</v>
          </cell>
        </row>
        <row r="1122">
          <cell r="O1122">
            <v>0</v>
          </cell>
          <cell r="P1122">
            <v>0</v>
          </cell>
          <cell r="Q1122">
            <v>0</v>
          </cell>
          <cell r="R1122">
            <v>0</v>
          </cell>
        </row>
        <row r="1123">
          <cell r="O1123">
            <v>0</v>
          </cell>
          <cell r="P1123">
            <v>0</v>
          </cell>
          <cell r="Q1123">
            <v>0</v>
          </cell>
          <cell r="R1123">
            <v>0</v>
          </cell>
        </row>
        <row r="1124">
          <cell r="O1124">
            <v>0</v>
          </cell>
          <cell r="P1124">
            <v>0</v>
          </cell>
          <cell r="Q1124">
            <v>0</v>
          </cell>
          <cell r="R1124">
            <v>0</v>
          </cell>
        </row>
        <row r="1125">
          <cell r="O1125">
            <v>0</v>
          </cell>
          <cell r="P1125">
            <v>0</v>
          </cell>
          <cell r="Q1125">
            <v>0</v>
          </cell>
          <cell r="R1125">
            <v>0</v>
          </cell>
        </row>
        <row r="1126">
          <cell r="O1126">
            <v>0</v>
          </cell>
          <cell r="P1126">
            <v>0</v>
          </cell>
          <cell r="Q1126">
            <v>0</v>
          </cell>
          <cell r="R1126">
            <v>0</v>
          </cell>
        </row>
        <row r="1127">
          <cell r="O1127">
            <v>0</v>
          </cell>
          <cell r="P1127">
            <v>0</v>
          </cell>
          <cell r="Q1127">
            <v>0</v>
          </cell>
          <cell r="R1127">
            <v>0</v>
          </cell>
        </row>
        <row r="1128">
          <cell r="O1128">
            <v>0</v>
          </cell>
          <cell r="P1128">
            <v>0</v>
          </cell>
          <cell r="Q1128">
            <v>0</v>
          </cell>
          <cell r="R1128">
            <v>0</v>
          </cell>
        </row>
        <row r="1129">
          <cell r="O1129">
            <v>0</v>
          </cell>
          <cell r="P1129">
            <v>0</v>
          </cell>
          <cell r="Q1129">
            <v>0</v>
          </cell>
          <cell r="R1129">
            <v>0</v>
          </cell>
        </row>
        <row r="1130">
          <cell r="O1130">
            <v>0</v>
          </cell>
          <cell r="P1130">
            <v>0</v>
          </cell>
          <cell r="Q1130">
            <v>0</v>
          </cell>
          <cell r="R1130">
            <v>0</v>
          </cell>
        </row>
        <row r="1131">
          <cell r="O1131">
            <v>0</v>
          </cell>
          <cell r="P1131">
            <v>0</v>
          </cell>
          <cell r="Q1131">
            <v>0</v>
          </cell>
          <cell r="R1131">
            <v>0</v>
          </cell>
        </row>
        <row r="1132">
          <cell r="O1132">
            <v>0</v>
          </cell>
          <cell r="P1132">
            <v>0</v>
          </cell>
          <cell r="Q1132">
            <v>0</v>
          </cell>
          <cell r="R1132">
            <v>0</v>
          </cell>
        </row>
        <row r="1133">
          <cell r="O1133">
            <v>0</v>
          </cell>
          <cell r="P1133">
            <v>0</v>
          </cell>
          <cell r="Q1133">
            <v>0</v>
          </cell>
          <cell r="R1133">
            <v>0</v>
          </cell>
        </row>
        <row r="1134">
          <cell r="O1134">
            <v>0</v>
          </cell>
          <cell r="P1134">
            <v>0</v>
          </cell>
          <cell r="Q1134">
            <v>0</v>
          </cell>
          <cell r="R1134">
            <v>0</v>
          </cell>
        </row>
        <row r="1135">
          <cell r="O1135">
            <v>0</v>
          </cell>
          <cell r="P1135">
            <v>0</v>
          </cell>
          <cell r="Q1135">
            <v>0</v>
          </cell>
          <cell r="R1135">
            <v>0</v>
          </cell>
        </row>
        <row r="1136">
          <cell r="O1136">
            <v>0</v>
          </cell>
          <cell r="P1136">
            <v>0</v>
          </cell>
          <cell r="Q1136">
            <v>0</v>
          </cell>
          <cell r="R1136">
            <v>0</v>
          </cell>
        </row>
        <row r="1138">
          <cell r="O1138">
            <v>0</v>
          </cell>
          <cell r="P1138">
            <v>0</v>
          </cell>
          <cell r="Q1138">
            <v>0</v>
          </cell>
          <cell r="R1138">
            <v>0</v>
          </cell>
        </row>
        <row r="1139">
          <cell r="O1139">
            <v>0</v>
          </cell>
          <cell r="P1139">
            <v>0</v>
          </cell>
          <cell r="Q1139">
            <v>0</v>
          </cell>
          <cell r="R1139">
            <v>0</v>
          </cell>
        </row>
        <row r="1140">
          <cell r="O1140">
            <v>0</v>
          </cell>
          <cell r="P1140">
            <v>0</v>
          </cell>
          <cell r="Q1140">
            <v>0</v>
          </cell>
          <cell r="R1140">
            <v>0</v>
          </cell>
        </row>
        <row r="1142">
          <cell r="B1142">
            <v>1</v>
          </cell>
          <cell r="O1142">
            <v>23083.281156910001</v>
          </cell>
          <cell r="P1142">
            <v>12525.5</v>
          </cell>
          <cell r="Q1142">
            <v>9346.48</v>
          </cell>
          <cell r="R1142">
            <v>0</v>
          </cell>
        </row>
        <row r="1143">
          <cell r="B1143">
            <v>1</v>
          </cell>
          <cell r="C1143" t="str">
            <v>A2X0017</v>
          </cell>
          <cell r="O1143">
            <v>22583.682747750001</v>
          </cell>
          <cell r="P1143">
            <v>11631.9</v>
          </cell>
          <cell r="Q1143">
            <v>8141.12</v>
          </cell>
          <cell r="R1143">
            <v>0</v>
          </cell>
        </row>
        <row r="1145">
          <cell r="O1145">
            <v>0</v>
          </cell>
          <cell r="P1145">
            <v>0</v>
          </cell>
          <cell r="Q1145">
            <v>0</v>
          </cell>
          <cell r="R1145">
            <v>0</v>
          </cell>
        </row>
        <row r="1146">
          <cell r="O1146">
            <v>0</v>
          </cell>
          <cell r="P1146">
            <v>0</v>
          </cell>
          <cell r="Q1146">
            <v>0</v>
          </cell>
          <cell r="R1146">
            <v>0</v>
          </cell>
        </row>
        <row r="1148">
          <cell r="O1148">
            <v>0</v>
          </cell>
          <cell r="P1148">
            <v>0</v>
          </cell>
          <cell r="Q1148">
            <v>0</v>
          </cell>
          <cell r="R1148">
            <v>0</v>
          </cell>
        </row>
        <row r="1149">
          <cell r="O1149">
            <v>0</v>
          </cell>
          <cell r="P1149">
            <v>0</v>
          </cell>
          <cell r="Q1149">
            <v>0</v>
          </cell>
          <cell r="R1149">
            <v>0</v>
          </cell>
        </row>
        <row r="1151">
          <cell r="O1151">
            <v>0</v>
          </cell>
          <cell r="P1151">
            <v>0</v>
          </cell>
          <cell r="Q1151">
            <v>0</v>
          </cell>
          <cell r="R1151">
            <v>0</v>
          </cell>
        </row>
        <row r="1152">
          <cell r="O1152">
            <v>0</v>
          </cell>
          <cell r="P1152">
            <v>0</v>
          </cell>
          <cell r="Q1152">
            <v>0</v>
          </cell>
          <cell r="R1152">
            <v>0</v>
          </cell>
        </row>
        <row r="1153">
          <cell r="O1153">
            <v>0</v>
          </cell>
          <cell r="P1153">
            <v>0</v>
          </cell>
          <cell r="Q1153">
            <v>0</v>
          </cell>
          <cell r="R1153">
            <v>0</v>
          </cell>
        </row>
        <row r="1154">
          <cell r="O1154">
            <v>0</v>
          </cell>
          <cell r="P1154">
            <v>0</v>
          </cell>
          <cell r="Q1154">
            <v>0</v>
          </cell>
          <cell r="R1154">
            <v>0</v>
          </cell>
        </row>
        <row r="1155">
          <cell r="O1155">
            <v>0</v>
          </cell>
          <cell r="P1155">
            <v>0</v>
          </cell>
          <cell r="Q1155">
            <v>0</v>
          </cell>
          <cell r="R1155">
            <v>0</v>
          </cell>
        </row>
        <row r="1156">
          <cell r="O1156">
            <v>0</v>
          </cell>
          <cell r="P1156">
            <v>0</v>
          </cell>
          <cell r="Q1156">
            <v>0</v>
          </cell>
          <cell r="R1156">
            <v>0</v>
          </cell>
        </row>
        <row r="1157">
          <cell r="O1157">
            <v>0</v>
          </cell>
          <cell r="P1157">
            <v>0</v>
          </cell>
          <cell r="Q1157">
            <v>0</v>
          </cell>
          <cell r="R1157">
            <v>0</v>
          </cell>
        </row>
        <row r="1158">
          <cell r="B1158">
            <v>1</v>
          </cell>
          <cell r="O1158">
            <v>1058.0050000000001</v>
          </cell>
          <cell r="P1158">
            <v>816.8</v>
          </cell>
          <cell r="Q1158">
            <v>683.28</v>
          </cell>
          <cell r="R1158">
            <v>0</v>
          </cell>
        </row>
        <row r="1159">
          <cell r="O1159">
            <v>0</v>
          </cell>
          <cell r="P1159">
            <v>0</v>
          </cell>
          <cell r="Q1159">
            <v>0</v>
          </cell>
          <cell r="R1159">
            <v>0</v>
          </cell>
        </row>
        <row r="1160">
          <cell r="B1160">
            <v>1</v>
          </cell>
          <cell r="O1160">
            <v>334.47250000000003</v>
          </cell>
          <cell r="P1160">
            <v>280.8</v>
          </cell>
          <cell r="Q1160">
            <v>191.36</v>
          </cell>
          <cell r="R1160">
            <v>0</v>
          </cell>
        </row>
        <row r="1162">
          <cell r="B1162">
            <v>1</v>
          </cell>
          <cell r="O1162">
            <v>610.38750000000005</v>
          </cell>
          <cell r="P1162">
            <v>580</v>
          </cell>
          <cell r="Q1162">
            <v>464.88</v>
          </cell>
          <cell r="R1162">
            <v>0</v>
          </cell>
        </row>
        <row r="1163">
          <cell r="O1163">
            <v>0</v>
          </cell>
          <cell r="P1163">
            <v>0</v>
          </cell>
          <cell r="Q1163">
            <v>0</v>
          </cell>
          <cell r="R1163">
            <v>0</v>
          </cell>
        </row>
        <row r="1164">
          <cell r="O1164">
            <v>0</v>
          </cell>
          <cell r="P1164">
            <v>0</v>
          </cell>
          <cell r="Q1164">
            <v>0</v>
          </cell>
          <cell r="R1164">
            <v>0</v>
          </cell>
        </row>
        <row r="1165">
          <cell r="O1165">
            <v>0</v>
          </cell>
          <cell r="P1165">
            <v>0</v>
          </cell>
          <cell r="Q1165">
            <v>0</v>
          </cell>
          <cell r="R1165">
            <v>0</v>
          </cell>
        </row>
        <row r="1166">
          <cell r="O1166">
            <v>0</v>
          </cell>
          <cell r="P1166">
            <v>0</v>
          </cell>
          <cell r="Q1166">
            <v>0</v>
          </cell>
          <cell r="R1166">
            <v>0</v>
          </cell>
        </row>
        <row r="1168">
          <cell r="O1168">
            <v>0</v>
          </cell>
          <cell r="P1168">
            <v>0</v>
          </cell>
          <cell r="Q1168">
            <v>0</v>
          </cell>
          <cell r="R1168">
            <v>0</v>
          </cell>
        </row>
        <row r="1169">
          <cell r="O1169">
            <v>0</v>
          </cell>
          <cell r="P1169">
            <v>0</v>
          </cell>
          <cell r="Q1169">
            <v>0</v>
          </cell>
          <cell r="R1169">
            <v>0</v>
          </cell>
        </row>
        <row r="1170">
          <cell r="O1170">
            <v>0</v>
          </cell>
          <cell r="P1170">
            <v>0</v>
          </cell>
          <cell r="Q1170">
            <v>0</v>
          </cell>
          <cell r="R1170">
            <v>0</v>
          </cell>
        </row>
        <row r="1171">
          <cell r="O1171">
            <v>0</v>
          </cell>
          <cell r="P1171">
            <v>0</v>
          </cell>
          <cell r="Q1171">
            <v>0</v>
          </cell>
          <cell r="R1171">
            <v>0</v>
          </cell>
        </row>
        <row r="1172">
          <cell r="O1172">
            <v>0</v>
          </cell>
          <cell r="P1172">
            <v>0</v>
          </cell>
          <cell r="Q1172">
            <v>0</v>
          </cell>
          <cell r="R1172">
            <v>0</v>
          </cell>
        </row>
        <row r="1173">
          <cell r="O1173">
            <v>0</v>
          </cell>
          <cell r="P1173">
            <v>0</v>
          </cell>
          <cell r="Q1173">
            <v>0</v>
          </cell>
          <cell r="R1173">
            <v>0</v>
          </cell>
        </row>
        <row r="1174">
          <cell r="O1174">
            <v>0</v>
          </cell>
          <cell r="P1174">
            <v>0</v>
          </cell>
          <cell r="Q1174">
            <v>0</v>
          </cell>
          <cell r="R1174">
            <v>0</v>
          </cell>
        </row>
        <row r="1175">
          <cell r="O1175">
            <v>0</v>
          </cell>
          <cell r="P1175">
            <v>0</v>
          </cell>
          <cell r="Q1175">
            <v>0</v>
          </cell>
          <cell r="R1175">
            <v>0</v>
          </cell>
        </row>
        <row r="1176">
          <cell r="O1176">
            <v>0</v>
          </cell>
          <cell r="P1176">
            <v>0</v>
          </cell>
          <cell r="Q1176">
            <v>0</v>
          </cell>
          <cell r="R1176">
            <v>0</v>
          </cell>
        </row>
        <row r="1177">
          <cell r="O1177">
            <v>0</v>
          </cell>
          <cell r="P1177">
            <v>0</v>
          </cell>
          <cell r="Q1177">
            <v>0</v>
          </cell>
          <cell r="R1177">
            <v>0</v>
          </cell>
        </row>
        <row r="1179">
          <cell r="O1179">
            <v>0</v>
          </cell>
          <cell r="P1179">
            <v>0</v>
          </cell>
          <cell r="Q1179">
            <v>0</v>
          </cell>
          <cell r="R1179">
            <v>0</v>
          </cell>
        </row>
        <row r="1180">
          <cell r="O1180">
            <v>0</v>
          </cell>
          <cell r="P1180">
            <v>0</v>
          </cell>
          <cell r="Q1180">
            <v>0</v>
          </cell>
          <cell r="R1180">
            <v>0</v>
          </cell>
        </row>
        <row r="1181">
          <cell r="O1181">
            <v>0</v>
          </cell>
          <cell r="P1181">
            <v>0</v>
          </cell>
          <cell r="Q1181">
            <v>0</v>
          </cell>
          <cell r="R1181">
            <v>0</v>
          </cell>
        </row>
        <row r="1182">
          <cell r="O1182">
            <v>0</v>
          </cell>
          <cell r="P1182">
            <v>0</v>
          </cell>
          <cell r="Q1182">
            <v>0</v>
          </cell>
          <cell r="R1182">
            <v>0</v>
          </cell>
        </row>
        <row r="1183">
          <cell r="O1183">
            <v>0</v>
          </cell>
          <cell r="P1183">
            <v>0</v>
          </cell>
          <cell r="Q1183">
            <v>0</v>
          </cell>
          <cell r="R1183">
            <v>0</v>
          </cell>
        </row>
        <row r="1184">
          <cell r="O1184">
            <v>0</v>
          </cell>
          <cell r="P1184">
            <v>0</v>
          </cell>
          <cell r="Q1184">
            <v>0</v>
          </cell>
          <cell r="R1184">
            <v>0</v>
          </cell>
        </row>
        <row r="1185">
          <cell r="O1185">
            <v>0</v>
          </cell>
          <cell r="P1185">
            <v>0</v>
          </cell>
          <cell r="Q1185">
            <v>0</v>
          </cell>
          <cell r="R1185">
            <v>0</v>
          </cell>
        </row>
        <row r="1186">
          <cell r="O1186">
            <v>0</v>
          </cell>
          <cell r="P1186">
            <v>0</v>
          </cell>
          <cell r="Q1186">
            <v>0</v>
          </cell>
          <cell r="R1186">
            <v>0</v>
          </cell>
        </row>
        <row r="1187">
          <cell r="O1187">
            <v>0</v>
          </cell>
          <cell r="P1187">
            <v>0</v>
          </cell>
          <cell r="Q1187">
            <v>0</v>
          </cell>
          <cell r="R1187">
            <v>0</v>
          </cell>
        </row>
        <row r="1188">
          <cell r="O1188">
            <v>0</v>
          </cell>
          <cell r="P1188">
            <v>0</v>
          </cell>
          <cell r="Q1188">
            <v>0</v>
          </cell>
          <cell r="R1188">
            <v>0</v>
          </cell>
        </row>
        <row r="1190">
          <cell r="O1190">
            <v>0</v>
          </cell>
          <cell r="P1190">
            <v>0</v>
          </cell>
          <cell r="Q1190">
            <v>0</v>
          </cell>
          <cell r="R1190">
            <v>0</v>
          </cell>
        </row>
        <row r="1191">
          <cell r="O1191">
            <v>0</v>
          </cell>
          <cell r="P1191">
            <v>0</v>
          </cell>
          <cell r="Q1191">
            <v>0</v>
          </cell>
          <cell r="R1191">
            <v>0</v>
          </cell>
        </row>
        <row r="1192">
          <cell r="O1192">
            <v>0</v>
          </cell>
          <cell r="P1192">
            <v>0</v>
          </cell>
          <cell r="Q1192">
            <v>0</v>
          </cell>
          <cell r="R1192">
            <v>0</v>
          </cell>
        </row>
        <row r="1193">
          <cell r="O1193">
            <v>0</v>
          </cell>
          <cell r="P1193">
            <v>0</v>
          </cell>
          <cell r="Q1193">
            <v>0</v>
          </cell>
          <cell r="R1193">
            <v>0</v>
          </cell>
        </row>
        <row r="1194">
          <cell r="O1194">
            <v>0</v>
          </cell>
          <cell r="P1194">
            <v>0</v>
          </cell>
          <cell r="Q1194">
            <v>0</v>
          </cell>
          <cell r="R1194">
            <v>0</v>
          </cell>
        </row>
        <row r="1195">
          <cell r="O1195">
            <v>0</v>
          </cell>
          <cell r="P1195">
            <v>0</v>
          </cell>
          <cell r="Q1195">
            <v>0</v>
          </cell>
          <cell r="R1195">
            <v>0</v>
          </cell>
        </row>
        <row r="1196">
          <cell r="O1196">
            <v>0</v>
          </cell>
          <cell r="P1196">
            <v>0</v>
          </cell>
          <cell r="Q1196">
            <v>0</v>
          </cell>
          <cell r="R1196">
            <v>0</v>
          </cell>
        </row>
        <row r="1197">
          <cell r="O1197">
            <v>0</v>
          </cell>
          <cell r="P1197">
            <v>0</v>
          </cell>
          <cell r="Q1197">
            <v>0</v>
          </cell>
          <cell r="R1197">
            <v>0</v>
          </cell>
        </row>
        <row r="1198">
          <cell r="O1198">
            <v>0</v>
          </cell>
          <cell r="P1198">
            <v>0</v>
          </cell>
          <cell r="Q1198">
            <v>0</v>
          </cell>
          <cell r="R1198">
            <v>0</v>
          </cell>
        </row>
        <row r="1199">
          <cell r="O1199">
            <v>0</v>
          </cell>
          <cell r="P1199">
            <v>0</v>
          </cell>
          <cell r="Q1199">
            <v>0</v>
          </cell>
          <cell r="R1199">
            <v>0</v>
          </cell>
        </row>
        <row r="1200">
          <cell r="O1200">
            <v>0</v>
          </cell>
          <cell r="P1200">
            <v>0</v>
          </cell>
          <cell r="Q1200">
            <v>0</v>
          </cell>
          <cell r="R1200">
            <v>0</v>
          </cell>
        </row>
        <row r="1201">
          <cell r="O1201">
            <v>0</v>
          </cell>
          <cell r="P1201">
            <v>0</v>
          </cell>
          <cell r="Q1201">
            <v>0</v>
          </cell>
          <cell r="R1201">
            <v>0</v>
          </cell>
        </row>
        <row r="1202">
          <cell r="O1202">
            <v>0</v>
          </cell>
          <cell r="P1202">
            <v>0</v>
          </cell>
          <cell r="Q1202">
            <v>0</v>
          </cell>
          <cell r="R1202">
            <v>0</v>
          </cell>
        </row>
        <row r="1203">
          <cell r="O1203">
            <v>0</v>
          </cell>
          <cell r="P1203">
            <v>0</v>
          </cell>
          <cell r="Q1203">
            <v>0</v>
          </cell>
          <cell r="R1203">
            <v>0</v>
          </cell>
        </row>
        <row r="1204">
          <cell r="O1204">
            <v>0</v>
          </cell>
          <cell r="P1204">
            <v>0</v>
          </cell>
          <cell r="Q1204">
            <v>0</v>
          </cell>
          <cell r="R1204">
            <v>0</v>
          </cell>
        </row>
        <row r="1206">
          <cell r="O1206">
            <v>0</v>
          </cell>
          <cell r="P1206">
            <v>0</v>
          </cell>
          <cell r="Q1206">
            <v>0</v>
          </cell>
          <cell r="R1206">
            <v>0</v>
          </cell>
        </row>
        <row r="1207">
          <cell r="O1207">
            <v>0</v>
          </cell>
          <cell r="P1207">
            <v>0</v>
          </cell>
          <cell r="Q1207">
            <v>0</v>
          </cell>
          <cell r="R1207">
            <v>0</v>
          </cell>
        </row>
        <row r="1208">
          <cell r="O1208">
            <v>0</v>
          </cell>
          <cell r="P1208">
            <v>0</v>
          </cell>
          <cell r="Q1208">
            <v>0</v>
          </cell>
          <cell r="R1208">
            <v>0</v>
          </cell>
        </row>
        <row r="1210">
          <cell r="B1210">
            <v>1</v>
          </cell>
          <cell r="O1210">
            <v>24586.547747750003</v>
          </cell>
          <cell r="P1210">
            <v>13309.499999999998</v>
          </cell>
          <cell r="Q1210">
            <v>9480.64</v>
          </cell>
          <cell r="R1210">
            <v>0</v>
          </cell>
        </row>
        <row r="1211">
          <cell r="B1211">
            <v>1</v>
          </cell>
          <cell r="C1211" t="str">
            <v>A1DV011</v>
          </cell>
          <cell r="O1211">
            <v>24278.535</v>
          </cell>
          <cell r="P1211">
            <v>18014.22</v>
          </cell>
          <cell r="Q1211">
            <v>11211.2</v>
          </cell>
          <cell r="R1211">
            <v>0</v>
          </cell>
        </row>
        <row r="1213">
          <cell r="O1213">
            <v>0</v>
          </cell>
          <cell r="P1213">
            <v>0</v>
          </cell>
          <cell r="Q1213">
            <v>0</v>
          </cell>
          <cell r="R1213">
            <v>0</v>
          </cell>
        </row>
        <row r="1214">
          <cell r="O1214">
            <v>0</v>
          </cell>
          <cell r="P1214">
            <v>0</v>
          </cell>
          <cell r="Q1214">
            <v>0</v>
          </cell>
          <cell r="R1214">
            <v>0</v>
          </cell>
        </row>
        <row r="1215">
          <cell r="O1215">
            <v>0</v>
          </cell>
          <cell r="P1215">
            <v>0</v>
          </cell>
          <cell r="Q1215">
            <v>0</v>
          </cell>
          <cell r="R1215">
            <v>0</v>
          </cell>
        </row>
        <row r="1216">
          <cell r="O1216">
            <v>0</v>
          </cell>
          <cell r="P1216">
            <v>0</v>
          </cell>
          <cell r="Q1216">
            <v>0</v>
          </cell>
          <cell r="R1216">
            <v>0</v>
          </cell>
        </row>
        <row r="1217">
          <cell r="O1217">
            <v>0</v>
          </cell>
          <cell r="P1217">
            <v>0</v>
          </cell>
          <cell r="Q1217">
            <v>0</v>
          </cell>
          <cell r="R1217">
            <v>0</v>
          </cell>
        </row>
        <row r="1218">
          <cell r="O1218">
            <v>0</v>
          </cell>
          <cell r="P1218">
            <v>0</v>
          </cell>
          <cell r="Q1218">
            <v>0</v>
          </cell>
          <cell r="R1218">
            <v>0</v>
          </cell>
        </row>
        <row r="1219">
          <cell r="O1219">
            <v>0</v>
          </cell>
          <cell r="P1219">
            <v>0</v>
          </cell>
          <cell r="Q1219">
            <v>0</v>
          </cell>
          <cell r="R1219">
            <v>0</v>
          </cell>
        </row>
        <row r="1220">
          <cell r="O1220">
            <v>0</v>
          </cell>
          <cell r="P1220">
            <v>0</v>
          </cell>
          <cell r="Q1220">
            <v>0</v>
          </cell>
          <cell r="R1220">
            <v>0</v>
          </cell>
        </row>
        <row r="1222">
          <cell r="B1222">
            <v>1</v>
          </cell>
          <cell r="O1222">
            <v>3167.0675000000001</v>
          </cell>
          <cell r="P1222">
            <v>2749.13</v>
          </cell>
          <cell r="Q1222">
            <v>2164.2399999999998</v>
          </cell>
          <cell r="R1222">
            <v>0</v>
          </cell>
        </row>
        <row r="1223">
          <cell r="B1223">
            <v>1</v>
          </cell>
          <cell r="O1223">
            <v>1509.5925</v>
          </cell>
          <cell r="P1223">
            <v>1311.18</v>
          </cell>
          <cell r="Q1223">
            <v>1132.56</v>
          </cell>
          <cell r="R1223">
            <v>0</v>
          </cell>
        </row>
        <row r="1224">
          <cell r="O1224">
            <v>0</v>
          </cell>
          <cell r="P1224">
            <v>0</v>
          </cell>
          <cell r="Q1224">
            <v>0</v>
          </cell>
          <cell r="R1224">
            <v>0</v>
          </cell>
        </row>
        <row r="1225">
          <cell r="O1225">
            <v>0</v>
          </cell>
          <cell r="P1225">
            <v>0</v>
          </cell>
          <cell r="Q1225">
            <v>0</v>
          </cell>
          <cell r="R1225">
            <v>0</v>
          </cell>
        </row>
        <row r="1227">
          <cell r="O1227">
            <v>0</v>
          </cell>
          <cell r="P1227">
            <v>0</v>
          </cell>
          <cell r="Q1227">
            <v>0</v>
          </cell>
          <cell r="R1227">
            <v>0</v>
          </cell>
        </row>
        <row r="1228">
          <cell r="B1228">
            <v>1</v>
          </cell>
          <cell r="O1228">
            <v>1042.125</v>
          </cell>
          <cell r="P1228">
            <v>744.37</v>
          </cell>
          <cell r="Q1228">
            <v>599.04</v>
          </cell>
          <cell r="R1228">
            <v>0</v>
          </cell>
        </row>
        <row r="1229">
          <cell r="O1229">
            <v>0</v>
          </cell>
          <cell r="P1229">
            <v>0</v>
          </cell>
          <cell r="Q1229">
            <v>0</v>
          </cell>
          <cell r="R1229">
            <v>0</v>
          </cell>
        </row>
        <row r="1230">
          <cell r="B1230">
            <v>1</v>
          </cell>
          <cell r="O1230">
            <v>2811.7525000000001</v>
          </cell>
          <cell r="P1230">
            <v>1950.4</v>
          </cell>
          <cell r="Q1230">
            <v>1606.8</v>
          </cell>
          <cell r="R1230">
            <v>0</v>
          </cell>
        </row>
        <row r="1231">
          <cell r="O1231">
            <v>0</v>
          </cell>
          <cell r="P1231">
            <v>0</v>
          </cell>
          <cell r="Q1231">
            <v>0</v>
          </cell>
          <cell r="R1231">
            <v>0</v>
          </cell>
        </row>
        <row r="1232">
          <cell r="O1232">
            <v>0</v>
          </cell>
          <cell r="P1232">
            <v>0</v>
          </cell>
          <cell r="Q1232">
            <v>0</v>
          </cell>
          <cell r="R1232">
            <v>0</v>
          </cell>
        </row>
        <row r="1233">
          <cell r="O1233">
            <v>0</v>
          </cell>
          <cell r="P1233">
            <v>0</v>
          </cell>
          <cell r="Q1233">
            <v>0</v>
          </cell>
          <cell r="R1233">
            <v>0</v>
          </cell>
        </row>
        <row r="1234">
          <cell r="O1234">
            <v>0</v>
          </cell>
          <cell r="P1234">
            <v>0</v>
          </cell>
          <cell r="Q1234">
            <v>0</v>
          </cell>
          <cell r="R1234">
            <v>0</v>
          </cell>
        </row>
        <row r="1235">
          <cell r="O1235">
            <v>0</v>
          </cell>
          <cell r="P1235">
            <v>0</v>
          </cell>
          <cell r="Q1235">
            <v>0</v>
          </cell>
          <cell r="R1235">
            <v>0</v>
          </cell>
        </row>
        <row r="1236">
          <cell r="O1236">
            <v>0</v>
          </cell>
          <cell r="P1236">
            <v>0</v>
          </cell>
          <cell r="Q1236">
            <v>0</v>
          </cell>
          <cell r="R1236">
            <v>0</v>
          </cell>
        </row>
        <row r="1237">
          <cell r="O1237">
            <v>0</v>
          </cell>
          <cell r="P1237">
            <v>0</v>
          </cell>
          <cell r="Q1237">
            <v>0</v>
          </cell>
          <cell r="R1237">
            <v>0</v>
          </cell>
        </row>
        <row r="1238">
          <cell r="O1238">
            <v>0</v>
          </cell>
          <cell r="P1238">
            <v>0</v>
          </cell>
          <cell r="Q1238">
            <v>0</v>
          </cell>
          <cell r="R1238">
            <v>0</v>
          </cell>
        </row>
        <row r="1239">
          <cell r="O1239">
            <v>0</v>
          </cell>
          <cell r="P1239">
            <v>0</v>
          </cell>
          <cell r="Q1239">
            <v>0</v>
          </cell>
          <cell r="R1239">
            <v>0</v>
          </cell>
        </row>
        <row r="1240">
          <cell r="O1240">
            <v>0</v>
          </cell>
          <cell r="P1240">
            <v>0</v>
          </cell>
          <cell r="Q1240">
            <v>0</v>
          </cell>
          <cell r="R1240">
            <v>0</v>
          </cell>
        </row>
        <row r="1241">
          <cell r="O1241">
            <v>0</v>
          </cell>
          <cell r="P1241">
            <v>0</v>
          </cell>
          <cell r="Q1241">
            <v>0</v>
          </cell>
          <cell r="R1241">
            <v>0</v>
          </cell>
        </row>
        <row r="1242">
          <cell r="O1242">
            <v>0</v>
          </cell>
          <cell r="P1242">
            <v>0</v>
          </cell>
          <cell r="Q1242">
            <v>0</v>
          </cell>
          <cell r="R1242">
            <v>0</v>
          </cell>
        </row>
        <row r="1243">
          <cell r="O1243">
            <v>0</v>
          </cell>
          <cell r="P1243">
            <v>0</v>
          </cell>
          <cell r="Q1243">
            <v>0</v>
          </cell>
          <cell r="R1243">
            <v>0</v>
          </cell>
        </row>
        <row r="1244">
          <cell r="O1244">
            <v>0</v>
          </cell>
          <cell r="P1244">
            <v>0</v>
          </cell>
          <cell r="Q1244">
            <v>0</v>
          </cell>
          <cell r="R1244">
            <v>0</v>
          </cell>
        </row>
        <row r="1245">
          <cell r="O1245">
            <v>0</v>
          </cell>
          <cell r="P1245">
            <v>0</v>
          </cell>
          <cell r="Q1245">
            <v>0</v>
          </cell>
          <cell r="R1245">
            <v>0</v>
          </cell>
        </row>
        <row r="1246">
          <cell r="O1246">
            <v>0</v>
          </cell>
          <cell r="P1246">
            <v>0</v>
          </cell>
          <cell r="Q1246">
            <v>0</v>
          </cell>
          <cell r="R1246">
            <v>0</v>
          </cell>
        </row>
        <row r="1247">
          <cell r="O1247">
            <v>0</v>
          </cell>
          <cell r="P1247">
            <v>0</v>
          </cell>
          <cell r="Q1247">
            <v>0</v>
          </cell>
          <cell r="R1247">
            <v>0</v>
          </cell>
        </row>
        <row r="1248">
          <cell r="O1248">
            <v>0</v>
          </cell>
          <cell r="P1248">
            <v>0</v>
          </cell>
          <cell r="Q1248">
            <v>0</v>
          </cell>
          <cell r="R1248">
            <v>0</v>
          </cell>
        </row>
        <row r="1249">
          <cell r="O1249">
            <v>0</v>
          </cell>
          <cell r="P1249">
            <v>0</v>
          </cell>
          <cell r="Q1249">
            <v>0</v>
          </cell>
          <cell r="R1249">
            <v>0</v>
          </cell>
        </row>
        <row r="1250">
          <cell r="O1250">
            <v>0</v>
          </cell>
          <cell r="P1250">
            <v>0</v>
          </cell>
          <cell r="Q1250">
            <v>0</v>
          </cell>
          <cell r="R1250">
            <v>0</v>
          </cell>
        </row>
        <row r="1251">
          <cell r="O1251">
            <v>0</v>
          </cell>
          <cell r="P1251">
            <v>0</v>
          </cell>
          <cell r="Q1251">
            <v>0</v>
          </cell>
          <cell r="R1251">
            <v>0</v>
          </cell>
        </row>
        <row r="1252">
          <cell r="O1252">
            <v>0</v>
          </cell>
          <cell r="P1252">
            <v>0</v>
          </cell>
          <cell r="Q1252">
            <v>0</v>
          </cell>
          <cell r="R1252">
            <v>0</v>
          </cell>
        </row>
        <row r="1254">
          <cell r="B1254">
            <v>1</v>
          </cell>
          <cell r="O1254">
            <v>2205.335</v>
          </cell>
          <cell r="P1254">
            <v>1865.6</v>
          </cell>
          <cell r="Q1254">
            <v>1236</v>
          </cell>
          <cell r="R1254">
            <v>0</v>
          </cell>
        </row>
        <row r="1256">
          <cell r="B1256">
            <v>1</v>
          </cell>
          <cell r="O1256">
            <v>15433.375</v>
          </cell>
          <cell r="P1256">
            <v>11617.6</v>
          </cell>
          <cell r="Q1256">
            <v>10609</v>
          </cell>
          <cell r="R1256">
            <v>0</v>
          </cell>
        </row>
        <row r="1257">
          <cell r="O1257">
            <v>0</v>
          </cell>
          <cell r="P1257">
            <v>0</v>
          </cell>
          <cell r="Q1257">
            <v>0</v>
          </cell>
          <cell r="R1257">
            <v>0</v>
          </cell>
        </row>
        <row r="1258">
          <cell r="O1258">
            <v>0</v>
          </cell>
          <cell r="P1258">
            <v>0</v>
          </cell>
          <cell r="Q1258">
            <v>0</v>
          </cell>
          <cell r="R1258">
            <v>0</v>
          </cell>
        </row>
        <row r="1259">
          <cell r="O1259">
            <v>0</v>
          </cell>
          <cell r="P1259">
            <v>0</v>
          </cell>
          <cell r="Q1259">
            <v>0</v>
          </cell>
          <cell r="R1259">
            <v>0</v>
          </cell>
        </row>
        <row r="1260">
          <cell r="O1260">
            <v>0</v>
          </cell>
          <cell r="P1260">
            <v>0</v>
          </cell>
          <cell r="Q1260">
            <v>0</v>
          </cell>
          <cell r="R1260">
            <v>0</v>
          </cell>
        </row>
        <row r="1261">
          <cell r="O1261">
            <v>0</v>
          </cell>
          <cell r="P1261">
            <v>0</v>
          </cell>
          <cell r="Q1261">
            <v>0</v>
          </cell>
          <cell r="R1261">
            <v>0</v>
          </cell>
        </row>
        <row r="1262">
          <cell r="O1262">
            <v>0</v>
          </cell>
          <cell r="P1262">
            <v>0</v>
          </cell>
          <cell r="Q1262">
            <v>0</v>
          </cell>
          <cell r="R1262">
            <v>0</v>
          </cell>
        </row>
        <row r="1263">
          <cell r="O1263">
            <v>0</v>
          </cell>
          <cell r="P1263">
            <v>0</v>
          </cell>
          <cell r="Q1263">
            <v>0</v>
          </cell>
          <cell r="R1263">
            <v>0</v>
          </cell>
        </row>
        <row r="1264">
          <cell r="O1264">
            <v>0</v>
          </cell>
          <cell r="P1264">
            <v>0</v>
          </cell>
          <cell r="Q1264">
            <v>0</v>
          </cell>
          <cell r="R1264">
            <v>0</v>
          </cell>
        </row>
        <row r="1265">
          <cell r="O1265">
            <v>0</v>
          </cell>
          <cell r="P1265">
            <v>0</v>
          </cell>
          <cell r="Q1265">
            <v>0</v>
          </cell>
          <cell r="R1265">
            <v>0</v>
          </cell>
        </row>
        <row r="1266">
          <cell r="O1266">
            <v>0</v>
          </cell>
          <cell r="P1266">
            <v>0</v>
          </cell>
          <cell r="Q1266">
            <v>0</v>
          </cell>
          <cell r="R1266">
            <v>0</v>
          </cell>
        </row>
        <row r="1267">
          <cell r="O1267">
            <v>0</v>
          </cell>
          <cell r="P1267">
            <v>0</v>
          </cell>
          <cell r="Q1267">
            <v>0</v>
          </cell>
          <cell r="R1267">
            <v>0</v>
          </cell>
        </row>
        <row r="1268">
          <cell r="O1268">
            <v>0</v>
          </cell>
          <cell r="P1268">
            <v>0</v>
          </cell>
          <cell r="Q1268">
            <v>0</v>
          </cell>
          <cell r="R1268">
            <v>0</v>
          </cell>
        </row>
        <row r="1269">
          <cell r="O1269">
            <v>0</v>
          </cell>
          <cell r="P1269">
            <v>0</v>
          </cell>
          <cell r="Q1269">
            <v>0</v>
          </cell>
          <cell r="R1269">
            <v>0</v>
          </cell>
        </row>
        <row r="1270">
          <cell r="O1270">
            <v>0</v>
          </cell>
          <cell r="P1270">
            <v>0</v>
          </cell>
          <cell r="Q1270">
            <v>0</v>
          </cell>
          <cell r="R1270">
            <v>0</v>
          </cell>
        </row>
        <row r="1271">
          <cell r="O1271">
            <v>0</v>
          </cell>
          <cell r="P1271">
            <v>0</v>
          </cell>
          <cell r="Q1271">
            <v>0</v>
          </cell>
          <cell r="R1271">
            <v>0</v>
          </cell>
        </row>
        <row r="1272">
          <cell r="O1272">
            <v>0</v>
          </cell>
          <cell r="P1272">
            <v>0</v>
          </cell>
          <cell r="Q1272">
            <v>0</v>
          </cell>
          <cell r="R1272">
            <v>0</v>
          </cell>
        </row>
        <row r="1273">
          <cell r="O1273">
            <v>0</v>
          </cell>
          <cell r="P1273">
            <v>0</v>
          </cell>
          <cell r="Q1273">
            <v>0</v>
          </cell>
          <cell r="R1273">
            <v>0</v>
          </cell>
        </row>
        <row r="1274">
          <cell r="O1274">
            <v>0</v>
          </cell>
          <cell r="P1274">
            <v>0</v>
          </cell>
          <cell r="Q1274">
            <v>0</v>
          </cell>
          <cell r="R1274">
            <v>0</v>
          </cell>
        </row>
        <row r="1275">
          <cell r="O1275">
            <v>0</v>
          </cell>
          <cell r="P1275">
            <v>0</v>
          </cell>
          <cell r="Q1275">
            <v>0</v>
          </cell>
          <cell r="R1275">
            <v>0</v>
          </cell>
        </row>
        <row r="1276">
          <cell r="O1276">
            <v>0</v>
          </cell>
          <cell r="P1276">
            <v>0</v>
          </cell>
          <cell r="Q1276">
            <v>0</v>
          </cell>
          <cell r="R1276">
            <v>0</v>
          </cell>
        </row>
        <row r="1277">
          <cell r="O1277">
            <v>0</v>
          </cell>
          <cell r="P1277">
            <v>0</v>
          </cell>
          <cell r="Q1277">
            <v>0</v>
          </cell>
          <cell r="R1277">
            <v>0</v>
          </cell>
        </row>
        <row r="1278">
          <cell r="O1278">
            <v>0</v>
          </cell>
          <cell r="P1278">
            <v>0</v>
          </cell>
          <cell r="Q1278">
            <v>0</v>
          </cell>
          <cell r="R1278">
            <v>0</v>
          </cell>
        </row>
        <row r="1279">
          <cell r="O1279">
            <v>0</v>
          </cell>
          <cell r="P1279">
            <v>0</v>
          </cell>
          <cell r="Q1279">
            <v>0</v>
          </cell>
          <cell r="R1279">
            <v>0</v>
          </cell>
        </row>
        <row r="1280">
          <cell r="O1280">
            <v>0</v>
          </cell>
          <cell r="P1280">
            <v>0</v>
          </cell>
          <cell r="Q1280">
            <v>0</v>
          </cell>
          <cell r="R1280">
            <v>0</v>
          </cell>
        </row>
        <row r="1282">
          <cell r="O1282">
            <v>0</v>
          </cell>
          <cell r="P1282">
            <v>0</v>
          </cell>
          <cell r="Q1282">
            <v>0</v>
          </cell>
          <cell r="R1282">
            <v>0</v>
          </cell>
        </row>
        <row r="1283">
          <cell r="O1283">
            <v>0</v>
          </cell>
          <cell r="P1283">
            <v>0</v>
          </cell>
          <cell r="Q1283">
            <v>0</v>
          </cell>
          <cell r="R1283">
            <v>0</v>
          </cell>
        </row>
        <row r="1284">
          <cell r="O1284">
            <v>0</v>
          </cell>
          <cell r="P1284">
            <v>0</v>
          </cell>
          <cell r="Q1284">
            <v>0</v>
          </cell>
          <cell r="R1284">
            <v>0</v>
          </cell>
        </row>
        <row r="1286">
          <cell r="O1286">
            <v>0</v>
          </cell>
          <cell r="P1286">
            <v>0</v>
          </cell>
          <cell r="Q1286">
            <v>0</v>
          </cell>
          <cell r="R1286">
            <v>0</v>
          </cell>
        </row>
        <row r="1287">
          <cell r="O1287">
            <v>0</v>
          </cell>
          <cell r="P1287">
            <v>0</v>
          </cell>
          <cell r="Q1287">
            <v>0</v>
          </cell>
          <cell r="R1287">
            <v>0</v>
          </cell>
        </row>
        <row r="1288">
          <cell r="O1288">
            <v>0</v>
          </cell>
          <cell r="P1288">
            <v>0</v>
          </cell>
          <cell r="Q1288">
            <v>0</v>
          </cell>
          <cell r="R1288">
            <v>0</v>
          </cell>
        </row>
        <row r="1289">
          <cell r="O1289">
            <v>0</v>
          </cell>
          <cell r="P1289">
            <v>0</v>
          </cell>
          <cell r="Q1289">
            <v>0</v>
          </cell>
          <cell r="R1289">
            <v>0</v>
          </cell>
        </row>
        <row r="1290">
          <cell r="O1290">
            <v>0</v>
          </cell>
          <cell r="P1290">
            <v>0</v>
          </cell>
          <cell r="Q1290">
            <v>0</v>
          </cell>
          <cell r="R1290">
            <v>0</v>
          </cell>
        </row>
        <row r="1291">
          <cell r="O1291">
            <v>0</v>
          </cell>
          <cell r="P1291">
            <v>0</v>
          </cell>
          <cell r="Q1291">
            <v>0</v>
          </cell>
          <cell r="R1291">
            <v>0</v>
          </cell>
        </row>
        <row r="1292">
          <cell r="O1292">
            <v>0</v>
          </cell>
          <cell r="P1292">
            <v>0</v>
          </cell>
          <cell r="Q1292">
            <v>0</v>
          </cell>
          <cell r="R1292">
            <v>0</v>
          </cell>
        </row>
        <row r="1293">
          <cell r="O1293">
            <v>0</v>
          </cell>
          <cell r="P1293">
            <v>0</v>
          </cell>
          <cell r="Q1293">
            <v>0</v>
          </cell>
          <cell r="R1293">
            <v>0</v>
          </cell>
        </row>
        <row r="1294">
          <cell r="O1294">
            <v>0</v>
          </cell>
          <cell r="P1294">
            <v>0</v>
          </cell>
          <cell r="Q1294">
            <v>0</v>
          </cell>
          <cell r="R1294">
            <v>0</v>
          </cell>
        </row>
        <row r="1295">
          <cell r="O1295">
            <v>0</v>
          </cell>
          <cell r="P1295">
            <v>0</v>
          </cell>
          <cell r="Q1295">
            <v>0</v>
          </cell>
          <cell r="R1295">
            <v>0</v>
          </cell>
        </row>
        <row r="1296">
          <cell r="O1296">
            <v>0</v>
          </cell>
          <cell r="P1296">
            <v>0</v>
          </cell>
          <cell r="Q1296">
            <v>0</v>
          </cell>
          <cell r="R1296">
            <v>0</v>
          </cell>
        </row>
        <row r="1297">
          <cell r="B1297">
            <v>1</v>
          </cell>
          <cell r="O1297">
            <v>751.22523500000011</v>
          </cell>
          <cell r="P1297">
            <v>760</v>
          </cell>
          <cell r="Q1297">
            <v>719.97</v>
          </cell>
          <cell r="R1297">
            <v>0</v>
          </cell>
        </row>
        <row r="1299">
          <cell r="O1299">
            <v>0</v>
          </cell>
          <cell r="P1299">
            <v>0</v>
          </cell>
          <cell r="Q1299">
            <v>0</v>
          </cell>
          <cell r="R1299">
            <v>0</v>
          </cell>
        </row>
        <row r="1300">
          <cell r="O1300">
            <v>0</v>
          </cell>
          <cell r="P1300">
            <v>0</v>
          </cell>
          <cell r="Q1300">
            <v>0</v>
          </cell>
          <cell r="R1300">
            <v>0</v>
          </cell>
        </row>
        <row r="1301">
          <cell r="O1301">
            <v>0</v>
          </cell>
          <cell r="P1301">
            <v>0</v>
          </cell>
          <cell r="Q1301">
            <v>0</v>
          </cell>
          <cell r="R1301">
            <v>0</v>
          </cell>
        </row>
        <row r="1302">
          <cell r="O1302">
            <v>0</v>
          </cell>
          <cell r="P1302">
            <v>0</v>
          </cell>
          <cell r="Q1302">
            <v>0</v>
          </cell>
          <cell r="R1302">
            <v>0</v>
          </cell>
        </row>
        <row r="1304">
          <cell r="B1304">
            <v>1</v>
          </cell>
          <cell r="O1304">
            <v>51199.007734999999</v>
          </cell>
          <cell r="P1304">
            <v>39012.5</v>
          </cell>
          <cell r="Q1304">
            <v>29278.81</v>
          </cell>
          <cell r="R1304">
            <v>0</v>
          </cell>
        </row>
        <row r="1305">
          <cell r="B1305">
            <v>1</v>
          </cell>
          <cell r="O1305">
            <v>31413.6175</v>
          </cell>
          <cell r="P1305">
            <v>22058.400000000001</v>
          </cell>
          <cell r="Q1305">
            <v>12841.92</v>
          </cell>
          <cell r="R1305">
            <v>0</v>
          </cell>
        </row>
        <row r="1307">
          <cell r="O1307">
            <v>0</v>
          </cell>
          <cell r="P1307">
            <v>0</v>
          </cell>
          <cell r="Q1307">
            <v>0</v>
          </cell>
          <cell r="R1307">
            <v>0</v>
          </cell>
        </row>
        <row r="1308">
          <cell r="O1308">
            <v>0</v>
          </cell>
          <cell r="P1308">
            <v>0</v>
          </cell>
          <cell r="Q1308">
            <v>0</v>
          </cell>
          <cell r="R1308">
            <v>0</v>
          </cell>
        </row>
        <row r="1309">
          <cell r="O1309">
            <v>0</v>
          </cell>
          <cell r="P1309">
            <v>0</v>
          </cell>
          <cell r="Q1309">
            <v>0</v>
          </cell>
          <cell r="R1309">
            <v>0</v>
          </cell>
        </row>
        <row r="1310">
          <cell r="O1310">
            <v>0</v>
          </cell>
          <cell r="P1310">
            <v>0</v>
          </cell>
          <cell r="Q1310">
            <v>0</v>
          </cell>
          <cell r="R1310">
            <v>0</v>
          </cell>
        </row>
        <row r="1311">
          <cell r="O1311">
            <v>0</v>
          </cell>
          <cell r="P1311">
            <v>0</v>
          </cell>
          <cell r="Q1311">
            <v>0</v>
          </cell>
          <cell r="R1311">
            <v>0</v>
          </cell>
        </row>
        <row r="1312">
          <cell r="O1312">
            <v>0</v>
          </cell>
          <cell r="P1312">
            <v>0</v>
          </cell>
          <cell r="Q1312">
            <v>0</v>
          </cell>
          <cell r="R1312">
            <v>0</v>
          </cell>
        </row>
        <row r="1313">
          <cell r="O1313">
            <v>0</v>
          </cell>
          <cell r="P1313">
            <v>0</v>
          </cell>
          <cell r="Q1313">
            <v>0</v>
          </cell>
          <cell r="R1313">
            <v>0</v>
          </cell>
        </row>
        <row r="1314">
          <cell r="O1314">
            <v>0</v>
          </cell>
          <cell r="P1314">
            <v>0</v>
          </cell>
          <cell r="Q1314">
            <v>0</v>
          </cell>
          <cell r="R1314">
            <v>0</v>
          </cell>
        </row>
        <row r="1315">
          <cell r="B1315">
            <v>1</v>
          </cell>
          <cell r="O1315">
            <v>27195.750152999997</v>
          </cell>
          <cell r="P1315">
            <v>20361.599999999999</v>
          </cell>
          <cell r="Q1315">
            <v>12230.4</v>
          </cell>
          <cell r="R1315">
            <v>0</v>
          </cell>
        </row>
        <row r="1317">
          <cell r="O1317">
            <v>0</v>
          </cell>
          <cell r="P1317">
            <v>0</v>
          </cell>
          <cell r="Q1317">
            <v>0</v>
          </cell>
          <cell r="R1317">
            <v>0</v>
          </cell>
        </row>
        <row r="1318">
          <cell r="O1318">
            <v>0</v>
          </cell>
          <cell r="P1318">
            <v>0</v>
          </cell>
          <cell r="Q1318">
            <v>0</v>
          </cell>
          <cell r="R1318">
            <v>0</v>
          </cell>
        </row>
        <row r="1319">
          <cell r="O1319">
            <v>0</v>
          </cell>
          <cell r="P1319">
            <v>0</v>
          </cell>
          <cell r="Q1319">
            <v>0</v>
          </cell>
          <cell r="R1319">
            <v>0</v>
          </cell>
        </row>
        <row r="1320">
          <cell r="O1320">
            <v>0</v>
          </cell>
          <cell r="P1320">
            <v>0</v>
          </cell>
          <cell r="Q1320">
            <v>0</v>
          </cell>
          <cell r="R1320">
            <v>0</v>
          </cell>
        </row>
        <row r="1321">
          <cell r="O1321">
            <v>0</v>
          </cell>
          <cell r="P1321">
            <v>0</v>
          </cell>
          <cell r="Q1321">
            <v>0</v>
          </cell>
          <cell r="R1321">
            <v>0</v>
          </cell>
        </row>
        <row r="1322">
          <cell r="O1322">
            <v>0</v>
          </cell>
          <cell r="P1322">
            <v>0</v>
          </cell>
          <cell r="Q1322">
            <v>0</v>
          </cell>
          <cell r="R1322">
            <v>0</v>
          </cell>
        </row>
        <row r="1323">
          <cell r="O1323">
            <v>0</v>
          </cell>
          <cell r="P1323">
            <v>0</v>
          </cell>
          <cell r="Q1323">
            <v>0</v>
          </cell>
          <cell r="R1323">
            <v>0</v>
          </cell>
        </row>
        <row r="1324">
          <cell r="O1324">
            <v>0</v>
          </cell>
          <cell r="P1324">
            <v>0</v>
          </cell>
          <cell r="Q1324">
            <v>0</v>
          </cell>
          <cell r="R1324">
            <v>0</v>
          </cell>
        </row>
        <row r="1326">
          <cell r="B1326">
            <v>1</v>
          </cell>
          <cell r="O1326">
            <v>3167.0675000000001</v>
          </cell>
          <cell r="P1326">
            <v>2749.13</v>
          </cell>
          <cell r="Q1326">
            <v>2164.2399999999998</v>
          </cell>
          <cell r="R1326">
            <v>0</v>
          </cell>
        </row>
        <row r="1327">
          <cell r="B1327">
            <v>1</v>
          </cell>
          <cell r="O1327">
            <v>1509.5925</v>
          </cell>
          <cell r="P1327">
            <v>1311.18</v>
          </cell>
          <cell r="Q1327">
            <v>1132.56</v>
          </cell>
          <cell r="R1327">
            <v>0</v>
          </cell>
        </row>
        <row r="1328">
          <cell r="O1328">
            <v>0</v>
          </cell>
          <cell r="P1328">
            <v>0</v>
          </cell>
          <cell r="Q1328">
            <v>0</v>
          </cell>
          <cell r="R1328">
            <v>0</v>
          </cell>
        </row>
        <row r="1329">
          <cell r="O1329">
            <v>0</v>
          </cell>
          <cell r="P1329">
            <v>0</v>
          </cell>
          <cell r="Q1329">
            <v>0</v>
          </cell>
          <cell r="R1329">
            <v>0</v>
          </cell>
        </row>
        <row r="1331">
          <cell r="O1331">
            <v>0</v>
          </cell>
          <cell r="P1331">
            <v>0</v>
          </cell>
          <cell r="Q1331">
            <v>0</v>
          </cell>
          <cell r="R1331">
            <v>0</v>
          </cell>
        </row>
        <row r="1332">
          <cell r="B1332">
            <v>1</v>
          </cell>
          <cell r="O1332">
            <v>1042.125</v>
          </cell>
          <cell r="P1332">
            <v>744.37</v>
          </cell>
          <cell r="Q1332">
            <v>599.04</v>
          </cell>
          <cell r="R1332">
            <v>0</v>
          </cell>
        </row>
        <row r="1333">
          <cell r="O1333">
            <v>0</v>
          </cell>
          <cell r="P1333">
            <v>0</v>
          </cell>
          <cell r="Q1333">
            <v>0</v>
          </cell>
          <cell r="R1333">
            <v>0</v>
          </cell>
        </row>
        <row r="1334">
          <cell r="O1334">
            <v>0</v>
          </cell>
          <cell r="P1334">
            <v>0</v>
          </cell>
          <cell r="Q1334">
            <v>0</v>
          </cell>
          <cell r="R1334">
            <v>0</v>
          </cell>
        </row>
        <row r="1335">
          <cell r="O1335">
            <v>0</v>
          </cell>
          <cell r="P1335">
            <v>0</v>
          </cell>
          <cell r="Q1335">
            <v>0</v>
          </cell>
          <cell r="R1335">
            <v>0</v>
          </cell>
        </row>
        <row r="1336">
          <cell r="O1336">
            <v>0</v>
          </cell>
          <cell r="P1336">
            <v>0</v>
          </cell>
          <cell r="Q1336">
            <v>0</v>
          </cell>
          <cell r="R1336">
            <v>0</v>
          </cell>
        </row>
        <row r="1337">
          <cell r="B1337">
            <v>1</v>
          </cell>
          <cell r="O1337">
            <v>3544.2175000000002</v>
          </cell>
          <cell r="P1337">
            <v>3048.9</v>
          </cell>
          <cell r="Q1337">
            <v>2524.08</v>
          </cell>
          <cell r="R1337">
            <v>0</v>
          </cell>
        </row>
        <row r="1338">
          <cell r="O1338">
            <v>0</v>
          </cell>
          <cell r="P1338">
            <v>0</v>
          </cell>
          <cell r="Q1338">
            <v>0</v>
          </cell>
          <cell r="R1338">
            <v>0</v>
          </cell>
        </row>
        <row r="1339">
          <cell r="O1339">
            <v>0</v>
          </cell>
          <cell r="P1339">
            <v>0</v>
          </cell>
          <cell r="Q1339">
            <v>0</v>
          </cell>
          <cell r="R1339">
            <v>0</v>
          </cell>
        </row>
        <row r="1340">
          <cell r="O1340">
            <v>0</v>
          </cell>
          <cell r="P1340">
            <v>0</v>
          </cell>
          <cell r="Q1340">
            <v>0</v>
          </cell>
          <cell r="R1340">
            <v>0</v>
          </cell>
        </row>
        <row r="1341">
          <cell r="O1341">
            <v>0</v>
          </cell>
          <cell r="P1341">
            <v>0</v>
          </cell>
          <cell r="Q1341">
            <v>0</v>
          </cell>
          <cell r="R1341">
            <v>0</v>
          </cell>
        </row>
        <row r="1342">
          <cell r="O1342">
            <v>0</v>
          </cell>
          <cell r="P1342">
            <v>0</v>
          </cell>
          <cell r="Q1342">
            <v>0</v>
          </cell>
          <cell r="R1342">
            <v>0</v>
          </cell>
        </row>
        <row r="1343">
          <cell r="O1343">
            <v>0</v>
          </cell>
          <cell r="P1343">
            <v>0</v>
          </cell>
          <cell r="Q1343">
            <v>0</v>
          </cell>
          <cell r="R1343">
            <v>0</v>
          </cell>
        </row>
        <row r="1344">
          <cell r="O1344">
            <v>0</v>
          </cell>
          <cell r="P1344">
            <v>0</v>
          </cell>
          <cell r="Q1344">
            <v>0</v>
          </cell>
          <cell r="R1344">
            <v>0</v>
          </cell>
        </row>
        <row r="1345">
          <cell r="O1345">
            <v>0</v>
          </cell>
          <cell r="P1345">
            <v>0</v>
          </cell>
          <cell r="Q1345">
            <v>0</v>
          </cell>
          <cell r="R1345">
            <v>0</v>
          </cell>
        </row>
        <row r="1346">
          <cell r="O1346">
            <v>0</v>
          </cell>
          <cell r="P1346">
            <v>0</v>
          </cell>
          <cell r="Q1346">
            <v>0</v>
          </cell>
          <cell r="R1346">
            <v>0</v>
          </cell>
        </row>
        <row r="1347">
          <cell r="O1347">
            <v>0</v>
          </cell>
          <cell r="P1347">
            <v>0</v>
          </cell>
          <cell r="Q1347">
            <v>0</v>
          </cell>
          <cell r="R1347">
            <v>0</v>
          </cell>
        </row>
        <row r="1348">
          <cell r="O1348">
            <v>0</v>
          </cell>
          <cell r="P1348">
            <v>0</v>
          </cell>
          <cell r="Q1348">
            <v>0</v>
          </cell>
          <cell r="R1348">
            <v>0</v>
          </cell>
        </row>
        <row r="1349">
          <cell r="O1349">
            <v>0</v>
          </cell>
          <cell r="P1349">
            <v>0</v>
          </cell>
          <cell r="Q1349">
            <v>0</v>
          </cell>
          <cell r="R1349">
            <v>0</v>
          </cell>
        </row>
        <row r="1350">
          <cell r="O1350">
            <v>0</v>
          </cell>
          <cell r="P1350">
            <v>0</v>
          </cell>
          <cell r="Q1350">
            <v>0</v>
          </cell>
          <cell r="R1350">
            <v>0</v>
          </cell>
        </row>
        <row r="1351">
          <cell r="O1351">
            <v>0</v>
          </cell>
          <cell r="P1351">
            <v>0</v>
          </cell>
          <cell r="Q1351">
            <v>0</v>
          </cell>
          <cell r="R1351">
            <v>0</v>
          </cell>
        </row>
        <row r="1352">
          <cell r="O1352">
            <v>0</v>
          </cell>
          <cell r="P1352">
            <v>0</v>
          </cell>
          <cell r="Q1352">
            <v>0</v>
          </cell>
          <cell r="R1352">
            <v>0</v>
          </cell>
        </row>
        <row r="1353">
          <cell r="O1353">
            <v>0</v>
          </cell>
          <cell r="P1353">
            <v>0</v>
          </cell>
          <cell r="Q1353">
            <v>0</v>
          </cell>
          <cell r="R1353">
            <v>0</v>
          </cell>
        </row>
        <row r="1354">
          <cell r="O1354">
            <v>0</v>
          </cell>
          <cell r="P1354">
            <v>0</v>
          </cell>
          <cell r="Q1354">
            <v>0</v>
          </cell>
          <cell r="R1354">
            <v>0</v>
          </cell>
        </row>
        <row r="1355">
          <cell r="O1355">
            <v>0</v>
          </cell>
          <cell r="P1355">
            <v>0</v>
          </cell>
          <cell r="Q1355">
            <v>0</v>
          </cell>
          <cell r="R1355">
            <v>0</v>
          </cell>
        </row>
        <row r="1356">
          <cell r="O1356">
            <v>0</v>
          </cell>
          <cell r="P1356">
            <v>0</v>
          </cell>
          <cell r="Q1356">
            <v>0</v>
          </cell>
          <cell r="R1356">
            <v>0</v>
          </cell>
        </row>
        <row r="1358">
          <cell r="B1358">
            <v>1</v>
          </cell>
          <cell r="O1358">
            <v>2205.335</v>
          </cell>
          <cell r="P1358">
            <v>1865.6</v>
          </cell>
          <cell r="Q1358">
            <v>1236</v>
          </cell>
          <cell r="R1358">
            <v>0</v>
          </cell>
        </row>
        <row r="1360">
          <cell r="B1360">
            <v>1</v>
          </cell>
          <cell r="O1360">
            <v>15433.375</v>
          </cell>
          <cell r="P1360">
            <v>11617.6</v>
          </cell>
          <cell r="Q1360">
            <v>10609</v>
          </cell>
          <cell r="R1360">
            <v>0</v>
          </cell>
        </row>
        <row r="1361">
          <cell r="O1361">
            <v>0</v>
          </cell>
          <cell r="P1361">
            <v>0</v>
          </cell>
          <cell r="Q1361">
            <v>0</v>
          </cell>
          <cell r="R1361">
            <v>0</v>
          </cell>
        </row>
        <row r="1362">
          <cell r="O1362">
            <v>0</v>
          </cell>
          <cell r="P1362">
            <v>0</v>
          </cell>
          <cell r="Q1362">
            <v>0</v>
          </cell>
          <cell r="R1362">
            <v>0</v>
          </cell>
        </row>
        <row r="1363">
          <cell r="O1363">
            <v>0</v>
          </cell>
          <cell r="P1363">
            <v>0</v>
          </cell>
          <cell r="Q1363">
            <v>0</v>
          </cell>
          <cell r="R1363">
            <v>0</v>
          </cell>
        </row>
        <row r="1364">
          <cell r="O1364">
            <v>0</v>
          </cell>
          <cell r="P1364">
            <v>0</v>
          </cell>
          <cell r="Q1364">
            <v>0</v>
          </cell>
          <cell r="R1364">
            <v>0</v>
          </cell>
        </row>
        <row r="1365">
          <cell r="O1365">
            <v>0</v>
          </cell>
          <cell r="P1365">
            <v>0</v>
          </cell>
          <cell r="Q1365">
            <v>0</v>
          </cell>
          <cell r="R1365">
            <v>0</v>
          </cell>
        </row>
        <row r="1366">
          <cell r="O1366">
            <v>0</v>
          </cell>
          <cell r="P1366">
            <v>0</v>
          </cell>
          <cell r="Q1366">
            <v>0</v>
          </cell>
          <cell r="R1366">
            <v>0</v>
          </cell>
        </row>
        <row r="1367">
          <cell r="O1367">
            <v>0</v>
          </cell>
          <cell r="P1367">
            <v>0</v>
          </cell>
          <cell r="Q1367">
            <v>0</v>
          </cell>
          <cell r="R1367">
            <v>0</v>
          </cell>
        </row>
        <row r="1368">
          <cell r="O1368">
            <v>0</v>
          </cell>
          <cell r="P1368">
            <v>0</v>
          </cell>
          <cell r="Q1368">
            <v>0</v>
          </cell>
          <cell r="R1368">
            <v>0</v>
          </cell>
        </row>
        <row r="1369">
          <cell r="O1369">
            <v>0</v>
          </cell>
          <cell r="P1369">
            <v>0</v>
          </cell>
          <cell r="Q1369">
            <v>0</v>
          </cell>
          <cell r="R1369">
            <v>0</v>
          </cell>
        </row>
        <row r="1370">
          <cell r="O1370">
            <v>0</v>
          </cell>
          <cell r="P1370">
            <v>0</v>
          </cell>
          <cell r="Q1370">
            <v>0</v>
          </cell>
          <cell r="R1370">
            <v>0</v>
          </cell>
        </row>
        <row r="1371">
          <cell r="O1371">
            <v>0</v>
          </cell>
          <cell r="P1371">
            <v>0</v>
          </cell>
          <cell r="Q1371">
            <v>0</v>
          </cell>
          <cell r="R1371">
            <v>0</v>
          </cell>
        </row>
        <row r="1372">
          <cell r="O1372">
            <v>0</v>
          </cell>
          <cell r="P1372">
            <v>0</v>
          </cell>
          <cell r="Q1372">
            <v>0</v>
          </cell>
          <cell r="R1372">
            <v>0</v>
          </cell>
        </row>
        <row r="1373">
          <cell r="O1373">
            <v>0</v>
          </cell>
          <cell r="P1373">
            <v>0</v>
          </cell>
          <cell r="Q1373">
            <v>0</v>
          </cell>
          <cell r="R1373">
            <v>0</v>
          </cell>
        </row>
        <row r="1374">
          <cell r="O1374">
            <v>0</v>
          </cell>
          <cell r="P1374">
            <v>0</v>
          </cell>
          <cell r="Q1374">
            <v>0</v>
          </cell>
          <cell r="R1374">
            <v>0</v>
          </cell>
        </row>
        <row r="1375">
          <cell r="O1375">
            <v>0</v>
          </cell>
          <cell r="P1375">
            <v>0</v>
          </cell>
          <cell r="Q1375">
            <v>0</v>
          </cell>
          <cell r="R1375">
            <v>0</v>
          </cell>
        </row>
        <row r="1376">
          <cell r="O1376">
            <v>0</v>
          </cell>
          <cell r="P1376">
            <v>0</v>
          </cell>
          <cell r="Q1376">
            <v>0</v>
          </cell>
          <cell r="R1376">
            <v>0</v>
          </cell>
        </row>
        <row r="1377">
          <cell r="O1377">
            <v>0</v>
          </cell>
          <cell r="P1377">
            <v>0</v>
          </cell>
          <cell r="Q1377">
            <v>0</v>
          </cell>
          <cell r="R1377">
            <v>0</v>
          </cell>
        </row>
        <row r="1378">
          <cell r="O1378">
            <v>0</v>
          </cell>
          <cell r="P1378">
            <v>0</v>
          </cell>
          <cell r="Q1378">
            <v>0</v>
          </cell>
          <cell r="R1378">
            <v>0</v>
          </cell>
        </row>
        <row r="1379">
          <cell r="O1379">
            <v>0</v>
          </cell>
          <cell r="P1379">
            <v>0</v>
          </cell>
          <cell r="Q1379">
            <v>0</v>
          </cell>
          <cell r="R1379">
            <v>0</v>
          </cell>
        </row>
        <row r="1380">
          <cell r="O1380">
            <v>0</v>
          </cell>
          <cell r="P1380">
            <v>0</v>
          </cell>
          <cell r="Q1380">
            <v>0</v>
          </cell>
          <cell r="R1380">
            <v>0</v>
          </cell>
        </row>
        <row r="1381">
          <cell r="O1381">
            <v>0</v>
          </cell>
          <cell r="P1381">
            <v>0</v>
          </cell>
          <cell r="Q1381">
            <v>0</v>
          </cell>
          <cell r="R1381">
            <v>0</v>
          </cell>
        </row>
        <row r="1382">
          <cell r="O1382">
            <v>0</v>
          </cell>
          <cell r="P1382">
            <v>0</v>
          </cell>
          <cell r="Q1382">
            <v>0</v>
          </cell>
          <cell r="R1382">
            <v>0</v>
          </cell>
        </row>
        <row r="1383">
          <cell r="O1383">
            <v>0</v>
          </cell>
          <cell r="P1383">
            <v>0</v>
          </cell>
          <cell r="Q1383">
            <v>0</v>
          </cell>
          <cell r="R1383">
            <v>0</v>
          </cell>
        </row>
        <row r="1384">
          <cell r="O1384">
            <v>0</v>
          </cell>
          <cell r="P1384">
            <v>0</v>
          </cell>
          <cell r="Q1384">
            <v>0</v>
          </cell>
          <cell r="R1384">
            <v>0</v>
          </cell>
        </row>
        <row r="1386">
          <cell r="O1386">
            <v>0</v>
          </cell>
          <cell r="P1386">
            <v>0</v>
          </cell>
          <cell r="Q1386">
            <v>0</v>
          </cell>
          <cell r="R1386">
            <v>0</v>
          </cell>
        </row>
        <row r="1387">
          <cell r="O1387">
            <v>0</v>
          </cell>
          <cell r="P1387">
            <v>0</v>
          </cell>
          <cell r="Q1387">
            <v>0</v>
          </cell>
          <cell r="R1387">
            <v>0</v>
          </cell>
        </row>
        <row r="1388">
          <cell r="O1388">
            <v>0</v>
          </cell>
          <cell r="P1388">
            <v>0</v>
          </cell>
          <cell r="Q1388">
            <v>0</v>
          </cell>
          <cell r="R1388">
            <v>0</v>
          </cell>
        </row>
        <row r="1390">
          <cell r="O1390">
            <v>0</v>
          </cell>
          <cell r="P1390">
            <v>0</v>
          </cell>
          <cell r="Q1390">
            <v>0</v>
          </cell>
          <cell r="R1390">
            <v>0</v>
          </cell>
        </row>
        <row r="1391">
          <cell r="O1391">
            <v>0</v>
          </cell>
          <cell r="P1391">
            <v>0</v>
          </cell>
          <cell r="Q1391">
            <v>0</v>
          </cell>
          <cell r="R1391">
            <v>0</v>
          </cell>
        </row>
        <row r="1392">
          <cell r="O1392">
            <v>0</v>
          </cell>
          <cell r="P1392">
            <v>0</v>
          </cell>
          <cell r="Q1392">
            <v>0</v>
          </cell>
          <cell r="R1392">
            <v>0</v>
          </cell>
        </row>
        <row r="1393">
          <cell r="O1393">
            <v>0</v>
          </cell>
          <cell r="P1393">
            <v>0</v>
          </cell>
          <cell r="Q1393">
            <v>0</v>
          </cell>
          <cell r="R1393">
            <v>0</v>
          </cell>
        </row>
        <row r="1394">
          <cell r="O1394">
            <v>0</v>
          </cell>
          <cell r="P1394">
            <v>0</v>
          </cell>
          <cell r="Q1394">
            <v>0</v>
          </cell>
          <cell r="R1394">
            <v>0</v>
          </cell>
        </row>
        <row r="1395">
          <cell r="O1395">
            <v>0</v>
          </cell>
          <cell r="P1395">
            <v>0</v>
          </cell>
          <cell r="Q1395">
            <v>0</v>
          </cell>
          <cell r="R1395">
            <v>0</v>
          </cell>
        </row>
        <row r="1396">
          <cell r="O1396">
            <v>0</v>
          </cell>
          <cell r="P1396">
            <v>0</v>
          </cell>
          <cell r="Q1396">
            <v>0</v>
          </cell>
          <cell r="R1396">
            <v>0</v>
          </cell>
        </row>
        <row r="1397">
          <cell r="O1397">
            <v>0</v>
          </cell>
          <cell r="P1397">
            <v>0</v>
          </cell>
          <cell r="Q1397">
            <v>0</v>
          </cell>
          <cell r="R1397">
            <v>0</v>
          </cell>
        </row>
        <row r="1398">
          <cell r="O1398">
            <v>0</v>
          </cell>
          <cell r="P1398">
            <v>0</v>
          </cell>
          <cell r="Q1398">
            <v>0</v>
          </cell>
          <cell r="R1398">
            <v>0</v>
          </cell>
        </row>
        <row r="1399">
          <cell r="O1399">
            <v>0</v>
          </cell>
          <cell r="P1399">
            <v>0</v>
          </cell>
          <cell r="Q1399">
            <v>0</v>
          </cell>
          <cell r="R1399">
            <v>0</v>
          </cell>
        </row>
        <row r="1400">
          <cell r="O1400">
            <v>0</v>
          </cell>
          <cell r="P1400">
            <v>0</v>
          </cell>
          <cell r="Q1400">
            <v>0</v>
          </cell>
          <cell r="R1400">
            <v>0</v>
          </cell>
        </row>
        <row r="1401">
          <cell r="O1401">
            <v>0</v>
          </cell>
          <cell r="P1401">
            <v>0</v>
          </cell>
          <cell r="Q1401">
            <v>0</v>
          </cell>
          <cell r="R1401">
            <v>0</v>
          </cell>
        </row>
        <row r="1403">
          <cell r="O1403">
            <v>0</v>
          </cell>
          <cell r="P1403">
            <v>0</v>
          </cell>
          <cell r="Q1403">
            <v>0</v>
          </cell>
          <cell r="R1403">
            <v>0</v>
          </cell>
        </row>
        <row r="1404">
          <cell r="O1404">
            <v>0</v>
          </cell>
          <cell r="P1404">
            <v>0</v>
          </cell>
          <cell r="Q1404">
            <v>0</v>
          </cell>
          <cell r="R1404">
            <v>0</v>
          </cell>
        </row>
        <row r="1405">
          <cell r="O1405">
            <v>0</v>
          </cell>
          <cell r="P1405">
            <v>0</v>
          </cell>
          <cell r="Q1405">
            <v>0</v>
          </cell>
          <cell r="R1405">
            <v>0</v>
          </cell>
        </row>
        <row r="1406">
          <cell r="O1406">
            <v>0</v>
          </cell>
          <cell r="P1406">
            <v>0</v>
          </cell>
          <cell r="Q1406">
            <v>0</v>
          </cell>
          <cell r="R1406">
            <v>0</v>
          </cell>
        </row>
        <row r="1408">
          <cell r="B1408">
            <v>2</v>
          </cell>
          <cell r="O1408">
            <v>85511.080153000003</v>
          </cell>
          <cell r="P1408">
            <v>63756.78</v>
          </cell>
          <cell r="Q1408">
            <v>43337.24</v>
          </cell>
          <cell r="R1408">
            <v>0</v>
          </cell>
        </row>
        <row r="1409">
          <cell r="B1409">
            <v>1</v>
          </cell>
          <cell r="C1409" t="str">
            <v>A1RF011</v>
          </cell>
          <cell r="O1409">
            <v>62788.527500000004</v>
          </cell>
          <cell r="P1409">
            <v>42126</v>
          </cell>
          <cell r="Q1409">
            <v>26994.240000000002</v>
          </cell>
          <cell r="R1409">
            <v>0</v>
          </cell>
        </row>
        <row r="1411">
          <cell r="O1411">
            <v>0</v>
          </cell>
          <cell r="P1411">
            <v>0</v>
          </cell>
          <cell r="Q1411">
            <v>0</v>
          </cell>
          <cell r="R1411">
            <v>0</v>
          </cell>
        </row>
        <row r="1412">
          <cell r="O1412">
            <v>0</v>
          </cell>
          <cell r="P1412">
            <v>0</v>
          </cell>
          <cell r="Q1412">
            <v>0</v>
          </cell>
          <cell r="R1412">
            <v>0</v>
          </cell>
        </row>
        <row r="1413">
          <cell r="O1413">
            <v>0</v>
          </cell>
          <cell r="P1413">
            <v>0</v>
          </cell>
          <cell r="Q1413">
            <v>0</v>
          </cell>
          <cell r="R1413">
            <v>0</v>
          </cell>
        </row>
        <row r="1414">
          <cell r="O1414">
            <v>0</v>
          </cell>
          <cell r="P1414">
            <v>0</v>
          </cell>
          <cell r="Q1414">
            <v>0</v>
          </cell>
          <cell r="R1414">
            <v>0</v>
          </cell>
        </row>
        <row r="1415">
          <cell r="O1415">
            <v>0</v>
          </cell>
          <cell r="P1415">
            <v>0</v>
          </cell>
          <cell r="Q1415">
            <v>0</v>
          </cell>
          <cell r="R1415">
            <v>0</v>
          </cell>
        </row>
        <row r="1416">
          <cell r="O1416">
            <v>0</v>
          </cell>
          <cell r="P1416">
            <v>0</v>
          </cell>
          <cell r="Q1416">
            <v>0</v>
          </cell>
          <cell r="R1416">
            <v>0</v>
          </cell>
        </row>
        <row r="1417">
          <cell r="O1417">
            <v>0</v>
          </cell>
          <cell r="P1417">
            <v>0</v>
          </cell>
          <cell r="Q1417">
            <v>0</v>
          </cell>
          <cell r="R1417">
            <v>0</v>
          </cell>
        </row>
        <row r="1418">
          <cell r="O1418">
            <v>0</v>
          </cell>
          <cell r="P1418">
            <v>0</v>
          </cell>
          <cell r="Q1418">
            <v>0</v>
          </cell>
          <cell r="R1418">
            <v>0</v>
          </cell>
        </row>
        <row r="1420">
          <cell r="B1420">
            <v>1</v>
          </cell>
          <cell r="O1420">
            <v>6615.0125000000007</v>
          </cell>
          <cell r="P1420">
            <v>5936</v>
          </cell>
          <cell r="Q1420">
            <v>4284.8</v>
          </cell>
          <cell r="R1420">
            <v>0</v>
          </cell>
        </row>
        <row r="1421">
          <cell r="B1421">
            <v>1</v>
          </cell>
          <cell r="O1421">
            <v>9370.192500000001</v>
          </cell>
          <cell r="P1421">
            <v>8056</v>
          </cell>
          <cell r="Q1421">
            <v>5356</v>
          </cell>
          <cell r="R1421">
            <v>0</v>
          </cell>
        </row>
        <row r="1422">
          <cell r="O1422">
            <v>0</v>
          </cell>
          <cell r="P1422">
            <v>0</v>
          </cell>
          <cell r="Q1422">
            <v>0</v>
          </cell>
          <cell r="R1422">
            <v>0</v>
          </cell>
        </row>
        <row r="1424">
          <cell r="O1424">
            <v>0</v>
          </cell>
          <cell r="P1424">
            <v>0</v>
          </cell>
          <cell r="Q1424">
            <v>0</v>
          </cell>
          <cell r="R1424">
            <v>0</v>
          </cell>
        </row>
        <row r="1425">
          <cell r="B1425">
            <v>1</v>
          </cell>
          <cell r="O1425">
            <v>2811.7525000000001</v>
          </cell>
          <cell r="P1425">
            <v>1950.4</v>
          </cell>
          <cell r="Q1425">
            <v>1606.8</v>
          </cell>
          <cell r="R1425">
            <v>0</v>
          </cell>
        </row>
        <row r="1426">
          <cell r="O1426">
            <v>0</v>
          </cell>
          <cell r="P1426">
            <v>0</v>
          </cell>
          <cell r="Q1426">
            <v>0</v>
          </cell>
          <cell r="R1426">
            <v>0</v>
          </cell>
        </row>
        <row r="1427">
          <cell r="O1427">
            <v>0</v>
          </cell>
          <cell r="P1427">
            <v>0</v>
          </cell>
          <cell r="Q1427">
            <v>0</v>
          </cell>
          <cell r="R1427">
            <v>0</v>
          </cell>
        </row>
        <row r="1428">
          <cell r="B1428">
            <v>1</v>
          </cell>
          <cell r="O1428">
            <v>3544.2175000000002</v>
          </cell>
          <cell r="P1428">
            <v>3048.9</v>
          </cell>
          <cell r="Q1428">
            <v>2524.08</v>
          </cell>
          <cell r="R1428">
            <v>0</v>
          </cell>
        </row>
        <row r="1429">
          <cell r="O1429">
            <v>0</v>
          </cell>
          <cell r="P1429">
            <v>0</v>
          </cell>
          <cell r="Q1429">
            <v>0</v>
          </cell>
          <cell r="R1429">
            <v>0</v>
          </cell>
        </row>
        <row r="1430">
          <cell r="O1430">
            <v>0</v>
          </cell>
          <cell r="P1430">
            <v>0</v>
          </cell>
          <cell r="Q1430">
            <v>0</v>
          </cell>
          <cell r="R1430">
            <v>0</v>
          </cell>
        </row>
        <row r="1431">
          <cell r="O1431">
            <v>0</v>
          </cell>
          <cell r="P1431">
            <v>0</v>
          </cell>
          <cell r="Q1431">
            <v>0</v>
          </cell>
          <cell r="R1431">
            <v>0</v>
          </cell>
        </row>
        <row r="1432">
          <cell r="O1432">
            <v>0</v>
          </cell>
          <cell r="P1432">
            <v>0</v>
          </cell>
          <cell r="Q1432">
            <v>0</v>
          </cell>
          <cell r="R1432">
            <v>0</v>
          </cell>
        </row>
        <row r="1433">
          <cell r="O1433">
            <v>0</v>
          </cell>
          <cell r="P1433">
            <v>0</v>
          </cell>
          <cell r="Q1433">
            <v>0</v>
          </cell>
          <cell r="R1433">
            <v>0</v>
          </cell>
        </row>
        <row r="1434">
          <cell r="O1434">
            <v>0</v>
          </cell>
          <cell r="P1434">
            <v>0</v>
          </cell>
          <cell r="Q1434">
            <v>0</v>
          </cell>
          <cell r="R1434">
            <v>0</v>
          </cell>
        </row>
        <row r="1435">
          <cell r="O1435">
            <v>0</v>
          </cell>
          <cell r="P1435">
            <v>0</v>
          </cell>
          <cell r="Q1435">
            <v>0</v>
          </cell>
          <cell r="R1435">
            <v>0</v>
          </cell>
        </row>
        <row r="1436">
          <cell r="O1436">
            <v>0</v>
          </cell>
          <cell r="P1436">
            <v>0</v>
          </cell>
          <cell r="Q1436">
            <v>0</v>
          </cell>
          <cell r="R1436">
            <v>0</v>
          </cell>
        </row>
        <row r="1437">
          <cell r="O1437">
            <v>0</v>
          </cell>
          <cell r="P1437">
            <v>0</v>
          </cell>
          <cell r="Q1437">
            <v>0</v>
          </cell>
          <cell r="R1437">
            <v>0</v>
          </cell>
        </row>
        <row r="1438">
          <cell r="O1438">
            <v>0</v>
          </cell>
          <cell r="P1438">
            <v>0</v>
          </cell>
          <cell r="Q1438">
            <v>0</v>
          </cell>
          <cell r="R1438">
            <v>0</v>
          </cell>
        </row>
        <row r="1439">
          <cell r="O1439">
            <v>0</v>
          </cell>
          <cell r="P1439">
            <v>0</v>
          </cell>
          <cell r="Q1439">
            <v>0</v>
          </cell>
          <cell r="R1439">
            <v>0</v>
          </cell>
        </row>
        <row r="1440">
          <cell r="O1440">
            <v>0</v>
          </cell>
          <cell r="P1440">
            <v>0</v>
          </cell>
          <cell r="Q1440">
            <v>0</v>
          </cell>
          <cell r="R1440">
            <v>0</v>
          </cell>
        </row>
        <row r="1441">
          <cell r="O1441">
            <v>0</v>
          </cell>
          <cell r="P1441">
            <v>0</v>
          </cell>
          <cell r="Q1441">
            <v>0</v>
          </cell>
          <cell r="R1441">
            <v>0</v>
          </cell>
        </row>
        <row r="1442">
          <cell r="O1442">
            <v>0</v>
          </cell>
          <cell r="P1442">
            <v>0</v>
          </cell>
          <cell r="Q1442">
            <v>0</v>
          </cell>
          <cell r="R1442">
            <v>0</v>
          </cell>
        </row>
        <row r="1443">
          <cell r="O1443">
            <v>0</v>
          </cell>
          <cell r="P1443">
            <v>0</v>
          </cell>
          <cell r="Q1443">
            <v>0</v>
          </cell>
          <cell r="R1443">
            <v>0</v>
          </cell>
        </row>
        <row r="1444">
          <cell r="O1444">
            <v>0</v>
          </cell>
          <cell r="P1444">
            <v>0</v>
          </cell>
          <cell r="Q1444">
            <v>0</v>
          </cell>
          <cell r="R1444">
            <v>0</v>
          </cell>
        </row>
        <row r="1446">
          <cell r="B1446">
            <v>1</v>
          </cell>
          <cell r="O1446">
            <v>2205.335</v>
          </cell>
          <cell r="P1446">
            <v>1865.6</v>
          </cell>
          <cell r="Q1446">
            <v>1236</v>
          </cell>
          <cell r="R1446">
            <v>0</v>
          </cell>
        </row>
        <row r="1448">
          <cell r="B1448">
            <v>1</v>
          </cell>
          <cell r="O1448">
            <v>15433.375</v>
          </cell>
          <cell r="P1448">
            <v>11617.6</v>
          </cell>
          <cell r="Q1448">
            <v>10609</v>
          </cell>
          <cell r="R1448">
            <v>0</v>
          </cell>
        </row>
        <row r="1449">
          <cell r="O1449">
            <v>0</v>
          </cell>
          <cell r="P1449">
            <v>0</v>
          </cell>
          <cell r="Q1449">
            <v>0</v>
          </cell>
          <cell r="R1449">
            <v>0</v>
          </cell>
        </row>
        <row r="1450">
          <cell r="O1450">
            <v>0</v>
          </cell>
          <cell r="P1450">
            <v>0</v>
          </cell>
          <cell r="Q1450">
            <v>0</v>
          </cell>
          <cell r="R1450">
            <v>0</v>
          </cell>
        </row>
        <row r="1451">
          <cell r="O1451">
            <v>0</v>
          </cell>
          <cell r="P1451">
            <v>0</v>
          </cell>
          <cell r="Q1451">
            <v>0</v>
          </cell>
          <cell r="R1451">
            <v>0</v>
          </cell>
        </row>
        <row r="1452">
          <cell r="O1452">
            <v>0</v>
          </cell>
          <cell r="P1452">
            <v>0</v>
          </cell>
          <cell r="Q1452">
            <v>0</v>
          </cell>
          <cell r="R1452">
            <v>0</v>
          </cell>
        </row>
        <row r="1453">
          <cell r="O1453">
            <v>0</v>
          </cell>
          <cell r="P1453">
            <v>0</v>
          </cell>
          <cell r="Q1453">
            <v>0</v>
          </cell>
          <cell r="R1453">
            <v>0</v>
          </cell>
        </row>
        <row r="1454">
          <cell r="O1454">
            <v>0</v>
          </cell>
          <cell r="P1454">
            <v>0</v>
          </cell>
          <cell r="Q1454">
            <v>0</v>
          </cell>
          <cell r="R1454">
            <v>0</v>
          </cell>
        </row>
        <row r="1455">
          <cell r="O1455">
            <v>0</v>
          </cell>
          <cell r="P1455">
            <v>0</v>
          </cell>
          <cell r="Q1455">
            <v>0</v>
          </cell>
          <cell r="R1455">
            <v>0</v>
          </cell>
        </row>
        <row r="1456">
          <cell r="O1456">
            <v>0</v>
          </cell>
          <cell r="P1456">
            <v>0</v>
          </cell>
          <cell r="Q1456">
            <v>0</v>
          </cell>
          <cell r="R1456">
            <v>0</v>
          </cell>
        </row>
        <row r="1457">
          <cell r="O1457">
            <v>0</v>
          </cell>
          <cell r="P1457">
            <v>0</v>
          </cell>
          <cell r="Q1457">
            <v>0</v>
          </cell>
          <cell r="R1457">
            <v>0</v>
          </cell>
        </row>
        <row r="1458">
          <cell r="O1458">
            <v>0</v>
          </cell>
          <cell r="P1458">
            <v>0</v>
          </cell>
          <cell r="Q1458">
            <v>0</v>
          </cell>
          <cell r="R1458">
            <v>0</v>
          </cell>
        </row>
        <row r="1459">
          <cell r="O1459">
            <v>0</v>
          </cell>
          <cell r="P1459">
            <v>0</v>
          </cell>
          <cell r="Q1459">
            <v>0</v>
          </cell>
          <cell r="R1459">
            <v>0</v>
          </cell>
        </row>
        <row r="1460">
          <cell r="O1460">
            <v>0</v>
          </cell>
          <cell r="P1460">
            <v>0</v>
          </cell>
          <cell r="Q1460">
            <v>0</v>
          </cell>
          <cell r="R1460">
            <v>0</v>
          </cell>
        </row>
        <row r="1461">
          <cell r="O1461">
            <v>0</v>
          </cell>
          <cell r="P1461">
            <v>0</v>
          </cell>
          <cell r="Q1461">
            <v>0</v>
          </cell>
          <cell r="R1461">
            <v>0</v>
          </cell>
        </row>
        <row r="1462">
          <cell r="O1462">
            <v>0</v>
          </cell>
          <cell r="P1462">
            <v>0</v>
          </cell>
          <cell r="Q1462">
            <v>0</v>
          </cell>
          <cell r="R1462">
            <v>0</v>
          </cell>
        </row>
        <row r="1463">
          <cell r="O1463">
            <v>0</v>
          </cell>
          <cell r="P1463">
            <v>0</v>
          </cell>
          <cell r="Q1463">
            <v>0</v>
          </cell>
          <cell r="R1463">
            <v>0</v>
          </cell>
        </row>
        <row r="1464">
          <cell r="O1464">
            <v>0</v>
          </cell>
          <cell r="P1464">
            <v>0</v>
          </cell>
          <cell r="Q1464">
            <v>0</v>
          </cell>
          <cell r="R1464">
            <v>0</v>
          </cell>
        </row>
        <row r="1465">
          <cell r="O1465">
            <v>0</v>
          </cell>
          <cell r="P1465">
            <v>0</v>
          </cell>
          <cell r="Q1465">
            <v>0</v>
          </cell>
          <cell r="R1465">
            <v>0</v>
          </cell>
        </row>
        <row r="1466">
          <cell r="O1466">
            <v>0</v>
          </cell>
          <cell r="P1466">
            <v>0</v>
          </cell>
          <cell r="Q1466">
            <v>0</v>
          </cell>
          <cell r="R1466">
            <v>0</v>
          </cell>
        </row>
        <row r="1467">
          <cell r="O1467">
            <v>0</v>
          </cell>
          <cell r="P1467">
            <v>0</v>
          </cell>
          <cell r="Q1467">
            <v>0</v>
          </cell>
          <cell r="R1467">
            <v>0</v>
          </cell>
        </row>
        <row r="1468">
          <cell r="O1468">
            <v>0</v>
          </cell>
          <cell r="P1468">
            <v>0</v>
          </cell>
          <cell r="Q1468">
            <v>0</v>
          </cell>
          <cell r="R1468">
            <v>0</v>
          </cell>
        </row>
        <row r="1469">
          <cell r="O1469">
            <v>0</v>
          </cell>
          <cell r="P1469">
            <v>0</v>
          </cell>
          <cell r="Q1469">
            <v>0</v>
          </cell>
          <cell r="R1469">
            <v>0</v>
          </cell>
        </row>
        <row r="1470">
          <cell r="O1470">
            <v>0</v>
          </cell>
          <cell r="P1470">
            <v>0</v>
          </cell>
          <cell r="Q1470">
            <v>0</v>
          </cell>
          <cell r="R1470">
            <v>0</v>
          </cell>
        </row>
        <row r="1471">
          <cell r="O1471">
            <v>0</v>
          </cell>
          <cell r="P1471">
            <v>0</v>
          </cell>
          <cell r="Q1471">
            <v>0</v>
          </cell>
          <cell r="R1471">
            <v>0</v>
          </cell>
        </row>
        <row r="1472">
          <cell r="O1472">
            <v>0</v>
          </cell>
          <cell r="P1472">
            <v>0</v>
          </cell>
          <cell r="Q1472">
            <v>0</v>
          </cell>
          <cell r="R1472">
            <v>0</v>
          </cell>
        </row>
        <row r="1474">
          <cell r="O1474">
            <v>0</v>
          </cell>
          <cell r="P1474">
            <v>0</v>
          </cell>
          <cell r="Q1474">
            <v>0</v>
          </cell>
          <cell r="R1474">
            <v>0</v>
          </cell>
        </row>
        <row r="1475">
          <cell r="O1475">
            <v>0</v>
          </cell>
          <cell r="P1475">
            <v>0</v>
          </cell>
          <cell r="Q1475">
            <v>0</v>
          </cell>
          <cell r="R1475">
            <v>0</v>
          </cell>
        </row>
        <row r="1476">
          <cell r="O1476">
            <v>0</v>
          </cell>
          <cell r="P1476">
            <v>0</v>
          </cell>
          <cell r="Q1476">
            <v>0</v>
          </cell>
          <cell r="R1476">
            <v>0</v>
          </cell>
        </row>
        <row r="1477">
          <cell r="O1477">
            <v>0</v>
          </cell>
          <cell r="P1477">
            <v>0</v>
          </cell>
          <cell r="Q1477">
            <v>0</v>
          </cell>
          <cell r="R1477">
            <v>0</v>
          </cell>
        </row>
        <row r="1478">
          <cell r="O1478">
            <v>0</v>
          </cell>
          <cell r="P1478">
            <v>0</v>
          </cell>
          <cell r="Q1478">
            <v>0</v>
          </cell>
          <cell r="R1478">
            <v>0</v>
          </cell>
        </row>
        <row r="1479">
          <cell r="O1479">
            <v>0</v>
          </cell>
          <cell r="P1479">
            <v>0</v>
          </cell>
          <cell r="Q1479">
            <v>0</v>
          </cell>
          <cell r="R1479">
            <v>0</v>
          </cell>
        </row>
        <row r="1481">
          <cell r="O1481">
            <v>0</v>
          </cell>
          <cell r="P1481">
            <v>0</v>
          </cell>
          <cell r="Q1481">
            <v>0</v>
          </cell>
          <cell r="R1481">
            <v>0</v>
          </cell>
        </row>
        <row r="1482">
          <cell r="O1482">
            <v>0</v>
          </cell>
          <cell r="P1482">
            <v>0</v>
          </cell>
          <cell r="Q1482">
            <v>0</v>
          </cell>
          <cell r="R1482">
            <v>0</v>
          </cell>
        </row>
        <row r="1483">
          <cell r="O1483">
            <v>0</v>
          </cell>
          <cell r="P1483">
            <v>0</v>
          </cell>
          <cell r="Q1483">
            <v>0</v>
          </cell>
          <cell r="R1483">
            <v>0</v>
          </cell>
        </row>
        <row r="1484">
          <cell r="O1484">
            <v>0</v>
          </cell>
          <cell r="P1484">
            <v>0</v>
          </cell>
          <cell r="Q1484">
            <v>0</v>
          </cell>
          <cell r="R1484">
            <v>0</v>
          </cell>
        </row>
        <row r="1485">
          <cell r="O1485">
            <v>0</v>
          </cell>
          <cell r="P1485">
            <v>0</v>
          </cell>
          <cell r="Q1485">
            <v>0</v>
          </cell>
          <cell r="R1485">
            <v>0</v>
          </cell>
        </row>
        <row r="1486">
          <cell r="O1486">
            <v>0</v>
          </cell>
          <cell r="P1486">
            <v>0</v>
          </cell>
          <cell r="Q1486">
            <v>0</v>
          </cell>
          <cell r="R1486">
            <v>0</v>
          </cell>
        </row>
        <row r="1487">
          <cell r="O1487">
            <v>0</v>
          </cell>
          <cell r="P1487">
            <v>0</v>
          </cell>
          <cell r="Q1487">
            <v>0</v>
          </cell>
          <cell r="R1487">
            <v>0</v>
          </cell>
        </row>
        <row r="1488">
          <cell r="O1488">
            <v>0</v>
          </cell>
          <cell r="P1488">
            <v>0</v>
          </cell>
          <cell r="Q1488">
            <v>0</v>
          </cell>
          <cell r="R1488">
            <v>0</v>
          </cell>
        </row>
        <row r="1489">
          <cell r="O1489">
            <v>0</v>
          </cell>
          <cell r="P1489">
            <v>0</v>
          </cell>
          <cell r="Q1489">
            <v>0</v>
          </cell>
          <cell r="R1489">
            <v>0</v>
          </cell>
        </row>
        <row r="1490">
          <cell r="O1490">
            <v>0</v>
          </cell>
          <cell r="P1490">
            <v>0</v>
          </cell>
          <cell r="Q1490">
            <v>0</v>
          </cell>
          <cell r="R1490">
            <v>0</v>
          </cell>
        </row>
        <row r="1491">
          <cell r="O1491">
            <v>0</v>
          </cell>
          <cell r="P1491">
            <v>0</v>
          </cell>
          <cell r="Q1491">
            <v>0</v>
          </cell>
          <cell r="R1491">
            <v>0</v>
          </cell>
        </row>
        <row r="1492">
          <cell r="B1492">
            <v>1</v>
          </cell>
          <cell r="O1492">
            <v>751.22523500000011</v>
          </cell>
          <cell r="P1492">
            <v>760</v>
          </cell>
          <cell r="Q1492">
            <v>719.97</v>
          </cell>
          <cell r="R1492">
            <v>0</v>
          </cell>
        </row>
        <row r="1494">
          <cell r="O1494">
            <v>0</v>
          </cell>
          <cell r="P1494">
            <v>0</v>
          </cell>
          <cell r="Q1494">
            <v>0</v>
          </cell>
          <cell r="R1494">
            <v>0</v>
          </cell>
        </row>
        <row r="1495">
          <cell r="O1495">
            <v>0</v>
          </cell>
          <cell r="P1495">
            <v>0</v>
          </cell>
          <cell r="Q1495">
            <v>0</v>
          </cell>
          <cell r="R1495">
            <v>0</v>
          </cell>
        </row>
        <row r="1496">
          <cell r="O1496">
            <v>0</v>
          </cell>
          <cell r="P1496">
            <v>0</v>
          </cell>
          <cell r="Q1496">
            <v>0</v>
          </cell>
          <cell r="R1496">
            <v>0</v>
          </cell>
        </row>
        <row r="1497">
          <cell r="O1497">
            <v>0</v>
          </cell>
          <cell r="P1497">
            <v>0</v>
          </cell>
          <cell r="Q1497">
            <v>0</v>
          </cell>
          <cell r="R1497">
            <v>0</v>
          </cell>
        </row>
        <row r="1499">
          <cell r="B1499">
            <v>1</v>
          </cell>
          <cell r="O1499">
            <v>103519.63773500003</v>
          </cell>
          <cell r="P1499">
            <v>75360.5</v>
          </cell>
          <cell r="Q1499">
            <v>53330.890000000007</v>
          </cell>
          <cell r="R1499">
            <v>0</v>
          </cell>
        </row>
        <row r="1500">
          <cell r="B1500">
            <v>1</v>
          </cell>
          <cell r="O1500">
            <v>396.20600000000007</v>
          </cell>
          <cell r="P1500">
            <v>353.6</v>
          </cell>
          <cell r="Q1500">
            <v>353.6</v>
          </cell>
          <cell r="R1500">
            <v>0</v>
          </cell>
        </row>
        <row r="1501">
          <cell r="O1501">
            <v>0</v>
          </cell>
          <cell r="P1501">
            <v>0</v>
          </cell>
          <cell r="Q1501">
            <v>0</v>
          </cell>
          <cell r="R1501">
            <v>0</v>
          </cell>
        </row>
        <row r="1504">
          <cell r="O1504">
            <v>0</v>
          </cell>
          <cell r="P1504">
            <v>0</v>
          </cell>
          <cell r="Q1504">
            <v>0</v>
          </cell>
          <cell r="R1504">
            <v>0</v>
          </cell>
        </row>
        <row r="1505">
          <cell r="O1505">
            <v>0</v>
          </cell>
          <cell r="P1505">
            <v>0</v>
          </cell>
          <cell r="Q1505">
            <v>0</v>
          </cell>
          <cell r="R1505">
            <v>0</v>
          </cell>
        </row>
        <row r="1506">
          <cell r="O1506">
            <v>0</v>
          </cell>
          <cell r="P1506">
            <v>0</v>
          </cell>
          <cell r="Q1506">
            <v>0</v>
          </cell>
          <cell r="R1506">
            <v>0</v>
          </cell>
        </row>
        <row r="1507">
          <cell r="O1507">
            <v>0</v>
          </cell>
          <cell r="P1507">
            <v>0</v>
          </cell>
          <cell r="Q1507">
            <v>0</v>
          </cell>
          <cell r="R1507">
            <v>0</v>
          </cell>
        </row>
        <row r="1509">
          <cell r="O1509">
            <v>0</v>
          </cell>
          <cell r="P1509">
            <v>0</v>
          </cell>
          <cell r="Q1509">
            <v>0</v>
          </cell>
          <cell r="R1509">
            <v>0</v>
          </cell>
        </row>
        <row r="1510">
          <cell r="O1510">
            <v>0</v>
          </cell>
          <cell r="P1510">
            <v>0</v>
          </cell>
          <cell r="Q1510">
            <v>0</v>
          </cell>
          <cell r="R1510">
            <v>0</v>
          </cell>
        </row>
        <row r="1512">
          <cell r="O1512">
            <v>0</v>
          </cell>
          <cell r="P1512">
            <v>0</v>
          </cell>
          <cell r="Q1512">
            <v>0</v>
          </cell>
          <cell r="R1512">
            <v>0</v>
          </cell>
        </row>
        <row r="1513">
          <cell r="B1513">
            <v>1</v>
          </cell>
          <cell r="O1513">
            <v>1667.4</v>
          </cell>
          <cell r="P1513">
            <v>821.6</v>
          </cell>
          <cell r="Q1513">
            <v>821.6</v>
          </cell>
          <cell r="R1513">
            <v>0</v>
          </cell>
        </row>
        <row r="1514">
          <cell r="O1514">
            <v>0</v>
          </cell>
          <cell r="P1514">
            <v>0</v>
          </cell>
          <cell r="Q1514">
            <v>0</v>
          </cell>
          <cell r="R1514">
            <v>0</v>
          </cell>
        </row>
        <row r="1517">
          <cell r="O1517">
            <v>0</v>
          </cell>
          <cell r="P1517">
            <v>0</v>
          </cell>
          <cell r="Q1517">
            <v>0</v>
          </cell>
          <cell r="R1517">
            <v>0</v>
          </cell>
        </row>
        <row r="1518">
          <cell r="O1518">
            <v>0</v>
          </cell>
          <cell r="P1518">
            <v>0</v>
          </cell>
          <cell r="Q1518">
            <v>0</v>
          </cell>
          <cell r="R1518">
            <v>0</v>
          </cell>
        </row>
        <row r="1520">
          <cell r="O1520">
            <v>0</v>
          </cell>
          <cell r="P1520">
            <v>0</v>
          </cell>
          <cell r="Q1520">
            <v>0</v>
          </cell>
          <cell r="R1520">
            <v>0</v>
          </cell>
        </row>
        <row r="1521">
          <cell r="O1521">
            <v>0</v>
          </cell>
          <cell r="P1521">
            <v>0</v>
          </cell>
          <cell r="Q1521">
            <v>0</v>
          </cell>
          <cell r="R1521">
            <v>0</v>
          </cell>
        </row>
        <row r="1523">
          <cell r="O1523">
            <v>0</v>
          </cell>
          <cell r="P1523">
            <v>0</v>
          </cell>
          <cell r="Q1523">
            <v>0</v>
          </cell>
          <cell r="R1523">
            <v>0</v>
          </cell>
        </row>
        <row r="1524">
          <cell r="O1524">
            <v>0</v>
          </cell>
          <cell r="P1524">
            <v>0</v>
          </cell>
          <cell r="Q1524">
            <v>0</v>
          </cell>
          <cell r="R1524">
            <v>0</v>
          </cell>
        </row>
        <row r="1525">
          <cell r="O1525">
            <v>0</v>
          </cell>
          <cell r="P1525">
            <v>0</v>
          </cell>
          <cell r="Q1525">
            <v>0</v>
          </cell>
          <cell r="R1525">
            <v>0</v>
          </cell>
        </row>
        <row r="1526">
          <cell r="O1526">
            <v>0</v>
          </cell>
          <cell r="P1526">
            <v>0</v>
          </cell>
          <cell r="Q1526">
            <v>0</v>
          </cell>
          <cell r="R1526">
            <v>0</v>
          </cell>
        </row>
        <row r="1527">
          <cell r="O1527">
            <v>0</v>
          </cell>
          <cell r="P1527">
            <v>0</v>
          </cell>
          <cell r="Q1527">
            <v>0</v>
          </cell>
          <cell r="R1527">
            <v>0</v>
          </cell>
        </row>
        <row r="1528">
          <cell r="O1528">
            <v>0</v>
          </cell>
          <cell r="P1528">
            <v>0</v>
          </cell>
          <cell r="Q1528">
            <v>0</v>
          </cell>
          <cell r="R1528">
            <v>0</v>
          </cell>
        </row>
        <row r="1529">
          <cell r="O1529">
            <v>0</v>
          </cell>
          <cell r="P1529">
            <v>0</v>
          </cell>
          <cell r="Q1529">
            <v>0</v>
          </cell>
          <cell r="R1529">
            <v>0</v>
          </cell>
        </row>
        <row r="1530">
          <cell r="O1530">
            <v>0</v>
          </cell>
          <cell r="P1530">
            <v>0</v>
          </cell>
          <cell r="Q1530">
            <v>0</v>
          </cell>
          <cell r="R1530">
            <v>0</v>
          </cell>
        </row>
        <row r="1531">
          <cell r="O1531">
            <v>0</v>
          </cell>
          <cell r="P1531">
            <v>0</v>
          </cell>
          <cell r="Q1531">
            <v>0</v>
          </cell>
          <cell r="R1531">
            <v>0</v>
          </cell>
        </row>
        <row r="1532">
          <cell r="O1532">
            <v>0</v>
          </cell>
          <cell r="P1532">
            <v>0</v>
          </cell>
          <cell r="Q1532">
            <v>0</v>
          </cell>
          <cell r="R1532">
            <v>0</v>
          </cell>
        </row>
        <row r="1533">
          <cell r="O1533">
            <v>0</v>
          </cell>
          <cell r="P1533">
            <v>0</v>
          </cell>
          <cell r="Q1533">
            <v>0</v>
          </cell>
          <cell r="R1533">
            <v>0</v>
          </cell>
        </row>
        <row r="1534">
          <cell r="O1534">
            <v>0</v>
          </cell>
          <cell r="P1534">
            <v>0</v>
          </cell>
          <cell r="Q1534">
            <v>0</v>
          </cell>
          <cell r="R1534">
            <v>0</v>
          </cell>
        </row>
        <row r="1536">
          <cell r="O1536">
            <v>0</v>
          </cell>
          <cell r="P1536">
            <v>0</v>
          </cell>
          <cell r="Q1536">
            <v>0</v>
          </cell>
          <cell r="R1536">
            <v>0</v>
          </cell>
        </row>
        <row r="1537">
          <cell r="O1537">
            <v>0</v>
          </cell>
          <cell r="P1537">
            <v>0</v>
          </cell>
          <cell r="Q1537">
            <v>0</v>
          </cell>
          <cell r="R1537">
            <v>0</v>
          </cell>
        </row>
        <row r="1538">
          <cell r="B1538">
            <v>1</v>
          </cell>
          <cell r="O1538">
            <v>793.99206000000015</v>
          </cell>
          <cell r="P1538">
            <v>569.74</v>
          </cell>
          <cell r="Q1538">
            <v>569.74</v>
          </cell>
          <cell r="R1538">
            <v>0</v>
          </cell>
        </row>
        <row r="1539">
          <cell r="O1539">
            <v>0</v>
          </cell>
          <cell r="P1539">
            <v>0</v>
          </cell>
          <cell r="Q1539">
            <v>0</v>
          </cell>
          <cell r="R1539">
            <v>0</v>
          </cell>
        </row>
        <row r="1542">
          <cell r="O1542">
            <v>0</v>
          </cell>
          <cell r="P1542">
            <v>0</v>
          </cell>
          <cell r="Q1542">
            <v>0</v>
          </cell>
          <cell r="R1542">
            <v>0</v>
          </cell>
        </row>
        <row r="1543">
          <cell r="O1543">
            <v>0</v>
          </cell>
          <cell r="P1543">
            <v>0</v>
          </cell>
          <cell r="Q1543">
            <v>0</v>
          </cell>
          <cell r="R1543">
            <v>0</v>
          </cell>
        </row>
        <row r="1545">
          <cell r="O1545">
            <v>0</v>
          </cell>
          <cell r="P1545">
            <v>0</v>
          </cell>
          <cell r="Q1545">
            <v>0</v>
          </cell>
          <cell r="R1545">
            <v>0</v>
          </cell>
        </row>
        <row r="1547">
          <cell r="O1547">
            <v>0</v>
          </cell>
          <cell r="P1547">
            <v>0</v>
          </cell>
          <cell r="Q1547">
            <v>0</v>
          </cell>
          <cell r="R1547">
            <v>0</v>
          </cell>
        </row>
        <row r="1548">
          <cell r="O1548">
            <v>0</v>
          </cell>
          <cell r="P1548">
            <v>0</v>
          </cell>
          <cell r="Q1548">
            <v>0</v>
          </cell>
          <cell r="R1548">
            <v>0</v>
          </cell>
        </row>
        <row r="1549">
          <cell r="O1549">
            <v>0</v>
          </cell>
          <cell r="P1549">
            <v>0</v>
          </cell>
          <cell r="Q1549">
            <v>0</v>
          </cell>
          <cell r="R1549">
            <v>0</v>
          </cell>
        </row>
        <row r="1550">
          <cell r="O1550">
            <v>0</v>
          </cell>
          <cell r="P1550">
            <v>0</v>
          </cell>
          <cell r="Q1550">
            <v>0</v>
          </cell>
          <cell r="R1550">
            <v>0</v>
          </cell>
        </row>
        <row r="1551">
          <cell r="O1551">
            <v>0</v>
          </cell>
          <cell r="P1551">
            <v>0</v>
          </cell>
          <cell r="Q1551">
            <v>0</v>
          </cell>
          <cell r="R1551">
            <v>0</v>
          </cell>
        </row>
        <row r="1552">
          <cell r="O1552">
            <v>0</v>
          </cell>
          <cell r="P1552">
            <v>0</v>
          </cell>
          <cell r="Q1552">
            <v>0</v>
          </cell>
          <cell r="R1552">
            <v>0</v>
          </cell>
        </row>
        <row r="1553">
          <cell r="O1553">
            <v>0</v>
          </cell>
          <cell r="P1553">
            <v>0</v>
          </cell>
          <cell r="Q1553">
            <v>0</v>
          </cell>
          <cell r="R1553">
            <v>0</v>
          </cell>
        </row>
        <row r="1554">
          <cell r="O1554">
            <v>0</v>
          </cell>
          <cell r="P1554">
            <v>0</v>
          </cell>
          <cell r="Q1554">
            <v>0</v>
          </cell>
          <cell r="R1554">
            <v>0</v>
          </cell>
        </row>
        <row r="1555">
          <cell r="O1555">
            <v>0</v>
          </cell>
          <cell r="P1555">
            <v>0</v>
          </cell>
          <cell r="Q1555">
            <v>0</v>
          </cell>
          <cell r="R1555">
            <v>0</v>
          </cell>
        </row>
        <row r="1556">
          <cell r="O1556">
            <v>0</v>
          </cell>
          <cell r="P1556">
            <v>0</v>
          </cell>
          <cell r="Q1556">
            <v>0</v>
          </cell>
          <cell r="R1556">
            <v>0</v>
          </cell>
        </row>
        <row r="1557">
          <cell r="O1557">
            <v>0</v>
          </cell>
          <cell r="P1557">
            <v>0</v>
          </cell>
          <cell r="Q1557">
            <v>0</v>
          </cell>
          <cell r="R1557">
            <v>0</v>
          </cell>
        </row>
        <row r="1558">
          <cell r="O1558">
            <v>0</v>
          </cell>
          <cell r="P1558">
            <v>0</v>
          </cell>
          <cell r="Q1558">
            <v>0</v>
          </cell>
          <cell r="R1558">
            <v>0</v>
          </cell>
        </row>
        <row r="1560">
          <cell r="O1560">
            <v>0</v>
          </cell>
          <cell r="P1560">
            <v>0</v>
          </cell>
          <cell r="Q1560">
            <v>0</v>
          </cell>
          <cell r="R1560">
            <v>0</v>
          </cell>
        </row>
        <row r="1561">
          <cell r="O1561">
            <v>0</v>
          </cell>
          <cell r="P1561">
            <v>0</v>
          </cell>
          <cell r="Q1561">
            <v>0</v>
          </cell>
          <cell r="R1561">
            <v>0</v>
          </cell>
        </row>
        <row r="1562">
          <cell r="B1562">
            <v>1</v>
          </cell>
          <cell r="O1562">
            <v>316.80600000000004</v>
          </cell>
          <cell r="P1562">
            <v>203.84</v>
          </cell>
          <cell r="Q1562">
            <v>203.84</v>
          </cell>
          <cell r="R1562">
            <v>0</v>
          </cell>
        </row>
        <row r="1563">
          <cell r="O1563">
            <v>0</v>
          </cell>
          <cell r="P1563">
            <v>0</v>
          </cell>
          <cell r="Q1563">
            <v>0</v>
          </cell>
          <cell r="R1563">
            <v>0</v>
          </cell>
        </row>
        <row r="1566">
          <cell r="O1566">
            <v>0</v>
          </cell>
          <cell r="P1566">
            <v>0</v>
          </cell>
          <cell r="Q1566">
            <v>0</v>
          </cell>
          <cell r="R1566">
            <v>0</v>
          </cell>
        </row>
        <row r="1567">
          <cell r="O1567">
            <v>0</v>
          </cell>
          <cell r="P1567">
            <v>0</v>
          </cell>
          <cell r="Q1567">
            <v>0</v>
          </cell>
          <cell r="R1567">
            <v>0</v>
          </cell>
        </row>
        <row r="1569">
          <cell r="O1569">
            <v>0</v>
          </cell>
          <cell r="P1569">
            <v>0</v>
          </cell>
          <cell r="Q1569">
            <v>0</v>
          </cell>
          <cell r="R1569">
            <v>0</v>
          </cell>
        </row>
        <row r="1571">
          <cell r="O1571">
            <v>0</v>
          </cell>
          <cell r="P1571">
            <v>0</v>
          </cell>
          <cell r="Q1571">
            <v>0</v>
          </cell>
          <cell r="R1571">
            <v>0</v>
          </cell>
        </row>
        <row r="1573">
          <cell r="O1573">
            <v>0</v>
          </cell>
          <cell r="P1573">
            <v>0</v>
          </cell>
          <cell r="Q1573">
            <v>0</v>
          </cell>
          <cell r="R1573">
            <v>0</v>
          </cell>
        </row>
        <row r="1574">
          <cell r="O1574">
            <v>0</v>
          </cell>
          <cell r="P1574">
            <v>0</v>
          </cell>
          <cell r="Q1574">
            <v>0</v>
          </cell>
          <cell r="R1574">
            <v>0</v>
          </cell>
        </row>
        <row r="1575">
          <cell r="O1575">
            <v>0</v>
          </cell>
          <cell r="P1575">
            <v>0</v>
          </cell>
          <cell r="Q1575">
            <v>0</v>
          </cell>
          <cell r="R1575">
            <v>0</v>
          </cell>
        </row>
        <row r="1576">
          <cell r="O1576">
            <v>0</v>
          </cell>
          <cell r="P1576">
            <v>0</v>
          </cell>
          <cell r="Q1576">
            <v>0</v>
          </cell>
          <cell r="R1576">
            <v>0</v>
          </cell>
        </row>
        <row r="1578">
          <cell r="O1578">
            <v>0</v>
          </cell>
          <cell r="P1578">
            <v>0</v>
          </cell>
          <cell r="Q1578">
            <v>0</v>
          </cell>
          <cell r="R1578">
            <v>0</v>
          </cell>
        </row>
        <row r="1579">
          <cell r="B1579">
            <v>1</v>
          </cell>
          <cell r="O1579">
            <v>770.18000000000006</v>
          </cell>
          <cell r="P1579">
            <v>314.08</v>
          </cell>
          <cell r="Q1579">
            <v>314.08</v>
          </cell>
          <cell r="R1579">
            <v>0</v>
          </cell>
        </row>
        <row r="1580">
          <cell r="O1580">
            <v>0</v>
          </cell>
          <cell r="P1580">
            <v>0</v>
          </cell>
          <cell r="Q1580">
            <v>0</v>
          </cell>
          <cell r="R1580">
            <v>0</v>
          </cell>
        </row>
        <row r="1583">
          <cell r="O1583">
            <v>0</v>
          </cell>
          <cell r="P1583">
            <v>0</v>
          </cell>
          <cell r="Q1583">
            <v>0</v>
          </cell>
          <cell r="R1583">
            <v>0</v>
          </cell>
        </row>
        <row r="1584">
          <cell r="O1584">
            <v>0</v>
          </cell>
          <cell r="P1584">
            <v>0</v>
          </cell>
          <cell r="Q1584">
            <v>0</v>
          </cell>
          <cell r="R1584">
            <v>0</v>
          </cell>
        </row>
        <row r="1586">
          <cell r="O1586">
            <v>0</v>
          </cell>
          <cell r="P1586">
            <v>0</v>
          </cell>
          <cell r="Q1586">
            <v>0</v>
          </cell>
          <cell r="R1586">
            <v>0</v>
          </cell>
        </row>
        <row r="1587">
          <cell r="O1587">
            <v>0</v>
          </cell>
          <cell r="P1587">
            <v>0</v>
          </cell>
          <cell r="Q1587">
            <v>0</v>
          </cell>
          <cell r="R1587">
            <v>0</v>
          </cell>
        </row>
        <row r="1588">
          <cell r="O1588">
            <v>0</v>
          </cell>
          <cell r="P1588">
            <v>0</v>
          </cell>
          <cell r="Q1588">
            <v>0</v>
          </cell>
          <cell r="R1588">
            <v>0</v>
          </cell>
        </row>
        <row r="1590">
          <cell r="O1590">
            <v>0</v>
          </cell>
          <cell r="P1590">
            <v>0</v>
          </cell>
          <cell r="Q1590">
            <v>0</v>
          </cell>
          <cell r="R1590">
            <v>0</v>
          </cell>
        </row>
        <row r="1591">
          <cell r="O1591">
            <v>0</v>
          </cell>
          <cell r="P1591">
            <v>0</v>
          </cell>
          <cell r="Q1591">
            <v>0</v>
          </cell>
          <cell r="R1591">
            <v>0</v>
          </cell>
        </row>
        <row r="1592">
          <cell r="O1592">
            <v>0</v>
          </cell>
          <cell r="P1592">
            <v>0</v>
          </cell>
          <cell r="Q1592">
            <v>0</v>
          </cell>
          <cell r="R1592">
            <v>0</v>
          </cell>
        </row>
        <row r="1594">
          <cell r="O1594">
            <v>0</v>
          </cell>
          <cell r="P1594">
            <v>0</v>
          </cell>
          <cell r="Q1594">
            <v>0</v>
          </cell>
          <cell r="R1594">
            <v>0</v>
          </cell>
        </row>
        <row r="1595">
          <cell r="O1595">
            <v>0</v>
          </cell>
          <cell r="P1595">
            <v>0</v>
          </cell>
          <cell r="Q1595">
            <v>0</v>
          </cell>
          <cell r="R1595">
            <v>0</v>
          </cell>
        </row>
        <row r="1596">
          <cell r="O1596">
            <v>0</v>
          </cell>
          <cell r="P1596">
            <v>0</v>
          </cell>
          <cell r="Q1596">
            <v>0</v>
          </cell>
          <cell r="R1596">
            <v>0</v>
          </cell>
        </row>
        <row r="1597">
          <cell r="O1597">
            <v>0</v>
          </cell>
          <cell r="P1597">
            <v>0</v>
          </cell>
          <cell r="Q1597">
            <v>0</v>
          </cell>
          <cell r="R1597">
            <v>0</v>
          </cell>
        </row>
        <row r="1599">
          <cell r="O1599">
            <v>0</v>
          </cell>
          <cell r="P1599">
            <v>0</v>
          </cell>
          <cell r="Q1599">
            <v>0</v>
          </cell>
          <cell r="R1599">
            <v>0</v>
          </cell>
        </row>
        <row r="1600">
          <cell r="B1600">
            <v>1</v>
          </cell>
          <cell r="O1600">
            <v>1151.3</v>
          </cell>
          <cell r="P1600">
            <v>462.8</v>
          </cell>
          <cell r="Q1600">
            <v>462.8</v>
          </cell>
          <cell r="R1600">
            <v>0</v>
          </cell>
        </row>
        <row r="1601">
          <cell r="O1601">
            <v>0</v>
          </cell>
          <cell r="P1601">
            <v>0</v>
          </cell>
          <cell r="Q1601">
            <v>0</v>
          </cell>
          <cell r="R1601">
            <v>0</v>
          </cell>
        </row>
        <row r="1604">
          <cell r="O1604">
            <v>0</v>
          </cell>
          <cell r="P1604">
            <v>0</v>
          </cell>
          <cell r="Q1604">
            <v>0</v>
          </cell>
          <cell r="R1604">
            <v>0</v>
          </cell>
        </row>
        <row r="1605">
          <cell r="O1605">
            <v>0</v>
          </cell>
          <cell r="P1605">
            <v>0</v>
          </cell>
          <cell r="Q1605">
            <v>0</v>
          </cell>
          <cell r="R1605">
            <v>0</v>
          </cell>
        </row>
        <row r="1607">
          <cell r="O1607">
            <v>0</v>
          </cell>
          <cell r="P1607">
            <v>0</v>
          </cell>
          <cell r="Q1607">
            <v>0</v>
          </cell>
          <cell r="R1607">
            <v>0</v>
          </cell>
        </row>
        <row r="1608">
          <cell r="O1608">
            <v>0</v>
          </cell>
          <cell r="P1608">
            <v>0</v>
          </cell>
          <cell r="Q1608">
            <v>0</v>
          </cell>
          <cell r="R1608">
            <v>0</v>
          </cell>
        </row>
        <row r="1609">
          <cell r="O1609">
            <v>0</v>
          </cell>
          <cell r="P1609">
            <v>0</v>
          </cell>
          <cell r="Q1609">
            <v>0</v>
          </cell>
          <cell r="R1609">
            <v>0</v>
          </cell>
        </row>
        <row r="1611">
          <cell r="O1611">
            <v>0</v>
          </cell>
          <cell r="P1611">
            <v>0</v>
          </cell>
          <cell r="Q1611">
            <v>0</v>
          </cell>
          <cell r="R1611">
            <v>0</v>
          </cell>
        </row>
        <row r="1612">
          <cell r="O1612">
            <v>0</v>
          </cell>
          <cell r="P1612">
            <v>0</v>
          </cell>
          <cell r="Q1612">
            <v>0</v>
          </cell>
          <cell r="R1612">
            <v>0</v>
          </cell>
        </row>
        <row r="1613">
          <cell r="O1613">
            <v>0</v>
          </cell>
          <cell r="P1613">
            <v>0</v>
          </cell>
          <cell r="Q1613">
            <v>0</v>
          </cell>
          <cell r="R1613">
            <v>0</v>
          </cell>
        </row>
        <row r="1615">
          <cell r="O1615">
            <v>0</v>
          </cell>
          <cell r="P1615">
            <v>0</v>
          </cell>
          <cell r="Q1615">
            <v>0</v>
          </cell>
          <cell r="R1615">
            <v>0</v>
          </cell>
        </row>
        <row r="1616">
          <cell r="O1616">
            <v>0</v>
          </cell>
          <cell r="P1616">
            <v>0</v>
          </cell>
          <cell r="Q1616">
            <v>0</v>
          </cell>
          <cell r="R1616">
            <v>0</v>
          </cell>
        </row>
        <row r="1617">
          <cell r="O1617">
            <v>0</v>
          </cell>
          <cell r="P1617">
            <v>0</v>
          </cell>
          <cell r="Q1617">
            <v>0</v>
          </cell>
          <cell r="R1617">
            <v>0</v>
          </cell>
        </row>
        <row r="1618">
          <cell r="B1618">
            <v>1</v>
          </cell>
          <cell r="O1618">
            <v>181.82600000000002</v>
          </cell>
          <cell r="P1618">
            <v>182.09</v>
          </cell>
          <cell r="Q1618">
            <v>182.09</v>
          </cell>
          <cell r="R1618">
            <v>0</v>
          </cell>
        </row>
        <row r="1619">
          <cell r="O1619">
            <v>0</v>
          </cell>
          <cell r="P1619">
            <v>0</v>
          </cell>
          <cell r="Q1619">
            <v>0</v>
          </cell>
          <cell r="R1619">
            <v>0</v>
          </cell>
        </row>
        <row r="1620">
          <cell r="B1620">
            <v>1</v>
          </cell>
          <cell r="O1620">
            <v>261.226</v>
          </cell>
          <cell r="P1620">
            <v>232.53</v>
          </cell>
          <cell r="Q1620">
            <v>232.53</v>
          </cell>
          <cell r="R1620">
            <v>0</v>
          </cell>
        </row>
        <row r="1621">
          <cell r="O1621">
            <v>0</v>
          </cell>
          <cell r="P1621">
            <v>0</v>
          </cell>
          <cell r="Q1621">
            <v>0</v>
          </cell>
          <cell r="R1621">
            <v>0</v>
          </cell>
        </row>
        <row r="1622">
          <cell r="B1622">
            <v>1</v>
          </cell>
          <cell r="O1622">
            <v>356.50600000000009</v>
          </cell>
          <cell r="P1622">
            <v>297.52</v>
          </cell>
          <cell r="Q1622">
            <v>297.52</v>
          </cell>
          <cell r="R1622">
            <v>0</v>
          </cell>
        </row>
        <row r="1623">
          <cell r="O1623">
            <v>0</v>
          </cell>
          <cell r="P1623">
            <v>0</v>
          </cell>
          <cell r="Q1623">
            <v>0</v>
          </cell>
          <cell r="R1623">
            <v>0</v>
          </cell>
        </row>
        <row r="1626">
          <cell r="O1626">
            <v>0</v>
          </cell>
          <cell r="P1626">
            <v>0</v>
          </cell>
          <cell r="Q1626">
            <v>0</v>
          </cell>
          <cell r="R1626">
            <v>0</v>
          </cell>
        </row>
        <row r="1627">
          <cell r="O1627">
            <v>0</v>
          </cell>
          <cell r="P1627">
            <v>0</v>
          </cell>
          <cell r="Q1627">
            <v>0</v>
          </cell>
          <cell r="R1627">
            <v>0</v>
          </cell>
        </row>
        <row r="1628">
          <cell r="O1628">
            <v>0</v>
          </cell>
          <cell r="P1628">
            <v>0</v>
          </cell>
          <cell r="Q1628">
            <v>0</v>
          </cell>
          <cell r="R1628">
            <v>0</v>
          </cell>
        </row>
        <row r="1629">
          <cell r="O1629">
            <v>0</v>
          </cell>
          <cell r="P1629">
            <v>0</v>
          </cell>
          <cell r="Q1629">
            <v>0</v>
          </cell>
          <cell r="R1629">
            <v>0</v>
          </cell>
        </row>
        <row r="1631">
          <cell r="O1631">
            <v>0</v>
          </cell>
          <cell r="P1631">
            <v>0</v>
          </cell>
          <cell r="Q1631">
            <v>0</v>
          </cell>
          <cell r="R1631">
            <v>0</v>
          </cell>
        </row>
        <row r="1633">
          <cell r="O1633">
            <v>0</v>
          </cell>
          <cell r="P1633">
            <v>0</v>
          </cell>
          <cell r="Q1633">
            <v>0</v>
          </cell>
          <cell r="R1633">
            <v>0</v>
          </cell>
        </row>
        <row r="1634">
          <cell r="O1634">
            <v>0</v>
          </cell>
          <cell r="P1634">
            <v>0</v>
          </cell>
          <cell r="Q1634">
            <v>0</v>
          </cell>
          <cell r="R1634">
            <v>0</v>
          </cell>
        </row>
        <row r="1635">
          <cell r="O1635">
            <v>0</v>
          </cell>
          <cell r="P1635">
            <v>0</v>
          </cell>
          <cell r="Q1635">
            <v>0</v>
          </cell>
          <cell r="R1635">
            <v>0</v>
          </cell>
        </row>
        <row r="1636">
          <cell r="O1636">
            <v>0</v>
          </cell>
          <cell r="P1636">
            <v>0</v>
          </cell>
          <cell r="Q1636">
            <v>0</v>
          </cell>
          <cell r="R1636">
            <v>0</v>
          </cell>
        </row>
        <row r="1637">
          <cell r="O1637">
            <v>0</v>
          </cell>
          <cell r="P1637">
            <v>0</v>
          </cell>
          <cell r="Q1637">
            <v>0</v>
          </cell>
          <cell r="R1637">
            <v>0</v>
          </cell>
        </row>
        <row r="1638">
          <cell r="O1638">
            <v>0</v>
          </cell>
          <cell r="P1638">
            <v>0</v>
          </cell>
          <cell r="Q1638">
            <v>0</v>
          </cell>
          <cell r="R1638">
            <v>0</v>
          </cell>
        </row>
        <row r="1639">
          <cell r="O1639">
            <v>0</v>
          </cell>
          <cell r="P1639">
            <v>0</v>
          </cell>
          <cell r="Q1639">
            <v>0</v>
          </cell>
          <cell r="R1639">
            <v>0</v>
          </cell>
        </row>
        <row r="1640">
          <cell r="O1640">
            <v>0</v>
          </cell>
          <cell r="P1640">
            <v>0</v>
          </cell>
          <cell r="Q1640">
            <v>0</v>
          </cell>
          <cell r="R1640">
            <v>0</v>
          </cell>
        </row>
        <row r="1641">
          <cell r="O1641">
            <v>0</v>
          </cell>
          <cell r="P1641">
            <v>0</v>
          </cell>
          <cell r="Q1641">
            <v>0</v>
          </cell>
          <cell r="R1641">
            <v>0</v>
          </cell>
        </row>
        <row r="1642">
          <cell r="O1642">
            <v>0</v>
          </cell>
          <cell r="P1642">
            <v>0</v>
          </cell>
          <cell r="Q1642">
            <v>0</v>
          </cell>
          <cell r="R1642">
            <v>0</v>
          </cell>
        </row>
        <row r="1644">
          <cell r="O1644">
            <v>0</v>
          </cell>
          <cell r="P1644">
            <v>0</v>
          </cell>
          <cell r="Q1644">
            <v>0</v>
          </cell>
          <cell r="R1644">
            <v>0</v>
          </cell>
        </row>
        <row r="1645">
          <cell r="O1645">
            <v>0</v>
          </cell>
          <cell r="P1645">
            <v>0</v>
          </cell>
          <cell r="Q1645">
            <v>0</v>
          </cell>
          <cell r="R1645">
            <v>0</v>
          </cell>
        </row>
        <row r="1646">
          <cell r="B1646">
            <v>1</v>
          </cell>
          <cell r="O1646">
            <v>356.50600000000009</v>
          </cell>
          <cell r="P1646">
            <v>282.88</v>
          </cell>
          <cell r="Q1646">
            <v>282.88</v>
          </cell>
          <cell r="R1646">
            <v>0</v>
          </cell>
        </row>
        <row r="1647">
          <cell r="O1647">
            <v>0</v>
          </cell>
          <cell r="P1647">
            <v>0</v>
          </cell>
          <cell r="Q1647">
            <v>0</v>
          </cell>
          <cell r="R1647">
            <v>0</v>
          </cell>
        </row>
        <row r="1649">
          <cell r="O1649">
            <v>0</v>
          </cell>
          <cell r="P1649">
            <v>0</v>
          </cell>
          <cell r="Q1649">
            <v>0</v>
          </cell>
          <cell r="R1649">
            <v>0</v>
          </cell>
        </row>
        <row r="1650">
          <cell r="O1650">
            <v>0</v>
          </cell>
          <cell r="P1650">
            <v>0</v>
          </cell>
          <cell r="Q1650">
            <v>0</v>
          </cell>
          <cell r="R1650">
            <v>0</v>
          </cell>
        </row>
        <row r="1651">
          <cell r="O1651">
            <v>0</v>
          </cell>
          <cell r="P1651">
            <v>0</v>
          </cell>
          <cell r="Q1651">
            <v>0</v>
          </cell>
          <cell r="R1651">
            <v>0</v>
          </cell>
        </row>
        <row r="1652">
          <cell r="O1652">
            <v>0</v>
          </cell>
          <cell r="P1652">
            <v>0</v>
          </cell>
          <cell r="Q1652">
            <v>0</v>
          </cell>
          <cell r="R1652">
            <v>0</v>
          </cell>
        </row>
        <row r="1653">
          <cell r="O1653">
            <v>0</v>
          </cell>
          <cell r="P1653">
            <v>0</v>
          </cell>
          <cell r="Q1653">
            <v>0</v>
          </cell>
          <cell r="R1653">
            <v>0</v>
          </cell>
        </row>
        <row r="1654">
          <cell r="O1654">
            <v>0</v>
          </cell>
          <cell r="P1654">
            <v>0</v>
          </cell>
          <cell r="Q1654">
            <v>0</v>
          </cell>
          <cell r="R1654">
            <v>0</v>
          </cell>
        </row>
        <row r="1655">
          <cell r="O1655">
            <v>0</v>
          </cell>
          <cell r="P1655">
            <v>0</v>
          </cell>
          <cell r="Q1655">
            <v>0</v>
          </cell>
          <cell r="R1655">
            <v>0</v>
          </cell>
        </row>
        <row r="1656">
          <cell r="O1656">
            <v>0</v>
          </cell>
          <cell r="P1656">
            <v>0</v>
          </cell>
          <cell r="Q1656">
            <v>0</v>
          </cell>
          <cell r="R1656">
            <v>0</v>
          </cell>
        </row>
        <row r="1657">
          <cell r="O1657">
            <v>0</v>
          </cell>
          <cell r="P1657">
            <v>0</v>
          </cell>
          <cell r="Q1657">
            <v>0</v>
          </cell>
          <cell r="R1657">
            <v>0</v>
          </cell>
        </row>
        <row r="1658">
          <cell r="O1658">
            <v>0</v>
          </cell>
          <cell r="P1658">
            <v>0</v>
          </cell>
          <cell r="Q1658">
            <v>0</v>
          </cell>
          <cell r="R1658">
            <v>0</v>
          </cell>
        </row>
        <row r="1659">
          <cell r="O1659">
            <v>0</v>
          </cell>
          <cell r="P1659">
            <v>0</v>
          </cell>
          <cell r="Q1659">
            <v>0</v>
          </cell>
          <cell r="R1659">
            <v>0</v>
          </cell>
        </row>
        <row r="1660">
          <cell r="O1660">
            <v>0</v>
          </cell>
          <cell r="P1660">
            <v>0</v>
          </cell>
          <cell r="Q1660">
            <v>0</v>
          </cell>
          <cell r="R1660">
            <v>0</v>
          </cell>
        </row>
        <row r="1662">
          <cell r="O1662">
            <v>0</v>
          </cell>
          <cell r="P1662">
            <v>0</v>
          </cell>
          <cell r="Q1662">
            <v>0</v>
          </cell>
          <cell r="R1662">
            <v>0</v>
          </cell>
        </row>
        <row r="1663">
          <cell r="O1663">
            <v>0</v>
          </cell>
          <cell r="P1663">
            <v>0</v>
          </cell>
          <cell r="Q1663">
            <v>0</v>
          </cell>
          <cell r="R1663">
            <v>0</v>
          </cell>
        </row>
        <row r="1664">
          <cell r="B1664">
            <v>1</v>
          </cell>
          <cell r="O1664">
            <v>793.20600000000013</v>
          </cell>
          <cell r="P1664">
            <v>630.47</v>
          </cell>
          <cell r="Q1664">
            <v>630.47</v>
          </cell>
          <cell r="R1664">
            <v>0</v>
          </cell>
        </row>
        <row r="1665">
          <cell r="O1665">
            <v>0</v>
          </cell>
          <cell r="P1665">
            <v>0</v>
          </cell>
          <cell r="Q1665">
            <v>0</v>
          </cell>
          <cell r="R1665">
            <v>0</v>
          </cell>
        </row>
        <row r="1668">
          <cell r="O1668">
            <v>0</v>
          </cell>
          <cell r="P1668">
            <v>0</v>
          </cell>
          <cell r="Q1668">
            <v>0</v>
          </cell>
          <cell r="R1668">
            <v>0</v>
          </cell>
        </row>
        <row r="1670">
          <cell r="O1670">
            <v>0</v>
          </cell>
          <cell r="P1670">
            <v>0</v>
          </cell>
          <cell r="Q1670">
            <v>0</v>
          </cell>
          <cell r="R1670">
            <v>0</v>
          </cell>
        </row>
        <row r="1672">
          <cell r="O1672">
            <v>0</v>
          </cell>
          <cell r="P1672">
            <v>0</v>
          </cell>
          <cell r="Q1672">
            <v>0</v>
          </cell>
          <cell r="R1672">
            <v>0</v>
          </cell>
        </row>
        <row r="1673">
          <cell r="O1673">
            <v>0</v>
          </cell>
          <cell r="P1673">
            <v>0</v>
          </cell>
          <cell r="Q1673">
            <v>0</v>
          </cell>
          <cell r="R1673">
            <v>0</v>
          </cell>
        </row>
        <row r="1674">
          <cell r="O1674">
            <v>0</v>
          </cell>
          <cell r="P1674">
            <v>0</v>
          </cell>
          <cell r="Q1674">
            <v>0</v>
          </cell>
          <cell r="R1674">
            <v>0</v>
          </cell>
        </row>
        <row r="1675">
          <cell r="O1675">
            <v>0</v>
          </cell>
          <cell r="P1675">
            <v>0</v>
          </cell>
          <cell r="Q1675">
            <v>0</v>
          </cell>
          <cell r="R1675">
            <v>0</v>
          </cell>
        </row>
        <row r="1676">
          <cell r="O1676">
            <v>0</v>
          </cell>
          <cell r="P1676">
            <v>0</v>
          </cell>
          <cell r="Q1676">
            <v>0</v>
          </cell>
          <cell r="R1676">
            <v>0</v>
          </cell>
        </row>
        <row r="1677">
          <cell r="O1677">
            <v>0</v>
          </cell>
          <cell r="P1677">
            <v>0</v>
          </cell>
          <cell r="Q1677">
            <v>0</v>
          </cell>
          <cell r="R1677">
            <v>0</v>
          </cell>
        </row>
        <row r="1678">
          <cell r="O1678">
            <v>0</v>
          </cell>
          <cell r="P1678">
            <v>0</v>
          </cell>
          <cell r="Q1678">
            <v>0</v>
          </cell>
          <cell r="R1678">
            <v>0</v>
          </cell>
        </row>
        <row r="1679">
          <cell r="O1679">
            <v>0</v>
          </cell>
          <cell r="P1679">
            <v>0</v>
          </cell>
          <cell r="Q1679">
            <v>0</v>
          </cell>
          <cell r="R1679">
            <v>0</v>
          </cell>
        </row>
        <row r="1680">
          <cell r="O1680">
            <v>0</v>
          </cell>
          <cell r="P1680">
            <v>0</v>
          </cell>
          <cell r="Q1680">
            <v>0</v>
          </cell>
          <cell r="R1680">
            <v>0</v>
          </cell>
        </row>
        <row r="1681">
          <cell r="O1681">
            <v>0</v>
          </cell>
          <cell r="P1681">
            <v>0</v>
          </cell>
          <cell r="Q1681">
            <v>0</v>
          </cell>
          <cell r="R1681">
            <v>0</v>
          </cell>
        </row>
        <row r="1682">
          <cell r="O1682">
            <v>0</v>
          </cell>
          <cell r="P1682">
            <v>0</v>
          </cell>
          <cell r="Q1682">
            <v>0</v>
          </cell>
          <cell r="R1682">
            <v>0</v>
          </cell>
        </row>
        <row r="1683">
          <cell r="O1683">
            <v>0</v>
          </cell>
          <cell r="P1683">
            <v>0</v>
          </cell>
          <cell r="Q1683">
            <v>0</v>
          </cell>
          <cell r="R1683">
            <v>0</v>
          </cell>
        </row>
        <row r="1684">
          <cell r="O1684">
            <v>0</v>
          </cell>
          <cell r="P1684">
            <v>0</v>
          </cell>
          <cell r="Q1684">
            <v>0</v>
          </cell>
          <cell r="R1684">
            <v>0</v>
          </cell>
        </row>
        <row r="1685">
          <cell r="O1685">
            <v>0</v>
          </cell>
          <cell r="P1685">
            <v>0</v>
          </cell>
          <cell r="Q1685">
            <v>0</v>
          </cell>
          <cell r="R1685">
            <v>0</v>
          </cell>
        </row>
        <row r="1686">
          <cell r="O1686">
            <v>0</v>
          </cell>
          <cell r="P1686">
            <v>0</v>
          </cell>
          <cell r="Q1686">
            <v>0</v>
          </cell>
          <cell r="R1686">
            <v>0</v>
          </cell>
        </row>
        <row r="1687">
          <cell r="O1687">
            <v>0</v>
          </cell>
          <cell r="P1687">
            <v>0</v>
          </cell>
          <cell r="Q1687">
            <v>0</v>
          </cell>
          <cell r="R1687">
            <v>0</v>
          </cell>
        </row>
        <row r="1688">
          <cell r="O1688">
            <v>0</v>
          </cell>
          <cell r="P1688">
            <v>0</v>
          </cell>
          <cell r="Q1688">
            <v>0</v>
          </cell>
          <cell r="R1688">
            <v>0</v>
          </cell>
        </row>
        <row r="1689">
          <cell r="O1689">
            <v>0</v>
          </cell>
          <cell r="P1689">
            <v>0</v>
          </cell>
          <cell r="Q1689">
            <v>0</v>
          </cell>
          <cell r="R1689">
            <v>0</v>
          </cell>
        </row>
        <row r="1691">
          <cell r="O1691">
            <v>0</v>
          </cell>
          <cell r="P1691">
            <v>0</v>
          </cell>
          <cell r="Q1691">
            <v>0</v>
          </cell>
          <cell r="R1691">
            <v>0</v>
          </cell>
        </row>
        <row r="1692">
          <cell r="O1692">
            <v>0</v>
          </cell>
          <cell r="P1692">
            <v>0</v>
          </cell>
          <cell r="Q1692">
            <v>0</v>
          </cell>
          <cell r="R1692">
            <v>0</v>
          </cell>
        </row>
        <row r="1694">
          <cell r="B1694">
            <v>1</v>
          </cell>
          <cell r="O1694">
            <v>555.79206000000011</v>
          </cell>
          <cell r="P1694">
            <v>369.94</v>
          </cell>
          <cell r="Q1694">
            <v>369.94</v>
          </cell>
          <cell r="R1694">
            <v>0</v>
          </cell>
        </row>
        <row r="1695">
          <cell r="O1695">
            <v>0</v>
          </cell>
          <cell r="P1695">
            <v>0</v>
          </cell>
          <cell r="Q1695">
            <v>0</v>
          </cell>
          <cell r="R1695">
            <v>0</v>
          </cell>
        </row>
        <row r="1696">
          <cell r="B1696">
            <v>1</v>
          </cell>
          <cell r="O1696">
            <v>666.96</v>
          </cell>
          <cell r="P1696">
            <v>455.66</v>
          </cell>
          <cell r="Q1696">
            <v>455.66</v>
          </cell>
          <cell r="R1696">
            <v>0</v>
          </cell>
        </row>
        <row r="1697">
          <cell r="O1697">
            <v>0</v>
          </cell>
          <cell r="P1697">
            <v>0</v>
          </cell>
          <cell r="Q1697">
            <v>0</v>
          </cell>
          <cell r="R1697">
            <v>0</v>
          </cell>
        </row>
        <row r="1700">
          <cell r="O1700">
            <v>0</v>
          </cell>
          <cell r="P1700">
            <v>0</v>
          </cell>
          <cell r="Q1700">
            <v>0</v>
          </cell>
          <cell r="R1700">
            <v>0</v>
          </cell>
        </row>
        <row r="1702">
          <cell r="O1702">
            <v>0</v>
          </cell>
          <cell r="P1702">
            <v>0</v>
          </cell>
          <cell r="Q1702">
            <v>0</v>
          </cell>
          <cell r="R1702">
            <v>0</v>
          </cell>
        </row>
        <row r="1703">
          <cell r="O1703">
            <v>0</v>
          </cell>
          <cell r="P1703">
            <v>0</v>
          </cell>
          <cell r="Q1703">
            <v>0</v>
          </cell>
          <cell r="R1703">
            <v>0</v>
          </cell>
        </row>
        <row r="1705">
          <cell r="O1705">
            <v>0</v>
          </cell>
          <cell r="P1705">
            <v>0</v>
          </cell>
          <cell r="Q1705">
            <v>0</v>
          </cell>
          <cell r="R1705">
            <v>0</v>
          </cell>
        </row>
        <row r="1706">
          <cell r="O1706">
            <v>0</v>
          </cell>
          <cell r="P1706">
            <v>0</v>
          </cell>
          <cell r="Q1706">
            <v>0</v>
          </cell>
          <cell r="R1706">
            <v>0</v>
          </cell>
        </row>
        <row r="1707">
          <cell r="O1707">
            <v>0</v>
          </cell>
          <cell r="P1707">
            <v>0</v>
          </cell>
          <cell r="Q1707">
            <v>0</v>
          </cell>
          <cell r="R1707">
            <v>0</v>
          </cell>
        </row>
        <row r="1708">
          <cell r="O1708">
            <v>0</v>
          </cell>
          <cell r="P1708">
            <v>0</v>
          </cell>
          <cell r="Q1708">
            <v>0</v>
          </cell>
          <cell r="R1708">
            <v>0</v>
          </cell>
        </row>
        <row r="1709">
          <cell r="O1709">
            <v>0</v>
          </cell>
          <cell r="P1709">
            <v>0</v>
          </cell>
          <cell r="Q1709">
            <v>0</v>
          </cell>
          <cell r="R1709">
            <v>0</v>
          </cell>
        </row>
        <row r="1710">
          <cell r="O1710">
            <v>0</v>
          </cell>
          <cell r="P1710">
            <v>0</v>
          </cell>
          <cell r="Q1710">
            <v>0</v>
          </cell>
          <cell r="R1710">
            <v>0</v>
          </cell>
        </row>
        <row r="1711">
          <cell r="O1711">
            <v>0</v>
          </cell>
          <cell r="P1711">
            <v>0</v>
          </cell>
          <cell r="Q1711">
            <v>0</v>
          </cell>
          <cell r="R1711">
            <v>0</v>
          </cell>
        </row>
        <row r="1712">
          <cell r="O1712">
            <v>0</v>
          </cell>
          <cell r="P1712">
            <v>0</v>
          </cell>
          <cell r="Q1712">
            <v>0</v>
          </cell>
          <cell r="R1712">
            <v>0</v>
          </cell>
        </row>
        <row r="1713">
          <cell r="O1713">
            <v>0</v>
          </cell>
          <cell r="P1713">
            <v>0</v>
          </cell>
          <cell r="Q1713">
            <v>0</v>
          </cell>
          <cell r="R1713">
            <v>0</v>
          </cell>
        </row>
        <row r="1714">
          <cell r="O1714">
            <v>0</v>
          </cell>
          <cell r="P1714">
            <v>0</v>
          </cell>
          <cell r="Q1714">
            <v>0</v>
          </cell>
          <cell r="R1714">
            <v>0</v>
          </cell>
        </row>
        <row r="1715">
          <cell r="O1715">
            <v>0</v>
          </cell>
          <cell r="P1715">
            <v>0</v>
          </cell>
          <cell r="Q1715">
            <v>0</v>
          </cell>
          <cell r="R1715">
            <v>0</v>
          </cell>
        </row>
        <row r="1716">
          <cell r="O1716">
            <v>0</v>
          </cell>
          <cell r="P1716">
            <v>0</v>
          </cell>
          <cell r="Q1716">
            <v>0</v>
          </cell>
          <cell r="R1716">
            <v>0</v>
          </cell>
        </row>
        <row r="1717">
          <cell r="O1717">
            <v>0</v>
          </cell>
          <cell r="P1717">
            <v>0</v>
          </cell>
          <cell r="Q1717">
            <v>0</v>
          </cell>
          <cell r="R1717">
            <v>0</v>
          </cell>
        </row>
        <row r="1718">
          <cell r="O1718">
            <v>0</v>
          </cell>
          <cell r="P1718">
            <v>0</v>
          </cell>
          <cell r="Q1718">
            <v>0</v>
          </cell>
          <cell r="R1718">
            <v>0</v>
          </cell>
        </row>
        <row r="1719">
          <cell r="O1719">
            <v>0</v>
          </cell>
          <cell r="P1719">
            <v>0</v>
          </cell>
          <cell r="Q1719">
            <v>0</v>
          </cell>
          <cell r="R1719">
            <v>0</v>
          </cell>
        </row>
        <row r="1720">
          <cell r="O1720">
            <v>0</v>
          </cell>
          <cell r="P1720">
            <v>0</v>
          </cell>
          <cell r="Q1720">
            <v>0</v>
          </cell>
          <cell r="R1720">
            <v>0</v>
          </cell>
        </row>
        <row r="1722">
          <cell r="O1722">
            <v>0</v>
          </cell>
          <cell r="P1722">
            <v>0</v>
          </cell>
          <cell r="Q1722">
            <v>0</v>
          </cell>
          <cell r="R1722">
            <v>0</v>
          </cell>
        </row>
        <row r="1723">
          <cell r="O1723">
            <v>0</v>
          </cell>
          <cell r="P1723">
            <v>0</v>
          </cell>
          <cell r="Q1723">
            <v>0</v>
          </cell>
          <cell r="R1723">
            <v>0</v>
          </cell>
        </row>
        <row r="1724">
          <cell r="B1724">
            <v>1</v>
          </cell>
          <cell r="O1724">
            <v>1984.2060000000001</v>
          </cell>
          <cell r="P1724">
            <v>1640.08</v>
          </cell>
          <cell r="Q1724">
            <v>1640.08</v>
          </cell>
          <cell r="R1724">
            <v>0</v>
          </cell>
        </row>
        <row r="1725">
          <cell r="O1725">
            <v>0</v>
          </cell>
          <cell r="P1725">
            <v>0</v>
          </cell>
          <cell r="Q1725">
            <v>0</v>
          </cell>
          <cell r="R1725">
            <v>0</v>
          </cell>
        </row>
        <row r="1726">
          <cell r="B1726">
            <v>1</v>
          </cell>
          <cell r="O1726">
            <v>2540.0060000000003</v>
          </cell>
          <cell r="P1726">
            <v>2226.11</v>
          </cell>
          <cell r="Q1726">
            <v>2226.11</v>
          </cell>
          <cell r="R1726">
            <v>0</v>
          </cell>
        </row>
        <row r="1727">
          <cell r="O1727">
            <v>0</v>
          </cell>
          <cell r="P1727">
            <v>0</v>
          </cell>
          <cell r="Q1727">
            <v>0</v>
          </cell>
          <cell r="R1727">
            <v>0</v>
          </cell>
        </row>
        <row r="1730">
          <cell r="O1730">
            <v>0</v>
          </cell>
          <cell r="P1730">
            <v>0</v>
          </cell>
          <cell r="Q1730">
            <v>0</v>
          </cell>
          <cell r="R1730">
            <v>0</v>
          </cell>
        </row>
        <row r="1731">
          <cell r="O1731">
            <v>0</v>
          </cell>
          <cell r="P1731">
            <v>0</v>
          </cell>
          <cell r="Q1731">
            <v>0</v>
          </cell>
          <cell r="R1731">
            <v>0</v>
          </cell>
        </row>
        <row r="1732">
          <cell r="O1732">
            <v>0</v>
          </cell>
          <cell r="P1732">
            <v>0</v>
          </cell>
          <cell r="Q1732">
            <v>0</v>
          </cell>
          <cell r="R1732">
            <v>0</v>
          </cell>
        </row>
        <row r="1734">
          <cell r="O1734">
            <v>0</v>
          </cell>
          <cell r="P1734">
            <v>0</v>
          </cell>
          <cell r="Q1734">
            <v>0</v>
          </cell>
          <cell r="R1734">
            <v>0</v>
          </cell>
        </row>
        <row r="1735">
          <cell r="O1735">
            <v>0</v>
          </cell>
          <cell r="P1735">
            <v>0</v>
          </cell>
          <cell r="Q1735">
            <v>0</v>
          </cell>
          <cell r="R1735">
            <v>0</v>
          </cell>
        </row>
        <row r="1736">
          <cell r="O1736">
            <v>0</v>
          </cell>
          <cell r="P1736">
            <v>0</v>
          </cell>
          <cell r="Q1736">
            <v>0</v>
          </cell>
          <cell r="R1736">
            <v>0</v>
          </cell>
        </row>
        <row r="1738">
          <cell r="O1738">
            <v>0</v>
          </cell>
          <cell r="P1738">
            <v>0</v>
          </cell>
          <cell r="Q1738">
            <v>0</v>
          </cell>
          <cell r="R1738">
            <v>0</v>
          </cell>
        </row>
        <row r="1740">
          <cell r="O1740">
            <v>0</v>
          </cell>
          <cell r="P1740">
            <v>0</v>
          </cell>
          <cell r="Q1740">
            <v>0</v>
          </cell>
          <cell r="R1740">
            <v>0</v>
          </cell>
        </row>
        <row r="1741">
          <cell r="O1741">
            <v>0</v>
          </cell>
          <cell r="P1741">
            <v>0</v>
          </cell>
          <cell r="Q1741">
            <v>0</v>
          </cell>
          <cell r="R1741">
            <v>0</v>
          </cell>
        </row>
        <row r="1742">
          <cell r="O1742">
            <v>0</v>
          </cell>
          <cell r="P1742">
            <v>0</v>
          </cell>
          <cell r="Q1742">
            <v>0</v>
          </cell>
          <cell r="R1742">
            <v>0</v>
          </cell>
        </row>
        <row r="1743">
          <cell r="O1743">
            <v>0</v>
          </cell>
          <cell r="P1743">
            <v>0</v>
          </cell>
          <cell r="Q1743">
            <v>0</v>
          </cell>
          <cell r="R1743">
            <v>0</v>
          </cell>
        </row>
        <row r="1744">
          <cell r="O1744">
            <v>0</v>
          </cell>
          <cell r="P1744">
            <v>0</v>
          </cell>
          <cell r="Q1744">
            <v>0</v>
          </cell>
          <cell r="R1744">
            <v>0</v>
          </cell>
        </row>
        <row r="1745">
          <cell r="O1745">
            <v>0</v>
          </cell>
          <cell r="P1745">
            <v>0</v>
          </cell>
          <cell r="Q1745">
            <v>0</v>
          </cell>
          <cell r="R1745">
            <v>0</v>
          </cell>
        </row>
        <row r="1746">
          <cell r="O1746">
            <v>0</v>
          </cell>
          <cell r="P1746">
            <v>0</v>
          </cell>
          <cell r="Q1746">
            <v>0</v>
          </cell>
          <cell r="R1746">
            <v>0</v>
          </cell>
        </row>
        <row r="1747">
          <cell r="O1747">
            <v>0</v>
          </cell>
          <cell r="P1747">
            <v>0</v>
          </cell>
          <cell r="Q1747">
            <v>0</v>
          </cell>
          <cell r="R1747">
            <v>0</v>
          </cell>
        </row>
        <row r="1748">
          <cell r="O1748">
            <v>0</v>
          </cell>
          <cell r="P1748">
            <v>0</v>
          </cell>
          <cell r="Q1748">
            <v>0</v>
          </cell>
          <cell r="R1748">
            <v>0</v>
          </cell>
        </row>
        <row r="1749">
          <cell r="O1749">
            <v>0</v>
          </cell>
          <cell r="P1749">
            <v>0</v>
          </cell>
          <cell r="Q1749">
            <v>0</v>
          </cell>
          <cell r="R1749">
            <v>0</v>
          </cell>
        </row>
        <row r="1750">
          <cell r="O1750">
            <v>0</v>
          </cell>
          <cell r="P1750">
            <v>0</v>
          </cell>
          <cell r="Q1750">
            <v>0</v>
          </cell>
          <cell r="R1750">
            <v>0</v>
          </cell>
        </row>
        <row r="1751">
          <cell r="O1751">
            <v>0</v>
          </cell>
          <cell r="P1751">
            <v>0</v>
          </cell>
          <cell r="Q1751">
            <v>0</v>
          </cell>
          <cell r="R1751">
            <v>0</v>
          </cell>
        </row>
        <row r="1753">
          <cell r="O1753">
            <v>0</v>
          </cell>
          <cell r="P1753">
            <v>0</v>
          </cell>
          <cell r="Q1753">
            <v>0</v>
          </cell>
          <cell r="R1753">
            <v>0</v>
          </cell>
        </row>
        <row r="1754">
          <cell r="O1754">
            <v>0</v>
          </cell>
          <cell r="P1754">
            <v>0</v>
          </cell>
          <cell r="Q1754">
            <v>0</v>
          </cell>
          <cell r="R1754">
            <v>0</v>
          </cell>
        </row>
        <row r="1755">
          <cell r="B1755">
            <v>1</v>
          </cell>
          <cell r="O1755">
            <v>2937.0060000000003</v>
          </cell>
          <cell r="P1755">
            <v>1954.16</v>
          </cell>
          <cell r="Q1755">
            <v>1954.16</v>
          </cell>
          <cell r="R1755">
            <v>0</v>
          </cell>
        </row>
        <row r="1756">
          <cell r="O1756">
            <v>0</v>
          </cell>
          <cell r="P1756">
            <v>0</v>
          </cell>
          <cell r="Q1756">
            <v>0</v>
          </cell>
          <cell r="R1756">
            <v>0</v>
          </cell>
        </row>
        <row r="1759">
          <cell r="O1759">
            <v>0</v>
          </cell>
          <cell r="P1759">
            <v>0</v>
          </cell>
          <cell r="Q1759">
            <v>0</v>
          </cell>
          <cell r="R1759">
            <v>0</v>
          </cell>
        </row>
        <row r="1760">
          <cell r="O1760">
            <v>0</v>
          </cell>
          <cell r="P1760">
            <v>0</v>
          </cell>
          <cell r="Q1760">
            <v>0</v>
          </cell>
          <cell r="R1760">
            <v>0</v>
          </cell>
        </row>
        <row r="1761">
          <cell r="O1761">
            <v>0</v>
          </cell>
          <cell r="P1761">
            <v>0</v>
          </cell>
          <cell r="Q1761">
            <v>0</v>
          </cell>
          <cell r="R1761">
            <v>0</v>
          </cell>
        </row>
        <row r="1762">
          <cell r="O1762">
            <v>0</v>
          </cell>
          <cell r="P1762">
            <v>0</v>
          </cell>
          <cell r="Q1762">
            <v>0</v>
          </cell>
          <cell r="R1762">
            <v>0</v>
          </cell>
        </row>
        <row r="1764">
          <cell r="O1764">
            <v>0</v>
          </cell>
          <cell r="P1764">
            <v>0</v>
          </cell>
          <cell r="Q1764">
            <v>0</v>
          </cell>
          <cell r="R1764">
            <v>0</v>
          </cell>
        </row>
        <row r="1765">
          <cell r="O1765">
            <v>0</v>
          </cell>
          <cell r="P1765">
            <v>0</v>
          </cell>
          <cell r="Q1765">
            <v>0</v>
          </cell>
          <cell r="R1765">
            <v>0</v>
          </cell>
        </row>
        <row r="1766">
          <cell r="O1766">
            <v>0</v>
          </cell>
          <cell r="P1766">
            <v>0</v>
          </cell>
          <cell r="Q1766">
            <v>0</v>
          </cell>
          <cell r="R1766">
            <v>0</v>
          </cell>
        </row>
        <row r="1767">
          <cell r="O1767">
            <v>0</v>
          </cell>
          <cell r="P1767">
            <v>0</v>
          </cell>
          <cell r="Q1767">
            <v>0</v>
          </cell>
          <cell r="R1767">
            <v>0</v>
          </cell>
        </row>
        <row r="1768">
          <cell r="O1768">
            <v>0</v>
          </cell>
          <cell r="P1768">
            <v>0</v>
          </cell>
          <cell r="Q1768">
            <v>0</v>
          </cell>
          <cell r="R1768">
            <v>0</v>
          </cell>
        </row>
        <row r="1770">
          <cell r="O1770">
            <v>0</v>
          </cell>
          <cell r="P1770">
            <v>0</v>
          </cell>
          <cell r="Q1770">
            <v>0</v>
          </cell>
          <cell r="R1770">
            <v>0</v>
          </cell>
        </row>
        <row r="1771">
          <cell r="O1771">
            <v>0</v>
          </cell>
          <cell r="P1771">
            <v>0</v>
          </cell>
          <cell r="Q1771">
            <v>0</v>
          </cell>
          <cell r="R1771">
            <v>0</v>
          </cell>
        </row>
        <row r="1773">
          <cell r="O1773">
            <v>0</v>
          </cell>
          <cell r="P1773">
            <v>0</v>
          </cell>
          <cell r="Q1773">
            <v>0</v>
          </cell>
          <cell r="R1773">
            <v>0</v>
          </cell>
        </row>
        <row r="1774">
          <cell r="O1774">
            <v>0</v>
          </cell>
          <cell r="P1774">
            <v>0</v>
          </cell>
          <cell r="Q1774">
            <v>0</v>
          </cell>
          <cell r="R1774">
            <v>0</v>
          </cell>
        </row>
        <row r="1775">
          <cell r="O1775">
            <v>0</v>
          </cell>
          <cell r="P1775">
            <v>0</v>
          </cell>
          <cell r="Q1775">
            <v>0</v>
          </cell>
          <cell r="R1775">
            <v>0</v>
          </cell>
        </row>
        <row r="1777">
          <cell r="O1777">
            <v>0</v>
          </cell>
          <cell r="P1777">
            <v>0</v>
          </cell>
          <cell r="Q1777">
            <v>0</v>
          </cell>
          <cell r="R1777">
            <v>0</v>
          </cell>
        </row>
        <row r="1778">
          <cell r="O1778">
            <v>0</v>
          </cell>
          <cell r="P1778">
            <v>0</v>
          </cell>
          <cell r="Q1778">
            <v>0</v>
          </cell>
          <cell r="R1778">
            <v>0</v>
          </cell>
        </row>
        <row r="1779">
          <cell r="O1779">
            <v>0</v>
          </cell>
          <cell r="P1779">
            <v>0</v>
          </cell>
          <cell r="Q1779">
            <v>0</v>
          </cell>
          <cell r="R1779">
            <v>0</v>
          </cell>
        </row>
        <row r="1780">
          <cell r="O1780">
            <v>0</v>
          </cell>
          <cell r="P1780">
            <v>0</v>
          </cell>
          <cell r="Q1780">
            <v>0</v>
          </cell>
          <cell r="R1780">
            <v>0</v>
          </cell>
        </row>
        <row r="1781">
          <cell r="O1781">
            <v>0</v>
          </cell>
          <cell r="P1781">
            <v>0</v>
          </cell>
          <cell r="Q1781">
            <v>0</v>
          </cell>
          <cell r="R1781">
            <v>0</v>
          </cell>
        </row>
        <row r="1782">
          <cell r="O1782">
            <v>0</v>
          </cell>
          <cell r="P1782">
            <v>0</v>
          </cell>
          <cell r="Q1782">
            <v>0</v>
          </cell>
          <cell r="R1782">
            <v>0</v>
          </cell>
        </row>
        <row r="1783">
          <cell r="O1783">
            <v>0</v>
          </cell>
          <cell r="P1783">
            <v>0</v>
          </cell>
          <cell r="Q1783">
            <v>0</v>
          </cell>
          <cell r="R1783">
            <v>0</v>
          </cell>
        </row>
        <row r="1784">
          <cell r="O1784">
            <v>0</v>
          </cell>
          <cell r="P1784">
            <v>0</v>
          </cell>
          <cell r="Q1784">
            <v>0</v>
          </cell>
          <cell r="R1784">
            <v>0</v>
          </cell>
        </row>
        <row r="1785">
          <cell r="O1785">
            <v>0</v>
          </cell>
          <cell r="P1785">
            <v>0</v>
          </cell>
          <cell r="Q1785">
            <v>0</v>
          </cell>
          <cell r="R1785">
            <v>0</v>
          </cell>
        </row>
        <row r="1786">
          <cell r="O1786">
            <v>0</v>
          </cell>
          <cell r="P1786">
            <v>0</v>
          </cell>
          <cell r="Q1786">
            <v>0</v>
          </cell>
          <cell r="R1786">
            <v>0</v>
          </cell>
        </row>
        <row r="1787">
          <cell r="O1787">
            <v>0</v>
          </cell>
          <cell r="P1787">
            <v>0</v>
          </cell>
          <cell r="Q1787">
            <v>0</v>
          </cell>
          <cell r="R1787">
            <v>0</v>
          </cell>
        </row>
        <row r="1788">
          <cell r="O1788">
            <v>0</v>
          </cell>
          <cell r="P1788">
            <v>0</v>
          </cell>
          <cell r="Q1788">
            <v>0</v>
          </cell>
          <cell r="R1788">
            <v>0</v>
          </cell>
        </row>
        <row r="1790">
          <cell r="O1790">
            <v>0</v>
          </cell>
          <cell r="P1790">
            <v>0</v>
          </cell>
          <cell r="Q1790">
            <v>0</v>
          </cell>
          <cell r="R1790">
            <v>0</v>
          </cell>
        </row>
        <row r="1791">
          <cell r="B1791">
            <v>1</v>
          </cell>
          <cell r="O1791">
            <v>555.00600000000009</v>
          </cell>
          <cell r="P1791">
            <v>307.27999999999997</v>
          </cell>
          <cell r="Q1791">
            <v>307.27999999999997</v>
          </cell>
          <cell r="R1791">
            <v>0</v>
          </cell>
        </row>
        <row r="1792">
          <cell r="O1792">
            <v>0</v>
          </cell>
          <cell r="P1792">
            <v>0</v>
          </cell>
          <cell r="Q1792">
            <v>0</v>
          </cell>
          <cell r="R1792">
            <v>0</v>
          </cell>
        </row>
        <row r="1793">
          <cell r="B1793">
            <v>1</v>
          </cell>
          <cell r="O1793">
            <v>713.80600000000004</v>
          </cell>
          <cell r="P1793">
            <v>318.07</v>
          </cell>
          <cell r="Q1793">
            <v>318.07</v>
          </cell>
          <cell r="R1793">
            <v>0</v>
          </cell>
        </row>
        <row r="1794">
          <cell r="O1794">
            <v>0</v>
          </cell>
          <cell r="P1794">
            <v>0</v>
          </cell>
          <cell r="Q1794">
            <v>0</v>
          </cell>
          <cell r="R1794">
            <v>0</v>
          </cell>
        </row>
        <row r="1797">
          <cell r="O1797">
            <v>0</v>
          </cell>
          <cell r="P1797">
            <v>0</v>
          </cell>
          <cell r="Q1797">
            <v>0</v>
          </cell>
          <cell r="R1797">
            <v>0</v>
          </cell>
        </row>
        <row r="1798">
          <cell r="O1798">
            <v>0</v>
          </cell>
          <cell r="P1798">
            <v>0</v>
          </cell>
          <cell r="Q1798">
            <v>0</v>
          </cell>
          <cell r="R1798">
            <v>0</v>
          </cell>
        </row>
        <row r="1799">
          <cell r="O1799">
            <v>0</v>
          </cell>
          <cell r="P1799">
            <v>0</v>
          </cell>
          <cell r="Q1799">
            <v>0</v>
          </cell>
          <cell r="R1799">
            <v>0</v>
          </cell>
        </row>
        <row r="1800">
          <cell r="O1800">
            <v>0</v>
          </cell>
          <cell r="P1800">
            <v>0</v>
          </cell>
          <cell r="Q1800">
            <v>0</v>
          </cell>
          <cell r="R1800">
            <v>0</v>
          </cell>
        </row>
        <row r="1801">
          <cell r="O1801">
            <v>0</v>
          </cell>
          <cell r="P1801">
            <v>0</v>
          </cell>
          <cell r="Q1801">
            <v>0</v>
          </cell>
          <cell r="R1801">
            <v>0</v>
          </cell>
        </row>
        <row r="1802">
          <cell r="O1802">
            <v>0</v>
          </cell>
          <cell r="P1802">
            <v>0</v>
          </cell>
          <cell r="Q1802">
            <v>0</v>
          </cell>
          <cell r="R1802">
            <v>0</v>
          </cell>
        </row>
        <row r="1804">
          <cell r="O1804">
            <v>0</v>
          </cell>
          <cell r="P1804">
            <v>0</v>
          </cell>
          <cell r="Q1804">
            <v>0</v>
          </cell>
          <cell r="R1804">
            <v>0</v>
          </cell>
        </row>
        <row r="1805">
          <cell r="O1805">
            <v>0</v>
          </cell>
          <cell r="P1805">
            <v>0</v>
          </cell>
          <cell r="Q1805">
            <v>0</v>
          </cell>
          <cell r="R1805">
            <v>0</v>
          </cell>
        </row>
        <row r="1806">
          <cell r="O1806">
            <v>0</v>
          </cell>
          <cell r="P1806">
            <v>0</v>
          </cell>
          <cell r="Q1806">
            <v>0</v>
          </cell>
          <cell r="R1806">
            <v>0</v>
          </cell>
        </row>
        <row r="1807">
          <cell r="O1807">
            <v>0</v>
          </cell>
          <cell r="P1807">
            <v>0</v>
          </cell>
          <cell r="Q1807">
            <v>0</v>
          </cell>
          <cell r="R1807">
            <v>0</v>
          </cell>
        </row>
        <row r="1809">
          <cell r="O1809">
            <v>0</v>
          </cell>
          <cell r="P1809">
            <v>0</v>
          </cell>
          <cell r="Q1809">
            <v>0</v>
          </cell>
          <cell r="R1809">
            <v>0</v>
          </cell>
        </row>
        <row r="1810">
          <cell r="O1810">
            <v>0</v>
          </cell>
          <cell r="P1810">
            <v>0</v>
          </cell>
          <cell r="Q1810">
            <v>0</v>
          </cell>
          <cell r="R1810">
            <v>0</v>
          </cell>
        </row>
        <row r="1811">
          <cell r="O1811">
            <v>0</v>
          </cell>
          <cell r="P1811">
            <v>0</v>
          </cell>
          <cell r="Q1811">
            <v>0</v>
          </cell>
          <cell r="R1811">
            <v>0</v>
          </cell>
        </row>
        <row r="1812">
          <cell r="O1812">
            <v>0</v>
          </cell>
          <cell r="P1812">
            <v>0</v>
          </cell>
          <cell r="Q1812">
            <v>0</v>
          </cell>
          <cell r="R1812">
            <v>0</v>
          </cell>
        </row>
        <row r="1813">
          <cell r="O1813">
            <v>0</v>
          </cell>
          <cell r="P1813">
            <v>0</v>
          </cell>
          <cell r="Q1813">
            <v>0</v>
          </cell>
          <cell r="R1813">
            <v>0</v>
          </cell>
        </row>
        <row r="1814">
          <cell r="O1814">
            <v>0</v>
          </cell>
          <cell r="P1814">
            <v>0</v>
          </cell>
          <cell r="Q1814">
            <v>0</v>
          </cell>
          <cell r="R1814">
            <v>0</v>
          </cell>
        </row>
        <row r="1816">
          <cell r="O1816">
            <v>0</v>
          </cell>
          <cell r="P1816">
            <v>0</v>
          </cell>
          <cell r="Q1816">
            <v>0</v>
          </cell>
          <cell r="R1816">
            <v>0</v>
          </cell>
        </row>
        <row r="1817">
          <cell r="O1817">
            <v>0</v>
          </cell>
          <cell r="P1817">
            <v>0</v>
          </cell>
          <cell r="Q1817">
            <v>0</v>
          </cell>
          <cell r="R1817">
            <v>0</v>
          </cell>
        </row>
        <row r="1819">
          <cell r="B1819">
            <v>19</v>
          </cell>
          <cell r="O1819">
            <v>16997.936119999998</v>
          </cell>
          <cell r="P1819">
            <v>11622.45</v>
          </cell>
          <cell r="Q1819">
            <v>11622.45</v>
          </cell>
          <cell r="R1819">
            <v>0</v>
          </cell>
        </row>
      </sheetData>
      <sheetData sheetId="27"/>
      <sheetData sheetId="28">
        <row r="12">
          <cell r="O12" t="str">
            <v>FINAL</v>
          </cell>
          <cell r="P12" t="str">
            <v>TOTAL</v>
          </cell>
          <cell r="Q12" t="str">
            <v>TOTAL</v>
          </cell>
          <cell r="R12" t="str">
            <v>TOTAL</v>
          </cell>
        </row>
        <row r="13">
          <cell r="P13" t="str">
            <v>MONTHLY</v>
          </cell>
          <cell r="Q13" t="str">
            <v>MONTHLY</v>
          </cell>
          <cell r="R13" t="str">
            <v>MONTHLY</v>
          </cell>
        </row>
        <row r="14">
          <cell r="O14" t="str">
            <v>CPC</v>
          </cell>
          <cell r="P14" t="str">
            <v>VOLUME</v>
          </cell>
          <cell r="Q14" t="str">
            <v>REVENUE</v>
          </cell>
          <cell r="R14" t="str">
            <v>COST</v>
          </cell>
        </row>
        <row r="15">
          <cell r="O15">
            <v>2.0606949999999999E-2</v>
          </cell>
          <cell r="P15">
            <v>1000</v>
          </cell>
          <cell r="Q15">
            <v>20.606949999999998</v>
          </cell>
          <cell r="R15">
            <v>12.99</v>
          </cell>
        </row>
        <row r="16">
          <cell r="O16">
            <v>1.6666719999999999E-2</v>
          </cell>
          <cell r="P16">
            <v>3800</v>
          </cell>
          <cell r="Q16">
            <v>63.333535999999995</v>
          </cell>
          <cell r="R16">
            <v>31.69</v>
          </cell>
        </row>
        <row r="17">
          <cell r="O17">
            <v>2.1612869999999999E-2</v>
          </cell>
          <cell r="P17">
            <v>2500</v>
          </cell>
          <cell r="Q17">
            <v>54.032174999999995</v>
          </cell>
          <cell r="R17">
            <v>25.11</v>
          </cell>
        </row>
        <row r="18">
          <cell r="O18">
            <v>1.9384120000000001E-2</v>
          </cell>
          <cell r="P18">
            <v>1200</v>
          </cell>
          <cell r="Q18">
            <v>23.260944000000002</v>
          </cell>
          <cell r="R18">
            <v>14.65</v>
          </cell>
        </row>
        <row r="19">
          <cell r="O19">
            <v>1.6708319999999999E-2</v>
          </cell>
          <cell r="P19">
            <v>3000</v>
          </cell>
          <cell r="Q19">
            <v>50.124959999999994</v>
          </cell>
          <cell r="R19">
            <v>30.31</v>
          </cell>
        </row>
        <row r="20">
          <cell r="O20">
            <v>2.0299999999999999E-2</v>
          </cell>
          <cell r="P20">
            <v>3000</v>
          </cell>
          <cell r="Q20">
            <v>60.9</v>
          </cell>
          <cell r="R20">
            <v>32.08</v>
          </cell>
        </row>
        <row r="21">
          <cell r="O21">
            <v>0</v>
          </cell>
          <cell r="P21">
            <v>0</v>
          </cell>
          <cell r="Q21">
            <v>0</v>
          </cell>
          <cell r="R21">
            <v>0</v>
          </cell>
        </row>
        <row r="22">
          <cell r="O22">
            <v>1.798013E-2</v>
          </cell>
          <cell r="P22">
            <v>1400</v>
          </cell>
          <cell r="Q22">
            <v>25.172181999999999</v>
          </cell>
          <cell r="R22">
            <v>14.99</v>
          </cell>
        </row>
        <row r="23">
          <cell r="O23">
            <v>1.453809E-2</v>
          </cell>
          <cell r="P23">
            <v>5300</v>
          </cell>
          <cell r="Q23">
            <v>77.051877000000005</v>
          </cell>
          <cell r="R23">
            <v>37.18</v>
          </cell>
        </row>
        <row r="24">
          <cell r="O24">
            <v>1.8848959999999998E-2</v>
          </cell>
          <cell r="P24">
            <v>5200</v>
          </cell>
          <cell r="Q24">
            <v>98.014591999999993</v>
          </cell>
          <cell r="R24">
            <v>39.75</v>
          </cell>
        </row>
        <row r="25">
          <cell r="O25">
            <v>0</v>
          </cell>
          <cell r="P25">
            <v>0</v>
          </cell>
          <cell r="Q25">
            <v>0</v>
          </cell>
          <cell r="R25">
            <v>0</v>
          </cell>
        </row>
        <row r="26">
          <cell r="O26">
            <v>1.5900500000000001E-2</v>
          </cell>
          <cell r="P26">
            <v>2100</v>
          </cell>
          <cell r="Q26">
            <v>33.39105</v>
          </cell>
          <cell r="R26">
            <v>18.440000000000001</v>
          </cell>
        </row>
        <row r="27">
          <cell r="O27">
            <v>1.28898E-2</v>
          </cell>
          <cell r="P27">
            <v>7800</v>
          </cell>
          <cell r="Q27">
            <v>100.54044</v>
          </cell>
          <cell r="R27">
            <v>44.11</v>
          </cell>
        </row>
        <row r="28">
          <cell r="O28">
            <v>1.6220979999999999E-2</v>
          </cell>
          <cell r="P28">
            <v>6500</v>
          </cell>
          <cell r="Q28">
            <v>105.43637</v>
          </cell>
          <cell r="R28">
            <v>41.96</v>
          </cell>
        </row>
        <row r="29">
          <cell r="O29">
            <v>0</v>
          </cell>
          <cell r="P29">
            <v>0</v>
          </cell>
          <cell r="Q29">
            <v>0</v>
          </cell>
          <cell r="R29">
            <v>0</v>
          </cell>
        </row>
        <row r="30">
          <cell r="O30">
            <v>1.32748E-2</v>
          </cell>
          <cell r="P30">
            <v>2800</v>
          </cell>
          <cell r="Q30">
            <v>37.169440000000002</v>
          </cell>
          <cell r="R30">
            <v>21.29</v>
          </cell>
        </row>
        <row r="31">
          <cell r="O31">
            <v>1.07492E-2</v>
          </cell>
          <cell r="P31">
            <v>10500</v>
          </cell>
          <cell r="Q31">
            <v>112.86660000000001</v>
          </cell>
          <cell r="R31">
            <v>57.47</v>
          </cell>
        </row>
        <row r="32">
          <cell r="O32">
            <v>1.34994E-2</v>
          </cell>
          <cell r="P32">
            <v>6500</v>
          </cell>
          <cell r="Q32">
            <v>87.746099999999998</v>
          </cell>
          <cell r="R32">
            <v>40.83</v>
          </cell>
        </row>
        <row r="33">
          <cell r="O33">
            <v>1.7346070000000002E-2</v>
          </cell>
          <cell r="P33">
            <v>2000</v>
          </cell>
          <cell r="Q33">
            <v>34.692140000000002</v>
          </cell>
          <cell r="R33">
            <v>21.97</v>
          </cell>
        </row>
        <row r="34">
          <cell r="O34">
            <v>1.4987679999999998E-2</v>
          </cell>
          <cell r="P34">
            <v>5000</v>
          </cell>
          <cell r="Q34">
            <v>74.938399999999987</v>
          </cell>
          <cell r="R34">
            <v>40.619999999999997</v>
          </cell>
        </row>
        <row r="35">
          <cell r="O35">
            <v>1.8169309999999998E-2</v>
          </cell>
          <cell r="P35">
            <v>5000</v>
          </cell>
          <cell r="Q35">
            <v>90.846549999999993</v>
          </cell>
          <cell r="R35">
            <v>42.230000000000004</v>
          </cell>
        </row>
        <row r="36">
          <cell r="O36">
            <v>1.5172150000000002E-2</v>
          </cell>
          <cell r="P36">
            <v>2400</v>
          </cell>
          <cell r="Q36">
            <v>36.413160000000005</v>
          </cell>
          <cell r="R36">
            <v>25.25</v>
          </cell>
        </row>
        <row r="37">
          <cell r="O37">
            <v>1.3131200000000001E-2</v>
          </cell>
          <cell r="P37">
            <v>6000</v>
          </cell>
          <cell r="Q37">
            <v>78.787199999999999</v>
          </cell>
          <cell r="R37">
            <v>49.83</v>
          </cell>
        </row>
        <row r="38">
          <cell r="O38">
            <v>1.5903810000000001E-2</v>
          </cell>
          <cell r="P38">
            <v>6000</v>
          </cell>
          <cell r="Q38">
            <v>95.42286</v>
          </cell>
          <cell r="R38">
            <v>48.56</v>
          </cell>
        </row>
        <row r="40">
          <cell r="O40">
            <v>1.1727100000000001E-2</v>
          </cell>
          <cell r="P40">
            <v>4000</v>
          </cell>
          <cell r="Q40">
            <v>46.9084</v>
          </cell>
          <cell r="R40">
            <v>23.23</v>
          </cell>
        </row>
        <row r="41">
          <cell r="O41">
            <v>9.4941000000000001E-3</v>
          </cell>
          <cell r="P41">
            <v>15000</v>
          </cell>
          <cell r="Q41">
            <v>142.41149999999999</v>
          </cell>
          <cell r="R41">
            <v>61.63</v>
          </cell>
        </row>
        <row r="42">
          <cell r="O42">
            <v>1.19139E-2</v>
          </cell>
          <cell r="P42">
            <v>8800</v>
          </cell>
          <cell r="Q42">
            <v>104.84232</v>
          </cell>
          <cell r="R42">
            <v>44.51</v>
          </cell>
        </row>
        <row r="43">
          <cell r="O43">
            <v>9.8819399999999988E-3</v>
          </cell>
          <cell r="P43">
            <v>4800</v>
          </cell>
          <cell r="Q43">
            <v>47.433311999999994</v>
          </cell>
          <cell r="R43">
            <v>27.61</v>
          </cell>
        </row>
        <row r="44">
          <cell r="O44">
            <v>7.9738500000000011E-3</v>
          </cell>
          <cell r="P44">
            <v>18000</v>
          </cell>
          <cell r="Q44">
            <v>143.52930000000001</v>
          </cell>
          <cell r="R44">
            <v>70.2</v>
          </cell>
        </row>
        <row r="45">
          <cell r="O45">
            <v>1.0396600000000001E-2</v>
          </cell>
          <cell r="P45">
            <v>12000</v>
          </cell>
          <cell r="Q45">
            <v>124.75920000000001</v>
          </cell>
          <cell r="R45">
            <v>56.769999999999996</v>
          </cell>
        </row>
        <row r="46">
          <cell r="O46">
            <v>9.4999999999999998E-3</v>
          </cell>
          <cell r="P46">
            <v>7800</v>
          </cell>
          <cell r="Q46">
            <v>74.099999999999994</v>
          </cell>
          <cell r="R46">
            <v>47.54</v>
          </cell>
        </row>
        <row r="47">
          <cell r="O47">
            <v>7.7000000000000002E-3</v>
          </cell>
          <cell r="P47">
            <v>29300</v>
          </cell>
          <cell r="Q47">
            <v>225.61</v>
          </cell>
          <cell r="R47">
            <v>123.09</v>
          </cell>
        </row>
        <row r="48">
          <cell r="O48">
            <v>9.4906899999999995E-3</v>
          </cell>
          <cell r="P48">
            <v>19500</v>
          </cell>
          <cell r="Q48">
            <v>185.068455</v>
          </cell>
          <cell r="R48">
            <v>93.82</v>
          </cell>
        </row>
        <row r="49">
          <cell r="O49">
            <v>9.1999999999999998E-3</v>
          </cell>
          <cell r="P49">
            <v>7800</v>
          </cell>
          <cell r="Q49">
            <v>71.760000000000005</v>
          </cell>
          <cell r="R49">
            <v>47.99</v>
          </cell>
        </row>
        <row r="50">
          <cell r="O50">
            <v>7.4999999999999997E-3</v>
          </cell>
          <cell r="P50">
            <v>29300</v>
          </cell>
          <cell r="Q50">
            <v>219.75</v>
          </cell>
          <cell r="R50">
            <v>122.7</v>
          </cell>
        </row>
        <row r="51">
          <cell r="O51">
            <v>9.2527399999999989E-3</v>
          </cell>
          <cell r="P51">
            <v>26500</v>
          </cell>
          <cell r="Q51">
            <v>245.19760999999997</v>
          </cell>
          <cell r="R51">
            <v>120.78</v>
          </cell>
        </row>
        <row r="52">
          <cell r="O52">
            <v>6.1000000000000004E-3</v>
          </cell>
          <cell r="P52">
            <v>34000</v>
          </cell>
          <cell r="Q52">
            <v>207.4</v>
          </cell>
          <cell r="R52">
            <v>127.36</v>
          </cell>
        </row>
        <row r="53">
          <cell r="O53">
            <v>5.4000000000000003E-3</v>
          </cell>
          <cell r="P53">
            <v>127500</v>
          </cell>
          <cell r="Q53">
            <v>688.5</v>
          </cell>
          <cell r="R53">
            <v>353.55</v>
          </cell>
        </row>
        <row r="54">
          <cell r="O54">
            <v>6.744E-3</v>
          </cell>
          <cell r="P54">
            <v>100000</v>
          </cell>
          <cell r="Q54">
            <v>674.4</v>
          </cell>
          <cell r="R54">
            <v>300.95999999999998</v>
          </cell>
        </row>
        <row r="55">
          <cell r="O55">
            <v>5.5999999999999999E-3</v>
          </cell>
          <cell r="P55">
            <v>46000</v>
          </cell>
          <cell r="Q55">
            <v>257.60000000000002</v>
          </cell>
          <cell r="R55">
            <v>173.87</v>
          </cell>
        </row>
        <row r="56">
          <cell r="O56">
            <v>4.8999999999999998E-3</v>
          </cell>
          <cell r="P56">
            <v>172500</v>
          </cell>
          <cell r="Q56">
            <v>845.25</v>
          </cell>
          <cell r="R56">
            <v>486.52</v>
          </cell>
        </row>
        <row r="57">
          <cell r="O57">
            <v>6.30936E-3</v>
          </cell>
          <cell r="P57">
            <v>200000</v>
          </cell>
          <cell r="Q57">
            <v>1261.8720000000001</v>
          </cell>
          <cell r="R57">
            <v>565.26</v>
          </cell>
        </row>
        <row r="58">
          <cell r="O58">
            <v>5.1000000000000004E-3</v>
          </cell>
          <cell r="P58">
            <v>50000</v>
          </cell>
          <cell r="Q58">
            <v>255.00000000000003</v>
          </cell>
          <cell r="R58">
            <v>224.73</v>
          </cell>
        </row>
        <row r="59">
          <cell r="O59">
            <v>4.5999999999999999E-3</v>
          </cell>
          <cell r="P59">
            <v>187500</v>
          </cell>
          <cell r="Q59">
            <v>862.5</v>
          </cell>
          <cell r="R59">
            <v>608.11</v>
          </cell>
        </row>
        <row r="60">
          <cell r="O60">
            <v>5.8470400000000004E-3</v>
          </cell>
          <cell r="P60">
            <v>320000</v>
          </cell>
          <cell r="Q60">
            <v>1871.0528000000002</v>
          </cell>
          <cell r="R60">
            <v>943.31999999999994</v>
          </cell>
        </row>
        <row r="63">
          <cell r="O63" t="str">
            <v>Aggregate CPC</v>
          </cell>
          <cell r="P63" t="str">
            <v>MONTHLY TOTALS</v>
          </cell>
        </row>
        <row r="64">
          <cell r="O64">
            <v>6.4999999999999997E-3</v>
          </cell>
          <cell r="P64">
            <v>1504500</v>
          </cell>
          <cell r="Q64">
            <v>9831.7519370000009</v>
          </cell>
          <cell r="R64">
            <v>5270.1799999999994</v>
          </cell>
        </row>
        <row r="65">
          <cell r="P65" t="str">
            <v/>
          </cell>
          <cell r="Q65" t="str">
            <v/>
          </cell>
          <cell r="R65" t="str">
            <v/>
          </cell>
        </row>
        <row r="66">
          <cell r="O66" t="str">
            <v>FINAL</v>
          </cell>
          <cell r="P66" t="str">
            <v>TOTAL</v>
          </cell>
          <cell r="Q66" t="str">
            <v>TOTAL</v>
          </cell>
          <cell r="R66" t="str">
            <v>TOTAL</v>
          </cell>
        </row>
        <row r="67">
          <cell r="O67" t="str">
            <v>CUSTOMER</v>
          </cell>
          <cell r="P67" t="str">
            <v>MONTHLY</v>
          </cell>
          <cell r="Q67" t="str">
            <v>MONTHLY</v>
          </cell>
          <cell r="R67" t="str">
            <v>MONTHLY</v>
          </cell>
        </row>
        <row r="68">
          <cell r="O68" t="str">
            <v>CPC</v>
          </cell>
          <cell r="P68" t="str">
            <v>VOLUME</v>
          </cell>
          <cell r="Q68" t="str">
            <v>REVENUE</v>
          </cell>
          <cell r="R68" t="str">
            <v>COST</v>
          </cell>
        </row>
        <row r="69">
          <cell r="O69">
            <v>0.10258185</v>
          </cell>
          <cell r="P69">
            <v>300</v>
          </cell>
          <cell r="Q69">
            <v>30.774554999999999</v>
          </cell>
          <cell r="R69">
            <v>19.239999999999998</v>
          </cell>
        </row>
        <row r="70">
          <cell r="O70">
            <v>1.7738E-2</v>
          </cell>
          <cell r="P70">
            <v>1000</v>
          </cell>
          <cell r="Q70">
            <v>17.738</v>
          </cell>
          <cell r="R70">
            <v>16.47</v>
          </cell>
        </row>
        <row r="71">
          <cell r="P71">
            <v>1300</v>
          </cell>
          <cell r="Q71">
            <v>48.512554999999999</v>
          </cell>
          <cell r="R71">
            <v>35.709999999999994</v>
          </cell>
        </row>
        <row r="72">
          <cell r="O72">
            <v>0.10258185</v>
          </cell>
          <cell r="P72">
            <v>1200</v>
          </cell>
          <cell r="Q72">
            <v>123.09822</v>
          </cell>
          <cell r="R72">
            <v>55.26</v>
          </cell>
        </row>
        <row r="73">
          <cell r="O73">
            <v>1.7738E-2</v>
          </cell>
          <cell r="P73">
            <v>3700</v>
          </cell>
          <cell r="Q73">
            <v>65.630600000000001</v>
          </cell>
          <cell r="R73">
            <v>38.659999999999997</v>
          </cell>
        </row>
        <row r="74">
          <cell r="P74">
            <v>4900</v>
          </cell>
          <cell r="Q74">
            <v>188.72881999999998</v>
          </cell>
          <cell r="R74">
            <v>93.919999999999987</v>
          </cell>
        </row>
        <row r="75">
          <cell r="O75">
            <v>0.10258185</v>
          </cell>
          <cell r="P75">
            <v>4100</v>
          </cell>
          <cell r="Q75">
            <v>420.58558500000004</v>
          </cell>
          <cell r="R75">
            <v>167.6</v>
          </cell>
        </row>
        <row r="76">
          <cell r="O76">
            <v>1.1330499999999999E-2</v>
          </cell>
          <cell r="P76">
            <v>12400</v>
          </cell>
          <cell r="Q76">
            <v>140.49819999999997</v>
          </cell>
          <cell r="R76">
            <v>98.23</v>
          </cell>
        </row>
        <row r="77">
          <cell r="P77">
            <v>16500</v>
          </cell>
          <cell r="Q77">
            <v>561.08378500000003</v>
          </cell>
          <cell r="R77">
            <v>265.83</v>
          </cell>
        </row>
        <row r="78">
          <cell r="O78">
            <v>9.6648860000000003E-2</v>
          </cell>
          <cell r="P78">
            <v>1225</v>
          </cell>
          <cell r="Q78">
            <v>118.39485350000001</v>
          </cell>
          <cell r="R78">
            <v>54.069999999999993</v>
          </cell>
        </row>
        <row r="79">
          <cell r="O79">
            <v>1.543025E-2</v>
          </cell>
          <cell r="P79">
            <v>3675</v>
          </cell>
          <cell r="Q79">
            <v>56.706168749999996</v>
          </cell>
          <cell r="R79">
            <v>34.26</v>
          </cell>
        </row>
        <row r="80">
          <cell r="P80">
            <v>4900</v>
          </cell>
          <cell r="Q80">
            <v>175.10102225</v>
          </cell>
          <cell r="R80">
            <v>88.329999999999984</v>
          </cell>
        </row>
        <row r="81">
          <cell r="O81">
            <v>0.11313442</v>
          </cell>
          <cell r="P81">
            <v>500</v>
          </cell>
          <cell r="Q81">
            <v>56.567210000000003</v>
          </cell>
          <cell r="R81">
            <v>29.990000000000002</v>
          </cell>
        </row>
        <row r="82">
          <cell r="O82">
            <v>2.180408E-2</v>
          </cell>
          <cell r="P82">
            <v>2500</v>
          </cell>
          <cell r="Q82">
            <v>54.510199999999998</v>
          </cell>
          <cell r="R82">
            <v>36.480000000000004</v>
          </cell>
        </row>
        <row r="83">
          <cell r="P83">
            <v>3000</v>
          </cell>
          <cell r="Q83">
            <v>111.07741</v>
          </cell>
          <cell r="R83">
            <v>66.47</v>
          </cell>
        </row>
        <row r="84">
          <cell r="O84">
            <v>9.0016639999999995E-2</v>
          </cell>
          <cell r="P84">
            <v>1675</v>
          </cell>
          <cell r="Q84">
            <v>150.777872</v>
          </cell>
          <cell r="R84">
            <v>69.42</v>
          </cell>
        </row>
        <row r="85">
          <cell r="O85">
            <v>1.3322199999999999E-2</v>
          </cell>
          <cell r="P85">
            <v>5025</v>
          </cell>
          <cell r="Q85">
            <v>66.944054999999992</v>
          </cell>
          <cell r="R85">
            <v>42.239999999999995</v>
          </cell>
        </row>
        <row r="86">
          <cell r="P86">
            <v>6700</v>
          </cell>
          <cell r="Q86">
            <v>217.72192699999999</v>
          </cell>
          <cell r="R86">
            <v>111.66</v>
          </cell>
        </row>
        <row r="87">
          <cell r="O87">
            <v>1.5323808000000001E-2</v>
          </cell>
          <cell r="P87">
            <v>2625</v>
          </cell>
          <cell r="Q87">
            <v>40.224996000000004</v>
          </cell>
          <cell r="R87">
            <v>94.17</v>
          </cell>
        </row>
        <row r="88">
          <cell r="O88">
            <v>8.3424180000000001E-2</v>
          </cell>
          <cell r="P88">
            <v>7875</v>
          </cell>
          <cell r="Q88">
            <v>656.96541750000006</v>
          </cell>
          <cell r="R88">
            <v>56.69</v>
          </cell>
        </row>
        <row r="89">
          <cell r="P89">
            <v>10500</v>
          </cell>
          <cell r="Q89">
            <v>697.19041350000009</v>
          </cell>
          <cell r="R89">
            <v>150.86000000000001</v>
          </cell>
        </row>
        <row r="90">
          <cell r="O90">
            <v>7.839699E-2</v>
          </cell>
          <cell r="P90">
            <v>4000</v>
          </cell>
          <cell r="Q90">
            <v>313.58796000000001</v>
          </cell>
          <cell r="R90">
            <v>129.73000000000002</v>
          </cell>
        </row>
        <row r="91">
          <cell r="O91">
            <v>1.0255879999999998E-2</v>
          </cell>
          <cell r="P91">
            <v>12000</v>
          </cell>
          <cell r="Q91">
            <v>123.07055999999999</v>
          </cell>
          <cell r="R91">
            <v>76.13000000000001</v>
          </cell>
        </row>
        <row r="92">
          <cell r="P92">
            <v>16000</v>
          </cell>
          <cell r="Q92">
            <v>436.65852000000001</v>
          </cell>
          <cell r="R92">
            <v>205.86</v>
          </cell>
        </row>
        <row r="93">
          <cell r="O93">
            <v>7.6857129999999996E-2</v>
          </cell>
          <cell r="P93">
            <v>4875</v>
          </cell>
          <cell r="Q93">
            <v>374.67850874999999</v>
          </cell>
          <cell r="R93">
            <v>119.74</v>
          </cell>
        </row>
        <row r="94">
          <cell r="O94">
            <v>1.01019E-2</v>
          </cell>
          <cell r="P94">
            <v>14625</v>
          </cell>
          <cell r="Q94">
            <v>147.74028749999999</v>
          </cell>
          <cell r="R94">
            <v>83.41</v>
          </cell>
        </row>
        <row r="95">
          <cell r="P95">
            <v>19500</v>
          </cell>
          <cell r="Q95">
            <v>522.41879625000001</v>
          </cell>
          <cell r="R95">
            <v>203.14999999999998</v>
          </cell>
        </row>
        <row r="96">
          <cell r="O96">
            <v>7.5045529999999999E-2</v>
          </cell>
          <cell r="P96">
            <v>6625</v>
          </cell>
          <cell r="Q96">
            <v>497.17663625</v>
          </cell>
          <cell r="R96">
            <v>153.82</v>
          </cell>
        </row>
        <row r="97">
          <cell r="O97">
            <v>9.8056399999999991E-3</v>
          </cell>
          <cell r="P97">
            <v>19875</v>
          </cell>
          <cell r="Q97">
            <v>194.88709499999999</v>
          </cell>
          <cell r="R97">
            <v>115.11</v>
          </cell>
        </row>
        <row r="98">
          <cell r="P98">
            <v>26500</v>
          </cell>
          <cell r="Q98">
            <v>692.06373125000005</v>
          </cell>
          <cell r="R98">
            <v>268.93</v>
          </cell>
        </row>
        <row r="99">
          <cell r="O99">
            <v>0.05</v>
          </cell>
          <cell r="P99">
            <v>28000</v>
          </cell>
          <cell r="Q99">
            <v>1400</v>
          </cell>
          <cell r="R99">
            <v>757.18</v>
          </cell>
        </row>
        <row r="100">
          <cell r="O100">
            <v>1.37E-2</v>
          </cell>
          <cell r="P100">
            <v>12000</v>
          </cell>
          <cell r="Q100">
            <v>164.4</v>
          </cell>
          <cell r="R100">
            <v>118.44</v>
          </cell>
        </row>
        <row r="101">
          <cell r="P101">
            <v>40000</v>
          </cell>
          <cell r="Q101">
            <v>1564.4</v>
          </cell>
          <cell r="R101">
            <v>875.61999999999989</v>
          </cell>
        </row>
        <row r="102">
          <cell r="O102">
            <v>0</v>
          </cell>
          <cell r="P102">
            <v>0</v>
          </cell>
          <cell r="Q102">
            <v>0</v>
          </cell>
          <cell r="R102">
            <v>0</v>
          </cell>
        </row>
        <row r="103">
          <cell r="O103">
            <v>0</v>
          </cell>
          <cell r="P103">
            <v>0</v>
          </cell>
          <cell r="Q103">
            <v>0</v>
          </cell>
          <cell r="R103">
            <v>0</v>
          </cell>
        </row>
        <row r="104">
          <cell r="P104">
            <v>0</v>
          </cell>
          <cell r="Q104">
            <v>0</v>
          </cell>
          <cell r="R104">
            <v>0</v>
          </cell>
        </row>
        <row r="105">
          <cell r="O105">
            <v>4.7E-2</v>
          </cell>
          <cell r="P105">
            <v>45000</v>
          </cell>
          <cell r="Q105">
            <v>2115</v>
          </cell>
          <cell r="R105">
            <v>1117.28</v>
          </cell>
        </row>
        <row r="106">
          <cell r="O106">
            <v>1.23E-2</v>
          </cell>
          <cell r="P106">
            <v>15000</v>
          </cell>
          <cell r="Q106">
            <v>184.5</v>
          </cell>
          <cell r="R106">
            <v>124.81</v>
          </cell>
        </row>
        <row r="107">
          <cell r="P107">
            <v>60000</v>
          </cell>
          <cell r="Q107">
            <v>2299.5</v>
          </cell>
          <cell r="R107">
            <v>1242.0899999999999</v>
          </cell>
        </row>
        <row r="108">
          <cell r="O108" t="e">
            <v>#VALUE!</v>
          </cell>
          <cell r="P108">
            <v>85000</v>
          </cell>
          <cell r="Q108" t="e">
            <v>#VALUE!</v>
          </cell>
          <cell r="R108" t="e">
            <v>#VALUE!</v>
          </cell>
        </row>
        <row r="109">
          <cell r="O109" t="e">
            <v>#VALUE!</v>
          </cell>
          <cell r="P109">
            <v>15000</v>
          </cell>
          <cell r="Q109" t="e">
            <v>#VALUE!</v>
          </cell>
          <cell r="R109" t="e">
            <v>#VALUE!</v>
          </cell>
        </row>
        <row r="110">
          <cell r="P110">
            <v>100000</v>
          </cell>
          <cell r="Q110" t="e">
            <v>#VALUE!</v>
          </cell>
          <cell r="R110" t="e">
            <v>#VALUE!</v>
          </cell>
        </row>
        <row r="111">
          <cell r="O111">
            <v>0</v>
          </cell>
          <cell r="P111">
            <v>0</v>
          </cell>
          <cell r="Q111">
            <v>0</v>
          </cell>
          <cell r="R111">
            <v>0</v>
          </cell>
        </row>
        <row r="112">
          <cell r="O112">
            <v>0</v>
          </cell>
          <cell r="P112">
            <v>0</v>
          </cell>
          <cell r="Q112">
            <v>0</v>
          </cell>
          <cell r="R112">
            <v>0</v>
          </cell>
        </row>
        <row r="113">
          <cell r="P113">
            <v>0</v>
          </cell>
          <cell r="Q113">
            <v>0</v>
          </cell>
          <cell r="R113">
            <v>0</v>
          </cell>
        </row>
        <row r="116">
          <cell r="O116" t="str">
            <v>Aggregate CPC</v>
          </cell>
          <cell r="P116" t="str">
            <v>MONTHLY TOTALS</v>
          </cell>
        </row>
        <row r="117">
          <cell r="O117" t="e">
            <v>#VALUE!</v>
          </cell>
          <cell r="P117">
            <v>183625</v>
          </cell>
          <cell r="Q117" t="e">
            <v>#VALUE!</v>
          </cell>
          <cell r="R117" t="e">
            <v>#VALUE!</v>
          </cell>
        </row>
        <row r="118">
          <cell r="O118" t="e">
            <v>#VALUE!</v>
          </cell>
          <cell r="P118">
            <v>119975</v>
          </cell>
          <cell r="Q118" t="e">
            <v>#VALUE!</v>
          </cell>
          <cell r="R118" t="e">
            <v>#VALUE!</v>
          </cell>
        </row>
        <row r="119">
          <cell r="O119" t="str">
            <v>--</v>
          </cell>
          <cell r="P119">
            <v>303600</v>
          </cell>
          <cell r="Q119" t="e">
            <v>#VALUE!</v>
          </cell>
          <cell r="R119" t="e">
            <v>#VALUE!</v>
          </cell>
        </row>
        <row r="123">
          <cell r="O123" t="str">
            <v>Aggregate CPC</v>
          </cell>
          <cell r="P123" t="str">
            <v>MONTHLY TOTALS</v>
          </cell>
        </row>
        <row r="124">
          <cell r="O124" t="e">
            <v>#VALUE!</v>
          </cell>
          <cell r="P124">
            <v>1624475</v>
          </cell>
          <cell r="Q124" t="e">
            <v>#VALUE!</v>
          </cell>
          <cell r="R124" t="e">
            <v>#VALUE!</v>
          </cell>
        </row>
        <row r="125">
          <cell r="O125" t="str">
            <v>--</v>
          </cell>
          <cell r="P125">
            <v>183625</v>
          </cell>
          <cell r="Q125" t="e">
            <v>#VALUE!</v>
          </cell>
          <cell r="R125" t="e">
            <v>#VALUE!</v>
          </cell>
        </row>
        <row r="126">
          <cell r="O126" t="str">
            <v>--</v>
          </cell>
          <cell r="P126">
            <v>1808100</v>
          </cell>
          <cell r="Q126" t="e">
            <v>#VALUE!</v>
          </cell>
          <cell r="R126" t="e">
            <v>#VALUE!</v>
          </cell>
        </row>
      </sheetData>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sor TCO"/>
      <sheetName val="TCO"/>
      <sheetName val="TCO Data"/>
      <sheetName val="TCO Data old"/>
      <sheetName val="SUMMARY"/>
      <sheetName val="Config Template"/>
      <sheetName val=" Price Chart"/>
      <sheetName val="bizhub 20"/>
      <sheetName val="C35P"/>
      <sheetName val="BIZHUB 3300"/>
      <sheetName val="BIZHUB 4000P"/>
      <sheetName val="BIZHUB 4700P"/>
      <sheetName val="BIZHUB 25"/>
      <sheetName val="BIZHUB 36"/>
      <sheetName val="BIZHUB 42"/>
      <sheetName val="BIZHUB 215"/>
      <sheetName val="BIZHUB 223"/>
      <sheetName val="BIZHUB 283"/>
      <sheetName val="BIZHUB 363"/>
      <sheetName val="BIZHUB 423"/>
      <sheetName val="BIZHUB 501"/>
      <sheetName val="BIZHUB 552"/>
      <sheetName val="BIZHUB 654"/>
      <sheetName val="BIZHUB 754"/>
      <sheetName val="BIZHUB C25"/>
      <sheetName val="BIZHUB C35"/>
      <sheetName val="BIZHUB C224"/>
      <sheetName val="BIZHUB C284"/>
      <sheetName val="BIZHUB C364"/>
      <sheetName val="BIZHUB C454"/>
      <sheetName val="BIZHUB C554"/>
      <sheetName val="BIZHUB C654"/>
      <sheetName val="BIZHUB C754"/>
      <sheetName val="BIZHUB 951"/>
      <sheetName val="BIZHUB 1052"/>
      <sheetName val="BIZHUB 1250"/>
      <sheetName val="BIZHUB 1250p"/>
      <sheetName val="c6000"/>
      <sheetName val="c6000l"/>
      <sheetName val="c7000"/>
      <sheetName val="c7000p"/>
      <sheetName val="c8000"/>
      <sheetName val="Attachment Ratio"/>
      <sheetName val="Tables"/>
      <sheetName val="Sheet3"/>
      <sheetName val="Directtable9172013"/>
      <sheetName val="Sheet5"/>
      <sheetName val="oRIGINAL"/>
      <sheetName val="Price Table Configs"/>
      <sheetName val="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
          <cell r="C2" t="str">
            <v>A3PE011</v>
          </cell>
          <cell r="D2" t="str">
            <v>BIZHUB 215</v>
          </cell>
          <cell r="E2">
            <v>395</v>
          </cell>
        </row>
        <row r="3">
          <cell r="C3">
            <v>7640013463</v>
          </cell>
          <cell r="D3" t="str">
            <v>CONVENIENCE STAPLER CS-1</v>
          </cell>
          <cell r="E3">
            <v>3</v>
          </cell>
          <cell r="F3">
            <v>7.5949367088600003E-3</v>
          </cell>
        </row>
        <row r="4">
          <cell r="C4">
            <v>7640014723</v>
          </cell>
          <cell r="D4" t="str">
            <v>INNOVOLT POWER MANAGER 15AMP</v>
          </cell>
          <cell r="E4">
            <v>197</v>
          </cell>
          <cell r="F4">
            <v>0.49873417721518998</v>
          </cell>
        </row>
        <row r="5">
          <cell r="C5">
            <v>7640017023</v>
          </cell>
          <cell r="D5" t="str">
            <v>DK-707 COPY DESK</v>
          </cell>
          <cell r="E5">
            <v>170</v>
          </cell>
          <cell r="F5">
            <v>0.43037974683544</v>
          </cell>
        </row>
        <row r="6">
          <cell r="C6">
            <v>7640017520</v>
          </cell>
          <cell r="D6" t="str">
            <v>DK-708 COPY DESK (SMALL)</v>
          </cell>
          <cell r="E6">
            <v>26</v>
          </cell>
          <cell r="F6">
            <v>6.582278481013E-2</v>
          </cell>
        </row>
        <row r="7">
          <cell r="C7" t="str">
            <v>A3JHWY1</v>
          </cell>
          <cell r="D7" t="str">
            <v>DF-625 ADFR</v>
          </cell>
          <cell r="E7">
            <v>377</v>
          </cell>
          <cell r="F7">
            <v>0.95443037974683997</v>
          </cell>
        </row>
        <row r="8">
          <cell r="C8" t="str">
            <v>A3PFWY1</v>
          </cell>
          <cell r="D8" t="str">
            <v>PF-507 PAPER CASSETTE (250-SHEET)</v>
          </cell>
          <cell r="E8">
            <v>365</v>
          </cell>
          <cell r="F8">
            <v>0.92405063291139</v>
          </cell>
        </row>
        <row r="9">
          <cell r="C9" t="str">
            <v>A3PGWY1</v>
          </cell>
          <cell r="D9" t="str">
            <v>AD-509 DUPLEX UNIT</v>
          </cell>
          <cell r="E9">
            <v>270</v>
          </cell>
          <cell r="F9">
            <v>0.68354430379747</v>
          </cell>
        </row>
        <row r="10">
          <cell r="C10" t="str">
            <v>A3PHWY1</v>
          </cell>
          <cell r="D10" t="str">
            <v>MB-505 BYPASS TRAY (100-SHEET)</v>
          </cell>
          <cell r="E10">
            <v>168</v>
          </cell>
          <cell r="F10">
            <v>0.42531645569620002</v>
          </cell>
        </row>
        <row r="11">
          <cell r="C11" t="str">
            <v>A4M1WY1</v>
          </cell>
          <cell r="D11" t="str">
            <v>IC-209 IMAGE CONTROLLER PCL/NIC</v>
          </cell>
          <cell r="E11">
            <v>197</v>
          </cell>
          <cell r="F11">
            <v>0.49873417721518998</v>
          </cell>
        </row>
        <row r="12">
          <cell r="C12" t="str">
            <v>A4M2011</v>
          </cell>
          <cell r="D12" t="str">
            <v>FK-510 FAX KIT</v>
          </cell>
          <cell r="E12">
            <v>252</v>
          </cell>
          <cell r="F12">
            <v>0.63797468354429998</v>
          </cell>
        </row>
        <row r="13">
          <cell r="C13" t="str">
            <v>A4M3WY1</v>
          </cell>
          <cell r="D13" t="str">
            <v>NC-504 NETWORK CARD - NIC</v>
          </cell>
          <cell r="E13">
            <v>112</v>
          </cell>
          <cell r="F13">
            <v>0.28354430379746998</v>
          </cell>
        </row>
        <row r="14">
          <cell r="C14" t="str">
            <v>A4M4WY1</v>
          </cell>
          <cell r="D14" t="str">
            <v>OC-512 ORIGINAL COVER</v>
          </cell>
          <cell r="E14">
            <v>14</v>
          </cell>
          <cell r="F14">
            <v>3.544303797468E-2</v>
          </cell>
        </row>
        <row r="15">
          <cell r="C15" t="str">
            <v>A4M6WY1</v>
          </cell>
          <cell r="D15" t="str">
            <v>MK-733 OPTIONAL PANEL</v>
          </cell>
          <cell r="E15">
            <v>214</v>
          </cell>
          <cell r="F15">
            <v>0.54177215189872996</v>
          </cell>
        </row>
        <row r="16">
          <cell r="C16" t="str">
            <v>A1UG011</v>
          </cell>
          <cell r="D16" t="str">
            <v>BIZHUB 223</v>
          </cell>
          <cell r="E16">
            <v>3368</v>
          </cell>
        </row>
        <row r="17">
          <cell r="C17">
            <v>4614506</v>
          </cell>
          <cell r="D17" t="str">
            <v>SP-501 STAMP UNIT</v>
          </cell>
          <cell r="E17">
            <v>5</v>
          </cell>
          <cell r="F17">
            <v>1.4845605700700001E-3</v>
          </cell>
        </row>
        <row r="18">
          <cell r="C18">
            <v>4614511</v>
          </cell>
          <cell r="D18" t="str">
            <v>SPARE TX MARKER STAMP 2</v>
          </cell>
          <cell r="E18">
            <v>4</v>
          </cell>
          <cell r="F18">
            <v>1.18764845606E-3</v>
          </cell>
        </row>
        <row r="19">
          <cell r="C19">
            <v>4623472</v>
          </cell>
          <cell r="D19" t="str">
            <v>*KEY COUNTER ATTACHMENT KIT</v>
          </cell>
          <cell r="E19">
            <v>0</v>
          </cell>
          <cell r="F19">
            <v>0</v>
          </cell>
        </row>
        <row r="20">
          <cell r="C20">
            <v>7640005064</v>
          </cell>
          <cell r="D20" t="str">
            <v>AU-201H HID CARD AUTHENTICATION UNIT</v>
          </cell>
          <cell r="E20">
            <v>120</v>
          </cell>
          <cell r="F20">
            <v>3.5629453681709999E-2</v>
          </cell>
        </row>
        <row r="21">
          <cell r="C21">
            <v>7640005261</v>
          </cell>
          <cell r="D21" t="str">
            <v>HID PROXIMITY CARD 10 PACK</v>
          </cell>
          <cell r="E21">
            <v>7</v>
          </cell>
          <cell r="F21">
            <v>2.0783847981000001E-3</v>
          </cell>
        </row>
        <row r="22">
          <cell r="C22">
            <v>7640006869</v>
          </cell>
          <cell r="D22" t="str">
            <v>EXT KEYBRD(CHERRY KEYBD G84-4100LCAUS-2)</v>
          </cell>
          <cell r="E22">
            <v>84</v>
          </cell>
          <cell r="F22">
            <v>2.4940617577200001E-2</v>
          </cell>
        </row>
        <row r="23">
          <cell r="C23">
            <v>7640008394</v>
          </cell>
          <cell r="D23" t="str">
            <v>AU-202H ICLASS CARD READER</v>
          </cell>
          <cell r="E23">
            <v>16</v>
          </cell>
          <cell r="F23">
            <v>4.7505938242300002E-3</v>
          </cell>
        </row>
        <row r="24">
          <cell r="C24" t="str">
            <v>A083WY2</v>
          </cell>
          <cell r="D24" t="str">
            <v>JS-505 INNER SEPARATOR TRAY</v>
          </cell>
          <cell r="E24">
            <v>241</v>
          </cell>
          <cell r="F24">
            <v>7.1555819477430005E-2</v>
          </cell>
        </row>
        <row r="25">
          <cell r="C25" t="str">
            <v>A0HRWY2</v>
          </cell>
          <cell r="D25" t="str">
            <v>FS-527 FINISHER</v>
          </cell>
          <cell r="E25">
            <v>592</v>
          </cell>
          <cell r="F25">
            <v>0.17577197149644</v>
          </cell>
        </row>
        <row r="26">
          <cell r="C26" t="str">
            <v>A0PD012</v>
          </cell>
          <cell r="D26" t="str">
            <v>3LK-102 LICENSE KIT</v>
          </cell>
          <cell r="E26">
            <v>36</v>
          </cell>
          <cell r="F26">
            <v>1.068883610451E-2</v>
          </cell>
        </row>
        <row r="27">
          <cell r="C27" t="str">
            <v>A0PD015</v>
          </cell>
          <cell r="D27" t="str">
            <v>LK-105 LICENSE KIT (SEARCHABLE PDF)</v>
          </cell>
          <cell r="E27">
            <v>14</v>
          </cell>
          <cell r="F27">
            <v>4.1567695962000002E-3</v>
          </cell>
        </row>
        <row r="28">
          <cell r="C28" t="str">
            <v>A0PD01A</v>
          </cell>
          <cell r="D28" t="str">
            <v>i-Option LK-101 v2</v>
          </cell>
          <cell r="E28">
            <v>21</v>
          </cell>
          <cell r="F28">
            <v>6.2351543943000003E-3</v>
          </cell>
        </row>
        <row r="29">
          <cell r="C29" t="str">
            <v>A0U7WY2</v>
          </cell>
          <cell r="D29" t="str">
            <v>FS-529 INNER STAPLE FINISHER</v>
          </cell>
          <cell r="E29">
            <v>1129</v>
          </cell>
          <cell r="F29">
            <v>0.33521377672209002</v>
          </cell>
        </row>
        <row r="30">
          <cell r="C30" t="str">
            <v>A0W4WY1</v>
          </cell>
          <cell r="D30" t="str">
            <v>*WT-506 Working Table</v>
          </cell>
          <cell r="E30">
            <v>3</v>
          </cell>
          <cell r="F30">
            <v>8.9073634203999999E-4</v>
          </cell>
        </row>
        <row r="31">
          <cell r="C31" t="str">
            <v>A0X9WY1</v>
          </cell>
          <cell r="D31" t="str">
            <v>AU-102 Biometric Authentication Unit</v>
          </cell>
          <cell r="E31">
            <v>44</v>
          </cell>
          <cell r="F31">
            <v>1.306413301663E-2</v>
          </cell>
        </row>
        <row r="32">
          <cell r="C32" t="str">
            <v>A0Y9WY1</v>
          </cell>
          <cell r="D32" t="str">
            <v>SC-507 Security Kit (Copy Guard Protecti</v>
          </cell>
          <cell r="E32">
            <v>0</v>
          </cell>
          <cell r="F32">
            <v>0</v>
          </cell>
        </row>
        <row r="33">
          <cell r="C33" t="str">
            <v>A0YCWY3</v>
          </cell>
          <cell r="D33" t="str">
            <v>EK-605 USB</v>
          </cell>
          <cell r="E33">
            <v>9</v>
          </cell>
          <cell r="F33">
            <v>2.6722090261300001E-3</v>
          </cell>
        </row>
        <row r="34">
          <cell r="C34" t="str">
            <v>A0YCWY4</v>
          </cell>
          <cell r="D34" t="str">
            <v>EK-604 USB</v>
          </cell>
          <cell r="E34">
            <v>50</v>
          </cell>
          <cell r="F34">
            <v>1.484560570071E-2</v>
          </cell>
        </row>
        <row r="35">
          <cell r="C35" t="str">
            <v>A0YDWY1</v>
          </cell>
          <cell r="D35" t="str">
            <v>*UK-203 i-Option Upgrade Kit (1 GB)</v>
          </cell>
          <cell r="E35">
            <v>31</v>
          </cell>
          <cell r="F35">
            <v>9.2042755344400005E-3</v>
          </cell>
        </row>
        <row r="36">
          <cell r="C36" t="str">
            <v>A10DWY1</v>
          </cell>
          <cell r="D36" t="str">
            <v>SD-509 SADDLE KIT</v>
          </cell>
          <cell r="E36">
            <v>10</v>
          </cell>
          <cell r="F36">
            <v>2.9691211401400002E-3</v>
          </cell>
        </row>
        <row r="37">
          <cell r="C37" t="str">
            <v>A10EW11</v>
          </cell>
          <cell r="D37" t="str">
            <v>PK-517 2/3-HOLE PUNCH KIT FOR FS-527</v>
          </cell>
          <cell r="E37">
            <v>248</v>
          </cell>
          <cell r="F37">
            <v>7.3634204275529996E-2</v>
          </cell>
        </row>
        <row r="38">
          <cell r="C38" t="str">
            <v>A10FWY1</v>
          </cell>
          <cell r="D38" t="str">
            <v>JS-603 JOB SEPARATOR TRAY</v>
          </cell>
          <cell r="E38">
            <v>44</v>
          </cell>
          <cell r="F38">
            <v>1.306413301663E-2</v>
          </cell>
        </row>
        <row r="39">
          <cell r="C39" t="str">
            <v>A128WY2</v>
          </cell>
          <cell r="D39" t="str">
            <v>OC-509 ORIGINAL COVER</v>
          </cell>
          <cell r="E39">
            <v>46</v>
          </cell>
          <cell r="F39">
            <v>1.3657957244660001E-2</v>
          </cell>
        </row>
        <row r="40">
          <cell r="C40" t="str">
            <v>A143WY1</v>
          </cell>
          <cell r="D40" t="str">
            <v>DF-621 DOCUMENT FEEDER</v>
          </cell>
          <cell r="E40">
            <v>3334</v>
          </cell>
          <cell r="F40">
            <v>0.98990498812352001</v>
          </cell>
        </row>
        <row r="41">
          <cell r="C41" t="str">
            <v>A165WY1</v>
          </cell>
          <cell r="D41" t="str">
            <v>KH-101 EXTERNAL KEYBOARD HOLDER</v>
          </cell>
          <cell r="E41">
            <v>79</v>
          </cell>
          <cell r="F41">
            <v>2.345605700713E-2</v>
          </cell>
        </row>
        <row r="42">
          <cell r="C42" t="str">
            <v>A1V4W13</v>
          </cell>
          <cell r="D42" t="str">
            <v>PC-409 LARGE CAPACITY CABINET (2500)</v>
          </cell>
          <cell r="E42">
            <v>248</v>
          </cell>
          <cell r="F42">
            <v>7.3634204275529996E-2</v>
          </cell>
        </row>
        <row r="43">
          <cell r="C43" t="str">
            <v>A1V4WY1</v>
          </cell>
          <cell r="D43" t="str">
            <v>PC-109 PAPER FEED CABINET (500X1)</v>
          </cell>
          <cell r="E43">
            <v>121</v>
          </cell>
          <cell r="F43">
            <v>3.5926365795719999E-2</v>
          </cell>
        </row>
        <row r="44">
          <cell r="C44" t="str">
            <v>A1V4WY2</v>
          </cell>
          <cell r="D44" t="str">
            <v>PC-208 PAPER FEED CABINET (500X2)</v>
          </cell>
          <cell r="E44">
            <v>299</v>
          </cell>
          <cell r="F44">
            <v>8.8776722090259996E-2</v>
          </cell>
        </row>
        <row r="45">
          <cell r="C45" t="str">
            <v>A1V4WY4</v>
          </cell>
          <cell r="D45" t="str">
            <v>*DK-508 DESK</v>
          </cell>
          <cell r="E45">
            <v>4</v>
          </cell>
          <cell r="F45">
            <v>1.18764845606E-3</v>
          </cell>
        </row>
        <row r="46">
          <cell r="C46" t="str">
            <v>A22M011</v>
          </cell>
          <cell r="D46" t="str">
            <v>FK-508 FAX KIT</v>
          </cell>
          <cell r="E46">
            <v>2202</v>
          </cell>
          <cell r="F46">
            <v>0.65380047505937999</v>
          </cell>
        </row>
        <row r="47">
          <cell r="C47" t="str">
            <v>A2A0WY0</v>
          </cell>
          <cell r="D47" t="str">
            <v>MK-726 FAX MOUNT KIT FOR FK-508</v>
          </cell>
          <cell r="E47">
            <v>2203</v>
          </cell>
          <cell r="F47">
            <v>0.65409738717340005</v>
          </cell>
        </row>
        <row r="48">
          <cell r="C48" t="str">
            <v>A2ACWY1</v>
          </cell>
          <cell r="D48" t="str">
            <v>*HD-516 HDD (250GB)</v>
          </cell>
          <cell r="E48">
            <v>0</v>
          </cell>
          <cell r="F48">
            <v>0</v>
          </cell>
        </row>
        <row r="49">
          <cell r="C49">
            <v>7640015033</v>
          </cell>
          <cell r="D49" t="str">
            <v>BIZHUB 25</v>
          </cell>
          <cell r="E49">
            <v>2424</v>
          </cell>
          <cell r="G49" t="str">
            <v>BW</v>
          </cell>
        </row>
        <row r="50">
          <cell r="C50">
            <v>7640013463</v>
          </cell>
          <cell r="D50" t="str">
            <v>CONVENIENCE STAPLER CS-1</v>
          </cell>
          <cell r="E50">
            <v>13</v>
          </cell>
          <cell r="F50">
            <v>5.3630363036300003E-3</v>
          </cell>
          <cell r="G50" t="str">
            <v>BW</v>
          </cell>
        </row>
        <row r="51">
          <cell r="C51">
            <v>7640014749</v>
          </cell>
          <cell r="D51" t="str">
            <v>ESP XG-PCS-15D NEXT GEN PCS 120V/15A</v>
          </cell>
          <cell r="E51">
            <v>336</v>
          </cell>
          <cell r="F51">
            <v>0.13861386138614001</v>
          </cell>
          <cell r="G51" t="str">
            <v>BW</v>
          </cell>
        </row>
        <row r="52">
          <cell r="C52">
            <v>7640015034</v>
          </cell>
          <cell r="D52" t="str">
            <v>PF-903 PAPER FEED CABINET (500-SHEETS)</v>
          </cell>
          <cell r="E52">
            <v>611</v>
          </cell>
          <cell r="F52">
            <v>0.25206270627062999</v>
          </cell>
          <cell r="G52" t="str">
            <v>BW</v>
          </cell>
        </row>
        <row r="53">
          <cell r="C53">
            <v>7640015035</v>
          </cell>
          <cell r="D53" t="str">
            <v>POSTSCRIPT 3 ENABLER</v>
          </cell>
          <cell r="E53">
            <v>444</v>
          </cell>
          <cell r="F53">
            <v>0.18316831683168</v>
          </cell>
          <cell r="G53" t="str">
            <v>BW</v>
          </cell>
        </row>
        <row r="54">
          <cell r="C54">
            <v>7640015036</v>
          </cell>
          <cell r="D54" t="str">
            <v>BARCODE PRINTING/OCR ENABLER</v>
          </cell>
          <cell r="E54">
            <v>3</v>
          </cell>
          <cell r="F54">
            <v>1.23762376238E-3</v>
          </cell>
          <cell r="G54" t="str">
            <v>BW</v>
          </cell>
        </row>
        <row r="55">
          <cell r="C55">
            <v>7640015037</v>
          </cell>
          <cell r="D55" t="str">
            <v>POSTSCRIPT 3/BARCODE PRINTING/OCR ENABLE</v>
          </cell>
          <cell r="E55">
            <v>14</v>
          </cell>
          <cell r="F55">
            <v>5.7755775577600001E-3</v>
          </cell>
          <cell r="G55" t="str">
            <v>BW</v>
          </cell>
        </row>
        <row r="56">
          <cell r="C56">
            <v>7640015038</v>
          </cell>
          <cell r="D56" t="str">
            <v>POSTSCRIPT MEMORY UPGRADE (1GB)</v>
          </cell>
          <cell r="E56">
            <v>313</v>
          </cell>
          <cell r="F56">
            <v>0.12912541254125001</v>
          </cell>
          <cell r="G56" t="str">
            <v>BW</v>
          </cell>
        </row>
        <row r="57">
          <cell r="C57">
            <v>7640015039</v>
          </cell>
          <cell r="D57" t="str">
            <v>MECHANICAL PAGE COUNTER</v>
          </cell>
          <cell r="E57">
            <v>56</v>
          </cell>
          <cell r="F57">
            <v>2.3102310231019999E-2</v>
          </cell>
          <cell r="G57" t="str">
            <v>BW</v>
          </cell>
        </row>
        <row r="58">
          <cell r="C58">
            <v>7640015040</v>
          </cell>
          <cell r="D58" t="str">
            <v>FOREIGN DEVICE INTERFACE</v>
          </cell>
          <cell r="E58">
            <v>23</v>
          </cell>
          <cell r="F58">
            <v>9.4884488448799993E-3</v>
          </cell>
          <cell r="G58" t="str">
            <v>BW</v>
          </cell>
        </row>
        <row r="59">
          <cell r="C59">
            <v>7640015041</v>
          </cell>
          <cell r="D59" t="str">
            <v>MESSAGE BOARD MEMORY UPGRADE (1GB)</v>
          </cell>
          <cell r="E59">
            <v>332</v>
          </cell>
          <cell r="F59">
            <v>0.13696369636964001</v>
          </cell>
          <cell r="G59" t="str">
            <v>BW</v>
          </cell>
        </row>
        <row r="60">
          <cell r="C60">
            <v>7640015103</v>
          </cell>
          <cell r="D60" t="str">
            <v>BIZHUB 25 FRENCH OVERLAY KIT</v>
          </cell>
          <cell r="E60">
            <v>1</v>
          </cell>
          <cell r="F60">
            <v>4.1254125413000002E-4</v>
          </cell>
          <cell r="G60" t="str">
            <v>BW</v>
          </cell>
        </row>
        <row r="61">
          <cell r="C61">
            <v>7640015104</v>
          </cell>
          <cell r="D61" t="str">
            <v>BIZHUB 25 SPANISH OVERLAY KIT</v>
          </cell>
          <cell r="E61">
            <v>1</v>
          </cell>
          <cell r="F61">
            <v>4.1254125413000002E-4</v>
          </cell>
          <cell r="G61" t="str">
            <v>BW</v>
          </cell>
        </row>
        <row r="62">
          <cell r="C62" t="str">
            <v>A1UF011</v>
          </cell>
          <cell r="D62" t="str">
            <v>BIZHUB 283</v>
          </cell>
          <cell r="E62">
            <v>2192</v>
          </cell>
          <cell r="G62" t="str">
            <v>BW</v>
          </cell>
        </row>
        <row r="63">
          <cell r="C63">
            <v>4614506</v>
          </cell>
          <cell r="D63" t="str">
            <v>SP-501 STAMP UNIT</v>
          </cell>
          <cell r="E63">
            <v>4</v>
          </cell>
          <cell r="F63">
            <v>1.8248175182500001E-3</v>
          </cell>
          <cell r="G63" t="str">
            <v>BW</v>
          </cell>
        </row>
        <row r="64">
          <cell r="C64">
            <v>4614511</v>
          </cell>
          <cell r="D64" t="str">
            <v>SPARE TX MARKER STAMP 2</v>
          </cell>
          <cell r="E64">
            <v>3</v>
          </cell>
          <cell r="F64">
            <v>1.3686131386900001E-3</v>
          </cell>
          <cell r="G64" t="str">
            <v>BW</v>
          </cell>
        </row>
        <row r="65">
          <cell r="C65">
            <v>4623472</v>
          </cell>
          <cell r="D65" t="str">
            <v>*KEY COUNTER ATTACHMENT KIT</v>
          </cell>
          <cell r="E65">
            <v>0</v>
          </cell>
          <cell r="F65">
            <v>0</v>
          </cell>
          <cell r="G65" t="str">
            <v>BW</v>
          </cell>
        </row>
        <row r="66">
          <cell r="C66">
            <v>7640005064</v>
          </cell>
          <cell r="D66" t="str">
            <v>AU-201H HID CARD AUTHENTICATION UNIT</v>
          </cell>
          <cell r="E66">
            <v>28</v>
          </cell>
          <cell r="F66">
            <v>1.277372262774E-2</v>
          </cell>
          <cell r="G66" t="str">
            <v>BW</v>
          </cell>
        </row>
        <row r="67">
          <cell r="C67">
            <v>7640005261</v>
          </cell>
          <cell r="D67" t="str">
            <v>HID PROXIMITY CARD 10 PACK</v>
          </cell>
          <cell r="E67">
            <v>115</v>
          </cell>
          <cell r="F67">
            <v>5.2463503649640003E-2</v>
          </cell>
          <cell r="G67" t="str">
            <v>BW</v>
          </cell>
        </row>
        <row r="68">
          <cell r="C68">
            <v>7640006869</v>
          </cell>
          <cell r="D68" t="str">
            <v>EXT KEYBRD(CHERRY KEYBD G84-4100LCAUS-2)</v>
          </cell>
          <cell r="E68">
            <v>41</v>
          </cell>
          <cell r="F68">
            <v>1.8704379562040001E-2</v>
          </cell>
          <cell r="G68" t="str">
            <v>BW</v>
          </cell>
        </row>
        <row r="69">
          <cell r="C69">
            <v>7640008394</v>
          </cell>
          <cell r="D69" t="str">
            <v>AU-202H ICLASS CARD READER</v>
          </cell>
          <cell r="E69">
            <v>18</v>
          </cell>
          <cell r="F69">
            <v>8.2116788321199997E-3</v>
          </cell>
          <cell r="G69" t="str">
            <v>BW</v>
          </cell>
        </row>
        <row r="70">
          <cell r="C70" t="str">
            <v>A083WY2</v>
          </cell>
          <cell r="D70" t="str">
            <v>JS-505 INNER SEPARATOR TRAY</v>
          </cell>
          <cell r="E70">
            <v>163</v>
          </cell>
          <cell r="F70">
            <v>7.4361313868610002E-2</v>
          </cell>
          <cell r="G70" t="str">
            <v>BW</v>
          </cell>
        </row>
        <row r="71">
          <cell r="C71" t="str">
            <v>A0HRWY2</v>
          </cell>
          <cell r="D71" t="str">
            <v>FS-527 FINISHER</v>
          </cell>
          <cell r="E71">
            <v>637</v>
          </cell>
          <cell r="F71">
            <v>0.29060218978101998</v>
          </cell>
          <cell r="G71" t="str">
            <v>BW</v>
          </cell>
        </row>
        <row r="72">
          <cell r="C72" t="str">
            <v>A0PD012</v>
          </cell>
          <cell r="D72" t="str">
            <v>3LK-102 LICENSE KIT</v>
          </cell>
          <cell r="E72">
            <v>5</v>
          </cell>
          <cell r="F72">
            <v>2.2810218978099998E-3</v>
          </cell>
          <cell r="G72" t="str">
            <v>BW</v>
          </cell>
        </row>
        <row r="73">
          <cell r="C73" t="str">
            <v>A0PD015</v>
          </cell>
          <cell r="D73" t="str">
            <v>LK-105 LICENSE KIT (SEARCHABLE PDF)</v>
          </cell>
          <cell r="E73">
            <v>16</v>
          </cell>
          <cell r="F73">
            <v>7.2992700729900004E-3</v>
          </cell>
          <cell r="G73" t="str">
            <v>BW</v>
          </cell>
        </row>
        <row r="74">
          <cell r="C74" t="str">
            <v>A0PD01A</v>
          </cell>
          <cell r="D74" t="str">
            <v>i-Option LK-101 v2</v>
          </cell>
          <cell r="E74">
            <v>41</v>
          </cell>
          <cell r="F74">
            <v>1.8704379562040001E-2</v>
          </cell>
          <cell r="G74" t="str">
            <v>BW</v>
          </cell>
        </row>
        <row r="75">
          <cell r="C75" t="str">
            <v>A0U7WY2</v>
          </cell>
          <cell r="D75" t="str">
            <v>FS-529 INNER STAPLE FINISHER</v>
          </cell>
          <cell r="E75">
            <v>691</v>
          </cell>
          <cell r="F75">
            <v>0.31523722627737</v>
          </cell>
          <cell r="G75" t="str">
            <v>BW</v>
          </cell>
        </row>
        <row r="76">
          <cell r="C76" t="str">
            <v>A0W4WY1</v>
          </cell>
          <cell r="D76" t="str">
            <v>*WT-506 Working Table</v>
          </cell>
          <cell r="E76">
            <v>1</v>
          </cell>
          <cell r="F76">
            <v>4.5620437956000001E-4</v>
          </cell>
          <cell r="G76" t="str">
            <v>BW</v>
          </cell>
        </row>
        <row r="77">
          <cell r="C77" t="str">
            <v>A0X9WY1</v>
          </cell>
          <cell r="D77" t="str">
            <v>AU-102 Biometric Authentication Unit</v>
          </cell>
          <cell r="E77">
            <v>14</v>
          </cell>
          <cell r="F77">
            <v>6.3868613138700001E-3</v>
          </cell>
          <cell r="G77" t="str">
            <v>BW</v>
          </cell>
        </row>
        <row r="78">
          <cell r="C78" t="str">
            <v>A0Y9WY1</v>
          </cell>
          <cell r="D78" t="str">
            <v>SC-507 Security Kit (Copy Guard Protecti</v>
          </cell>
          <cell r="E78">
            <v>5</v>
          </cell>
          <cell r="F78">
            <v>2.2810218978099998E-3</v>
          </cell>
          <cell r="G78" t="str">
            <v>BW</v>
          </cell>
        </row>
        <row r="79">
          <cell r="C79" t="str">
            <v>A0YCWY3</v>
          </cell>
          <cell r="D79" t="str">
            <v>EK-605 USB</v>
          </cell>
          <cell r="E79">
            <v>4</v>
          </cell>
          <cell r="F79">
            <v>1.8248175182500001E-3</v>
          </cell>
          <cell r="G79" t="str">
            <v>BW</v>
          </cell>
        </row>
        <row r="80">
          <cell r="C80" t="str">
            <v>A0YCWY4</v>
          </cell>
          <cell r="D80" t="str">
            <v>EK-604 USB</v>
          </cell>
          <cell r="E80">
            <v>17</v>
          </cell>
          <cell r="F80">
            <v>7.7554744525500001E-3</v>
          </cell>
          <cell r="G80" t="str">
            <v>BW</v>
          </cell>
        </row>
        <row r="81">
          <cell r="C81" t="str">
            <v>A0YDWY1</v>
          </cell>
          <cell r="D81" t="str">
            <v>*UK-203 i-Option Upgrade Kit (1 GB)</v>
          </cell>
          <cell r="E81">
            <v>35</v>
          </cell>
          <cell r="F81">
            <v>1.5967153284670001E-2</v>
          </cell>
          <cell r="G81" t="str">
            <v>BW</v>
          </cell>
        </row>
        <row r="82">
          <cell r="C82" t="str">
            <v>A10DWY1</v>
          </cell>
          <cell r="D82" t="str">
            <v>SD-509 SADDLE KIT</v>
          </cell>
          <cell r="E82">
            <v>10</v>
          </cell>
          <cell r="F82">
            <v>4.5620437956199996E-3</v>
          </cell>
          <cell r="G82" t="str">
            <v>BW</v>
          </cell>
        </row>
        <row r="83">
          <cell r="C83" t="str">
            <v>A10EW11</v>
          </cell>
          <cell r="D83" t="str">
            <v>PK-517 2/3-HOLE PUNCH KIT FOR FS-527</v>
          </cell>
          <cell r="E83">
            <v>257</v>
          </cell>
          <cell r="F83">
            <v>0.11724452554745</v>
          </cell>
          <cell r="G83" t="str">
            <v>BW</v>
          </cell>
        </row>
        <row r="84">
          <cell r="C84" t="str">
            <v>A10FWY1</v>
          </cell>
          <cell r="D84" t="str">
            <v>JS-603 JOB SEPARATOR TRAY</v>
          </cell>
          <cell r="E84">
            <v>24</v>
          </cell>
          <cell r="F84">
            <v>1.094890510949E-2</v>
          </cell>
          <cell r="G84" t="str">
            <v>BW</v>
          </cell>
        </row>
        <row r="85">
          <cell r="C85" t="str">
            <v>A128WY2</v>
          </cell>
          <cell r="D85" t="str">
            <v>OC-509 ORIGINAL COVER</v>
          </cell>
          <cell r="E85">
            <v>59</v>
          </cell>
          <cell r="F85">
            <v>2.6916058394159999E-2</v>
          </cell>
          <cell r="G85" t="str">
            <v>BW</v>
          </cell>
        </row>
        <row r="86">
          <cell r="C86" t="str">
            <v>A143WY1</v>
          </cell>
          <cell r="D86" t="str">
            <v>DF-621 DOCUMENT FEEDER</v>
          </cell>
          <cell r="E86">
            <v>2192</v>
          </cell>
          <cell r="F86">
            <v>1</v>
          </cell>
          <cell r="G86" t="str">
            <v>BW</v>
          </cell>
        </row>
        <row r="87">
          <cell r="C87" t="str">
            <v>A165WY1</v>
          </cell>
          <cell r="D87" t="str">
            <v>KH-101 EXTERNAL KEYBOARD HOLDER</v>
          </cell>
          <cell r="E87">
            <v>41</v>
          </cell>
          <cell r="F87">
            <v>1.8704379562040001E-2</v>
          </cell>
          <cell r="G87" t="str">
            <v>BW</v>
          </cell>
        </row>
        <row r="88">
          <cell r="C88" t="str">
            <v>A1V4W13</v>
          </cell>
          <cell r="D88" t="str">
            <v>PC-409 LARGE CAPACITY CABINET (2500)</v>
          </cell>
          <cell r="E88">
            <v>547</v>
          </cell>
          <cell r="F88">
            <v>0.24954379562043999</v>
          </cell>
          <cell r="G88" t="str">
            <v>BW</v>
          </cell>
        </row>
        <row r="89">
          <cell r="C89" t="str">
            <v>A1V4WY1</v>
          </cell>
          <cell r="D89" t="str">
            <v>PC-109 PAPER FEED CABINET (500X1)</v>
          </cell>
          <cell r="E89">
            <v>74</v>
          </cell>
          <cell r="F89">
            <v>3.3759124087589999E-2</v>
          </cell>
          <cell r="G89" t="str">
            <v>BW</v>
          </cell>
        </row>
        <row r="90">
          <cell r="C90" t="str">
            <v>A1V4WY2</v>
          </cell>
          <cell r="D90" t="str">
            <v>PC-208 PAPER FEED CABINET (500X2)</v>
          </cell>
          <cell r="E90">
            <v>389</v>
          </cell>
          <cell r="F90">
            <v>0.17746350364964</v>
          </cell>
          <cell r="G90" t="str">
            <v>BW</v>
          </cell>
        </row>
        <row r="91">
          <cell r="C91" t="str">
            <v>A1V4WY4</v>
          </cell>
          <cell r="D91" t="str">
            <v>*DK-508 DESK</v>
          </cell>
          <cell r="E91">
            <v>2</v>
          </cell>
          <cell r="F91">
            <v>9.1240875912000001E-4</v>
          </cell>
          <cell r="G91" t="str">
            <v>BW</v>
          </cell>
        </row>
        <row r="92">
          <cell r="C92" t="str">
            <v>A22M011</v>
          </cell>
          <cell r="D92" t="str">
            <v>FK-508 FAX KIT</v>
          </cell>
          <cell r="E92">
            <v>1392</v>
          </cell>
          <cell r="F92">
            <v>0.63503649635035997</v>
          </cell>
          <cell r="G92" t="str">
            <v>BW</v>
          </cell>
        </row>
        <row r="93">
          <cell r="C93" t="str">
            <v>A2A0WY0</v>
          </cell>
          <cell r="D93" t="str">
            <v>MK-726 FAX MOUNT KIT FOR FK-508</v>
          </cell>
          <cell r="E93">
            <v>1381</v>
          </cell>
          <cell r="F93">
            <v>0.63001824817518004</v>
          </cell>
          <cell r="G93" t="str">
            <v>BW</v>
          </cell>
        </row>
        <row r="94">
          <cell r="C94" t="str">
            <v>A2ACWY1</v>
          </cell>
          <cell r="D94" t="str">
            <v>*HD-516 HDD (250GB)</v>
          </cell>
          <cell r="E94">
            <v>0</v>
          </cell>
          <cell r="F94">
            <v>0</v>
          </cell>
          <cell r="G94" t="str">
            <v>BW</v>
          </cell>
        </row>
        <row r="95">
          <cell r="C95" t="str">
            <v>A45X011</v>
          </cell>
          <cell r="D95" t="str">
            <v>BIZHUB 36</v>
          </cell>
          <cell r="E95">
            <v>1274</v>
          </cell>
          <cell r="G95" t="str">
            <v>BW</v>
          </cell>
        </row>
        <row r="96">
          <cell r="C96">
            <v>7640005064</v>
          </cell>
          <cell r="D96" t="str">
            <v>AU-201H HID CARD AUTHENTICATION UNIT</v>
          </cell>
          <cell r="E96">
            <v>83</v>
          </cell>
          <cell r="F96">
            <v>6.5149136577710001E-2</v>
          </cell>
          <cell r="G96" t="str">
            <v>BW</v>
          </cell>
        </row>
        <row r="97">
          <cell r="C97">
            <v>7640008394</v>
          </cell>
          <cell r="D97" t="str">
            <v>AU-202H ICLASS CARD READER</v>
          </cell>
          <cell r="E97">
            <v>39</v>
          </cell>
          <cell r="F97">
            <v>3.0612244897959998E-2</v>
          </cell>
          <cell r="G97" t="str">
            <v>BW</v>
          </cell>
        </row>
        <row r="98">
          <cell r="C98">
            <v>7640013463</v>
          </cell>
          <cell r="D98" t="str">
            <v>CONVENIENCE STAPLER CS-1</v>
          </cell>
          <cell r="E98">
            <v>14</v>
          </cell>
          <cell r="F98">
            <v>1.0989010989009999E-2</v>
          </cell>
          <cell r="G98" t="str">
            <v>BW</v>
          </cell>
        </row>
        <row r="99">
          <cell r="C99">
            <v>7640014723</v>
          </cell>
          <cell r="D99" t="str">
            <v>INNOVOLT POWER MANAGER 15AMP</v>
          </cell>
          <cell r="E99">
            <v>702</v>
          </cell>
          <cell r="F99">
            <v>0.55102040816327003</v>
          </cell>
          <cell r="G99" t="str">
            <v>BW</v>
          </cell>
        </row>
        <row r="100">
          <cell r="C100" t="str">
            <v>A0U7WY2</v>
          </cell>
          <cell r="D100" t="str">
            <v>FS-529 INNER STAPLE FINISHER</v>
          </cell>
          <cell r="E100">
            <v>297</v>
          </cell>
          <cell r="F100">
            <v>0.2331240188383</v>
          </cell>
          <cell r="G100" t="str">
            <v>BW</v>
          </cell>
        </row>
        <row r="101">
          <cell r="C101" t="str">
            <v>A3J0WY1</v>
          </cell>
          <cell r="D101" t="str">
            <v>PC-211 PAPER FEED CABINET</v>
          </cell>
          <cell r="E101">
            <v>194</v>
          </cell>
          <cell r="F101">
            <v>0.15227629513343999</v>
          </cell>
          <cell r="G101" t="str">
            <v>BW</v>
          </cell>
        </row>
        <row r="102">
          <cell r="C102" t="str">
            <v>A3UKWY1</v>
          </cell>
          <cell r="D102" t="str">
            <v>MK-601 FINISHER MOUNTKIT FOR BIZHUB42/36</v>
          </cell>
          <cell r="E102">
            <v>292</v>
          </cell>
          <cell r="F102">
            <v>0.22919937205651</v>
          </cell>
          <cell r="G102" t="str">
            <v>BW</v>
          </cell>
        </row>
        <row r="103">
          <cell r="C103" t="str">
            <v>A3UMWY1</v>
          </cell>
          <cell r="D103" t="str">
            <v>WT-510 WORKING TABLE</v>
          </cell>
          <cell r="E103">
            <v>227</v>
          </cell>
          <cell r="F103">
            <v>0.17817896389325</v>
          </cell>
          <cell r="G103" t="str">
            <v>BW</v>
          </cell>
        </row>
        <row r="104">
          <cell r="C104" t="str">
            <v>A49EYYB</v>
          </cell>
          <cell r="D104" t="str">
            <v>DK-511 COPY DESK</v>
          </cell>
          <cell r="E104">
            <v>807</v>
          </cell>
          <cell r="F104">
            <v>0.63343799058085004</v>
          </cell>
          <cell r="G104" t="str">
            <v>BW</v>
          </cell>
        </row>
        <row r="105">
          <cell r="C105" t="str">
            <v>A49F011</v>
          </cell>
          <cell r="D105" t="str">
            <v>FK-509 FAX KIT</v>
          </cell>
          <cell r="E105">
            <v>848</v>
          </cell>
          <cell r="F105">
            <v>0.66562009419152002</v>
          </cell>
          <cell r="G105" t="str">
            <v>BW</v>
          </cell>
        </row>
        <row r="106">
          <cell r="C106" t="str">
            <v>A1UE011</v>
          </cell>
          <cell r="D106" t="str">
            <v>BIZHUB 363</v>
          </cell>
          <cell r="E106">
            <v>5016</v>
          </cell>
          <cell r="G106" t="str">
            <v>BW</v>
          </cell>
        </row>
        <row r="107">
          <cell r="C107">
            <v>4614506</v>
          </cell>
          <cell r="D107" t="str">
            <v>SP-501 STAMP UNIT</v>
          </cell>
          <cell r="E107">
            <v>9</v>
          </cell>
          <cell r="F107">
            <v>1.79425837321E-3</v>
          </cell>
          <cell r="G107" t="str">
            <v>BW</v>
          </cell>
        </row>
        <row r="108">
          <cell r="C108">
            <v>4614511</v>
          </cell>
          <cell r="D108" t="str">
            <v>SPARE TX MARKER STAMP 2</v>
          </cell>
          <cell r="E108">
            <v>3</v>
          </cell>
          <cell r="F108">
            <v>5.9808612440000002E-4</v>
          </cell>
          <cell r="G108" t="str">
            <v>BW</v>
          </cell>
        </row>
        <row r="109">
          <cell r="C109">
            <v>4623472</v>
          </cell>
          <cell r="D109" t="str">
            <v>*KEY COUNTER ATTACHMENT KIT</v>
          </cell>
          <cell r="E109">
            <v>0</v>
          </cell>
          <cell r="F109">
            <v>0</v>
          </cell>
          <cell r="G109" t="str">
            <v>BW</v>
          </cell>
        </row>
        <row r="110">
          <cell r="C110">
            <v>7640005064</v>
          </cell>
          <cell r="D110" t="str">
            <v>AU-201H HID CARD AUTHENTICATION UNIT</v>
          </cell>
          <cell r="E110">
            <v>120</v>
          </cell>
          <cell r="F110">
            <v>2.392344497608E-2</v>
          </cell>
          <cell r="G110" t="str">
            <v>BW</v>
          </cell>
        </row>
        <row r="111">
          <cell r="C111">
            <v>7640005261</v>
          </cell>
          <cell r="D111" t="str">
            <v>HID PROXIMITY CARD 10 PACK</v>
          </cell>
          <cell r="E111">
            <v>6</v>
          </cell>
          <cell r="F111">
            <v>1.1961722488E-3</v>
          </cell>
          <cell r="G111" t="str">
            <v>BW</v>
          </cell>
        </row>
        <row r="112">
          <cell r="C112">
            <v>7640006869</v>
          </cell>
          <cell r="D112" t="str">
            <v>EXT KEYBRD(CHERRY KEYBD G84-4100LCAUS-2)</v>
          </cell>
          <cell r="E112">
            <v>143</v>
          </cell>
          <cell r="F112">
            <v>2.8508771929820001E-2</v>
          </cell>
          <cell r="G112" t="str">
            <v>BW</v>
          </cell>
        </row>
        <row r="113">
          <cell r="C113">
            <v>7640008394</v>
          </cell>
          <cell r="D113" t="str">
            <v>AU-202H ICLASS CARD READER</v>
          </cell>
          <cell r="E113">
            <v>12</v>
          </cell>
          <cell r="F113">
            <v>2.3923444976099999E-3</v>
          </cell>
          <cell r="G113" t="str">
            <v>BW</v>
          </cell>
        </row>
        <row r="114">
          <cell r="C114" t="str">
            <v>A083WY2</v>
          </cell>
          <cell r="D114" t="str">
            <v>JS-505 INNER SEPARATOR TRAY</v>
          </cell>
          <cell r="E114">
            <v>528</v>
          </cell>
          <cell r="F114">
            <v>0.10526315789474</v>
          </cell>
          <cell r="G114" t="str">
            <v>BW</v>
          </cell>
        </row>
        <row r="115">
          <cell r="C115" t="str">
            <v>A0HRWY2</v>
          </cell>
          <cell r="D115" t="str">
            <v>FS-527 FINISHER</v>
          </cell>
          <cell r="E115">
            <v>2621</v>
          </cell>
          <cell r="F115">
            <v>0.52252791068580995</v>
          </cell>
          <cell r="G115" t="str">
            <v>BW</v>
          </cell>
        </row>
        <row r="116">
          <cell r="C116" t="str">
            <v>A0PD012</v>
          </cell>
          <cell r="D116" t="str">
            <v>3LK-102 LICENSE KIT</v>
          </cell>
          <cell r="E116">
            <v>25</v>
          </cell>
          <cell r="F116">
            <v>4.9840510366799999E-3</v>
          </cell>
          <cell r="G116" t="str">
            <v>BW</v>
          </cell>
        </row>
        <row r="117">
          <cell r="C117" t="str">
            <v>A0PD015</v>
          </cell>
          <cell r="D117" t="str">
            <v>LK-105 LICENSE KIT (SEARCHABLE PDF)</v>
          </cell>
          <cell r="E117">
            <v>25</v>
          </cell>
          <cell r="F117">
            <v>4.9840510366799999E-3</v>
          </cell>
          <cell r="G117" t="str">
            <v>BW</v>
          </cell>
        </row>
        <row r="118">
          <cell r="C118" t="str">
            <v>A0PD01A</v>
          </cell>
          <cell r="D118" t="str">
            <v>i-Option LK-101 v2</v>
          </cell>
          <cell r="E118">
            <v>46</v>
          </cell>
          <cell r="F118">
            <v>9.1706539074999996E-3</v>
          </cell>
          <cell r="G118" t="str">
            <v>BW</v>
          </cell>
        </row>
        <row r="119">
          <cell r="C119" t="str">
            <v>A0U7WY2</v>
          </cell>
          <cell r="D119" t="str">
            <v>FS-529 INNER STAPLE FINISHER</v>
          </cell>
          <cell r="E119">
            <v>1124</v>
          </cell>
          <cell r="F119">
            <v>0.22408293460925</v>
          </cell>
          <cell r="G119" t="str">
            <v>BW</v>
          </cell>
        </row>
        <row r="120">
          <cell r="C120" t="str">
            <v>A0W4WY1</v>
          </cell>
          <cell r="D120" t="str">
            <v>*WT-506 Working Table</v>
          </cell>
          <cell r="E120">
            <v>18</v>
          </cell>
          <cell r="F120">
            <v>3.5885167464100001E-3</v>
          </cell>
          <cell r="G120" t="str">
            <v>BW</v>
          </cell>
        </row>
        <row r="121">
          <cell r="C121" t="str">
            <v>A0X9WY1</v>
          </cell>
          <cell r="D121" t="str">
            <v>AU-102 Biometric Authentication Unit</v>
          </cell>
          <cell r="E121">
            <v>28</v>
          </cell>
          <cell r="F121">
            <v>5.5821371610800001E-3</v>
          </cell>
          <cell r="G121" t="str">
            <v>BW</v>
          </cell>
        </row>
        <row r="122">
          <cell r="C122" t="str">
            <v>A0Y9WY1</v>
          </cell>
          <cell r="D122" t="str">
            <v>SC-507 Security Kit (Copy Guard Protecti</v>
          </cell>
          <cell r="E122">
            <v>2</v>
          </cell>
          <cell r="F122">
            <v>3.9872408292999998E-4</v>
          </cell>
          <cell r="G122" t="str">
            <v>BW</v>
          </cell>
        </row>
        <row r="123">
          <cell r="C123" t="str">
            <v>A0YCWY3</v>
          </cell>
          <cell r="D123" t="str">
            <v>EK-605 USB</v>
          </cell>
          <cell r="E123">
            <v>18</v>
          </cell>
          <cell r="F123">
            <v>3.5885167464100001E-3</v>
          </cell>
          <cell r="G123" t="str">
            <v>BW</v>
          </cell>
        </row>
        <row r="124">
          <cell r="C124" t="str">
            <v>A0YCWY4</v>
          </cell>
          <cell r="D124" t="str">
            <v>EK-604 USB</v>
          </cell>
          <cell r="E124">
            <v>89</v>
          </cell>
          <cell r="F124">
            <v>1.7743221690589998E-2</v>
          </cell>
          <cell r="G124" t="str">
            <v>BW</v>
          </cell>
        </row>
        <row r="125">
          <cell r="C125" t="str">
            <v>A0YDWY1</v>
          </cell>
          <cell r="D125" t="str">
            <v>*UK-203 i-Option Upgrade Kit (1 GB)</v>
          </cell>
          <cell r="E125">
            <v>42</v>
          </cell>
          <cell r="F125">
            <v>8.3732057416300004E-3</v>
          </cell>
          <cell r="G125" t="str">
            <v>BW</v>
          </cell>
        </row>
        <row r="126">
          <cell r="C126" t="str">
            <v>A10DWY1</v>
          </cell>
          <cell r="D126" t="str">
            <v>SD-509 SADDLE KIT</v>
          </cell>
          <cell r="E126">
            <v>33</v>
          </cell>
          <cell r="F126">
            <v>6.5789473684200002E-3</v>
          </cell>
          <cell r="G126" t="str">
            <v>BW</v>
          </cell>
        </row>
        <row r="127">
          <cell r="C127" t="str">
            <v>A10EW11</v>
          </cell>
          <cell r="D127" t="str">
            <v>PK-517 2/3-HOLE PUNCH KIT FOR FS-527</v>
          </cell>
          <cell r="E127">
            <v>939</v>
          </cell>
          <cell r="F127">
            <v>0.18720095693780001</v>
          </cell>
          <cell r="G127" t="str">
            <v>BW</v>
          </cell>
        </row>
        <row r="128">
          <cell r="C128" t="str">
            <v>A10FWY1</v>
          </cell>
          <cell r="D128" t="str">
            <v>JS-603 JOB SEPARATOR TRAY</v>
          </cell>
          <cell r="E128">
            <v>275</v>
          </cell>
          <cell r="F128">
            <v>5.4824561403509997E-2</v>
          </cell>
          <cell r="G128" t="str">
            <v>BW</v>
          </cell>
        </row>
        <row r="129">
          <cell r="C129" t="str">
            <v>A165WY1</v>
          </cell>
          <cell r="D129" t="str">
            <v>KH-101 EXTERNAL KEYBOARD HOLDER</v>
          </cell>
          <cell r="E129">
            <v>133</v>
          </cell>
          <cell r="F129">
            <v>2.651515151515E-2</v>
          </cell>
          <cell r="G129" t="str">
            <v>BW</v>
          </cell>
        </row>
        <row r="130">
          <cell r="C130" t="str">
            <v>A1V4W13</v>
          </cell>
          <cell r="D130" t="str">
            <v>PC-409 LARGE CAPACITY CABINET (2500)</v>
          </cell>
          <cell r="E130">
            <v>1669</v>
          </cell>
          <cell r="F130">
            <v>0.33273524720893</v>
          </cell>
          <cell r="G130" t="str">
            <v>BW</v>
          </cell>
        </row>
        <row r="131">
          <cell r="C131" t="str">
            <v>A1V4WY1</v>
          </cell>
          <cell r="D131" t="str">
            <v>PC-109 PAPER FEED CABINET (500X1)</v>
          </cell>
          <cell r="E131">
            <v>201</v>
          </cell>
          <cell r="F131">
            <v>4.007177033493E-2</v>
          </cell>
          <cell r="G131" t="str">
            <v>BW</v>
          </cell>
        </row>
        <row r="132">
          <cell r="C132" t="str">
            <v>A1V4WY2</v>
          </cell>
          <cell r="D132" t="str">
            <v>PC-208 PAPER FEED CABINET (500X2)</v>
          </cell>
          <cell r="E132">
            <v>817</v>
          </cell>
          <cell r="F132">
            <v>0.16287878787879001</v>
          </cell>
          <cell r="G132" t="str">
            <v>BW</v>
          </cell>
        </row>
        <row r="133">
          <cell r="C133" t="str">
            <v>A1V4WY4</v>
          </cell>
          <cell r="D133" t="str">
            <v>*DK-508 DESK</v>
          </cell>
          <cell r="E133">
            <v>7</v>
          </cell>
          <cell r="F133">
            <v>1.39553429027E-3</v>
          </cell>
          <cell r="G133" t="str">
            <v>BW</v>
          </cell>
        </row>
        <row r="134">
          <cell r="C134" t="str">
            <v>A22M011</v>
          </cell>
          <cell r="D134" t="str">
            <v>FK-508 FAX KIT</v>
          </cell>
          <cell r="E134">
            <v>3284</v>
          </cell>
          <cell r="F134">
            <v>0.65470494417863001</v>
          </cell>
          <cell r="G134" t="str">
            <v>BW</v>
          </cell>
        </row>
        <row r="135">
          <cell r="C135" t="str">
            <v>A2A0WY0</v>
          </cell>
          <cell r="D135" t="str">
            <v>MK-726 FAX MOUNT KIT FOR FK-508</v>
          </cell>
          <cell r="E135">
            <v>3287</v>
          </cell>
          <cell r="F135">
            <v>0.65530303030303005</v>
          </cell>
          <cell r="G135" t="str">
            <v>BW</v>
          </cell>
        </row>
        <row r="136">
          <cell r="C136" t="str">
            <v>A1UD011</v>
          </cell>
          <cell r="D136" t="str">
            <v>BIZHUB 423</v>
          </cell>
          <cell r="E136">
            <v>3160</v>
          </cell>
          <cell r="G136" t="str">
            <v>BW</v>
          </cell>
        </row>
        <row r="137">
          <cell r="C137">
            <v>4614506</v>
          </cell>
          <cell r="D137" t="str">
            <v>SP-501 STAMP UNIT</v>
          </cell>
          <cell r="E137">
            <v>19</v>
          </cell>
          <cell r="F137">
            <v>6.0126582278499999E-3</v>
          </cell>
          <cell r="G137" t="str">
            <v>BW</v>
          </cell>
        </row>
        <row r="138">
          <cell r="C138">
            <v>4614511</v>
          </cell>
          <cell r="D138" t="str">
            <v>SPARE TX MARKER STAMP 2</v>
          </cell>
          <cell r="E138">
            <v>6</v>
          </cell>
          <cell r="F138">
            <v>1.89873417722E-3</v>
          </cell>
          <cell r="G138" t="str">
            <v>BW</v>
          </cell>
        </row>
        <row r="139">
          <cell r="C139">
            <v>4623472</v>
          </cell>
          <cell r="D139" t="str">
            <v>*KEY COUNTER ATTACHMENT KIT</v>
          </cell>
          <cell r="E139">
            <v>0</v>
          </cell>
          <cell r="F139">
            <v>0</v>
          </cell>
          <cell r="G139" t="str">
            <v>BW</v>
          </cell>
        </row>
        <row r="140">
          <cell r="C140">
            <v>7640005064</v>
          </cell>
          <cell r="D140" t="str">
            <v>AU-201H HID CARD AUTHENTICATION UNIT</v>
          </cell>
          <cell r="E140">
            <v>100</v>
          </cell>
          <cell r="F140">
            <v>3.1645569620250003E-2</v>
          </cell>
          <cell r="G140" t="str">
            <v>BW</v>
          </cell>
        </row>
        <row r="141">
          <cell r="C141">
            <v>7640005261</v>
          </cell>
          <cell r="D141" t="str">
            <v>HID PROXIMITY CARD 10 PACK</v>
          </cell>
          <cell r="E141">
            <v>3</v>
          </cell>
          <cell r="F141">
            <v>9.4936708860999999E-4</v>
          </cell>
          <cell r="G141" t="str">
            <v>BW</v>
          </cell>
        </row>
        <row r="142">
          <cell r="C142">
            <v>7640006869</v>
          </cell>
          <cell r="D142" t="str">
            <v>EXT KEYBRD(CHERRY KEYBD G84-4100LCAUS-2)</v>
          </cell>
          <cell r="E142">
            <v>98</v>
          </cell>
          <cell r="F142">
            <v>3.1012658227850001E-2</v>
          </cell>
          <cell r="G142" t="str">
            <v>BW</v>
          </cell>
        </row>
        <row r="143">
          <cell r="C143">
            <v>7640008394</v>
          </cell>
          <cell r="D143" t="str">
            <v>AU-202H ICLASS CARD READER</v>
          </cell>
          <cell r="E143">
            <v>25</v>
          </cell>
          <cell r="F143">
            <v>7.9113924050599992E-3</v>
          </cell>
          <cell r="G143" t="str">
            <v>BW</v>
          </cell>
        </row>
        <row r="144">
          <cell r="C144" t="str">
            <v>A083WY2</v>
          </cell>
          <cell r="D144" t="str">
            <v>JS-505 INNER SEPARATOR TRAY</v>
          </cell>
          <cell r="E144">
            <v>196</v>
          </cell>
          <cell r="F144">
            <v>6.2025316455700003E-2</v>
          </cell>
          <cell r="G144" t="str">
            <v>BW</v>
          </cell>
        </row>
        <row r="145">
          <cell r="C145" t="str">
            <v>A0HRWY2</v>
          </cell>
          <cell r="D145" t="str">
            <v>FS-527 FINISHER</v>
          </cell>
          <cell r="E145">
            <v>2148</v>
          </cell>
          <cell r="F145">
            <v>0.67974683544304004</v>
          </cell>
          <cell r="G145" t="str">
            <v>BW</v>
          </cell>
        </row>
        <row r="146">
          <cell r="C146" t="str">
            <v>A0PD012</v>
          </cell>
          <cell r="D146" t="str">
            <v>3LK-102 LICENSE KIT</v>
          </cell>
          <cell r="E146">
            <v>14</v>
          </cell>
          <cell r="F146">
            <v>4.4303797468400003E-3</v>
          </cell>
          <cell r="G146" t="str">
            <v>BW</v>
          </cell>
        </row>
        <row r="147">
          <cell r="C147" t="str">
            <v>A0PD015</v>
          </cell>
          <cell r="D147" t="str">
            <v>LK-105 LICENSE KIT (SEARCHABLE PDF)</v>
          </cell>
          <cell r="E147">
            <v>51</v>
          </cell>
          <cell r="F147">
            <v>1.6139240506330001E-2</v>
          </cell>
          <cell r="G147" t="str">
            <v>BW</v>
          </cell>
        </row>
        <row r="148">
          <cell r="C148" t="str">
            <v>A0PD01A</v>
          </cell>
          <cell r="D148" t="str">
            <v>i-Option LK-101 v2</v>
          </cell>
          <cell r="E148">
            <v>53</v>
          </cell>
          <cell r="F148">
            <v>1.6772151898729999E-2</v>
          </cell>
          <cell r="G148" t="str">
            <v>BW</v>
          </cell>
        </row>
        <row r="149">
          <cell r="C149" t="str">
            <v>A0U7WY2</v>
          </cell>
          <cell r="D149" t="str">
            <v>FS-529 INNER STAPLE FINISHER</v>
          </cell>
          <cell r="E149">
            <v>632</v>
          </cell>
          <cell r="F149">
            <v>0.2</v>
          </cell>
          <cell r="G149" t="str">
            <v>BW</v>
          </cell>
        </row>
        <row r="150">
          <cell r="C150" t="str">
            <v>A0W4WY1</v>
          </cell>
          <cell r="D150" t="str">
            <v>*WT-506 Working Table</v>
          </cell>
          <cell r="E150">
            <v>0</v>
          </cell>
          <cell r="F150">
            <v>0</v>
          </cell>
          <cell r="G150" t="str">
            <v>BW</v>
          </cell>
        </row>
        <row r="151">
          <cell r="C151" t="str">
            <v>A0X9WY1</v>
          </cell>
          <cell r="D151" t="str">
            <v>AU-102 Biometric Authentication Unit</v>
          </cell>
          <cell r="E151">
            <v>16</v>
          </cell>
          <cell r="F151">
            <v>5.0632911392399999E-3</v>
          </cell>
          <cell r="G151" t="str">
            <v>BW</v>
          </cell>
        </row>
        <row r="152">
          <cell r="C152" t="str">
            <v>A0Y9WY1</v>
          </cell>
          <cell r="D152" t="str">
            <v>SC-507 Security Kit (Copy Guard Protecti</v>
          </cell>
          <cell r="E152">
            <v>3</v>
          </cell>
          <cell r="F152">
            <v>9.4936708860999999E-4</v>
          </cell>
          <cell r="G152" t="str">
            <v>BW</v>
          </cell>
        </row>
        <row r="153">
          <cell r="C153" t="str">
            <v>A0YCWY3</v>
          </cell>
          <cell r="D153" t="str">
            <v>EK-605 USB</v>
          </cell>
          <cell r="E153">
            <v>28</v>
          </cell>
          <cell r="F153">
            <v>8.86075949367E-3</v>
          </cell>
          <cell r="G153" t="str">
            <v>BW</v>
          </cell>
        </row>
        <row r="154">
          <cell r="C154" t="str">
            <v>A0YCWY4</v>
          </cell>
          <cell r="D154" t="str">
            <v>EK-604 USB</v>
          </cell>
          <cell r="E154">
            <v>66</v>
          </cell>
          <cell r="F154">
            <v>2.088607594937E-2</v>
          </cell>
          <cell r="G154" t="str">
            <v>BW</v>
          </cell>
        </row>
        <row r="155">
          <cell r="C155" t="str">
            <v>A0YDWY1</v>
          </cell>
          <cell r="D155" t="str">
            <v>*UK-203 i-Option Upgrade Kit (1 GB)</v>
          </cell>
          <cell r="E155">
            <v>62</v>
          </cell>
          <cell r="F155">
            <v>1.9620253164559998E-2</v>
          </cell>
          <cell r="G155" t="str">
            <v>BW</v>
          </cell>
        </row>
        <row r="156">
          <cell r="C156" t="str">
            <v>A10DWY1</v>
          </cell>
          <cell r="D156" t="str">
            <v>SD-509 SADDLE KIT</v>
          </cell>
          <cell r="E156">
            <v>68</v>
          </cell>
          <cell r="F156">
            <v>2.1518987341770001E-2</v>
          </cell>
          <cell r="G156" t="str">
            <v>BW</v>
          </cell>
        </row>
        <row r="157">
          <cell r="C157" t="str">
            <v>A10EW11</v>
          </cell>
          <cell r="D157" t="str">
            <v>PK-517 2/3-HOLE PUNCH KIT FOR FS-527</v>
          </cell>
          <cell r="E157">
            <v>1051</v>
          </cell>
          <cell r="F157">
            <v>0.33259493670885998</v>
          </cell>
          <cell r="G157" t="str">
            <v>BW</v>
          </cell>
        </row>
        <row r="158">
          <cell r="C158" t="str">
            <v>A10FWY1</v>
          </cell>
          <cell r="D158" t="str">
            <v>JS-603 JOB SEPARATOR TRAY</v>
          </cell>
          <cell r="E158">
            <v>204</v>
          </cell>
          <cell r="F158">
            <v>6.4556962025320005E-2</v>
          </cell>
          <cell r="G158" t="str">
            <v>BW</v>
          </cell>
        </row>
        <row r="159">
          <cell r="C159" t="str">
            <v>A165WY1</v>
          </cell>
          <cell r="D159" t="str">
            <v>KH-101 EXTERNAL KEYBOARD HOLDER</v>
          </cell>
          <cell r="E159">
            <v>95</v>
          </cell>
          <cell r="F159">
            <v>3.006329113924E-2</v>
          </cell>
          <cell r="G159" t="str">
            <v>BW</v>
          </cell>
        </row>
        <row r="160">
          <cell r="C160" t="str">
            <v>A1V4W13</v>
          </cell>
          <cell r="D160" t="str">
            <v>PC-409 LARGE CAPACITY CABINET (2500)</v>
          </cell>
          <cell r="E160">
            <v>1571</v>
          </cell>
          <cell r="F160">
            <v>0.49715189873417998</v>
          </cell>
          <cell r="G160" t="str">
            <v>BW</v>
          </cell>
        </row>
        <row r="161">
          <cell r="C161" t="str">
            <v>A1V4WY1</v>
          </cell>
          <cell r="D161" t="str">
            <v>PC-109 PAPER FEED CABINET (500X1)</v>
          </cell>
          <cell r="E161">
            <v>143</v>
          </cell>
          <cell r="F161">
            <v>4.5253164556959997E-2</v>
          </cell>
          <cell r="G161" t="str">
            <v>BW</v>
          </cell>
        </row>
        <row r="162">
          <cell r="C162" t="str">
            <v>A1V4WY2</v>
          </cell>
          <cell r="D162" t="str">
            <v>PC-208 PAPER FEED CABINET (500X2)</v>
          </cell>
          <cell r="E162">
            <v>778</v>
          </cell>
          <cell r="F162">
            <v>0.24620253164556999</v>
          </cell>
          <cell r="G162" t="str">
            <v>BW</v>
          </cell>
        </row>
        <row r="163">
          <cell r="C163" t="str">
            <v>A1V4WY4</v>
          </cell>
          <cell r="D163" t="str">
            <v>*DK-508 DESK</v>
          </cell>
          <cell r="E163">
            <v>1</v>
          </cell>
          <cell r="F163">
            <v>3.1645569619999999E-4</v>
          </cell>
          <cell r="G163" t="str">
            <v>BW</v>
          </cell>
        </row>
        <row r="164">
          <cell r="C164" t="str">
            <v>A22M011</v>
          </cell>
          <cell r="D164" t="str">
            <v>FK-508 FAX KIT</v>
          </cell>
          <cell r="E164">
            <v>1958</v>
          </cell>
          <cell r="F164">
            <v>0.61962025316456004</v>
          </cell>
          <cell r="G164" t="str">
            <v>BW</v>
          </cell>
        </row>
        <row r="165">
          <cell r="C165" t="str">
            <v>A2A0WY0</v>
          </cell>
          <cell r="D165" t="str">
            <v>MK-726 FAX MOUNT KIT FOR FK-508</v>
          </cell>
          <cell r="E165">
            <v>1953</v>
          </cell>
          <cell r="F165">
            <v>0.61803797468354005</v>
          </cell>
          <cell r="G165" t="str">
            <v>BW</v>
          </cell>
        </row>
        <row r="166">
          <cell r="C166" t="str">
            <v>A0R5011</v>
          </cell>
          <cell r="D166" t="str">
            <v>BIZHUB 501 PRINTER/COPIER</v>
          </cell>
          <cell r="E166">
            <v>732</v>
          </cell>
        </row>
        <row r="167">
          <cell r="C167" t="str">
            <v>15LB</v>
          </cell>
          <cell r="D167" t="str">
            <v>FK-502 FAX KIT</v>
          </cell>
          <cell r="E167">
            <v>466</v>
          </cell>
          <cell r="F167">
            <v>0.63661202185791999</v>
          </cell>
        </row>
        <row r="168">
          <cell r="C168" t="str">
            <v>16LA</v>
          </cell>
          <cell r="D168" t="str">
            <v>MK-708 MOUNT KIT</v>
          </cell>
          <cell r="E168">
            <v>439</v>
          </cell>
          <cell r="F168">
            <v>0.59972677595627999</v>
          </cell>
        </row>
        <row r="169">
          <cell r="C169" t="str">
            <v>16PA</v>
          </cell>
          <cell r="D169" t="str">
            <v>ML-503 FAX DUAL LINE UNIT</v>
          </cell>
          <cell r="E169">
            <v>11</v>
          </cell>
          <cell r="F169">
            <v>1.502732240437E-2</v>
          </cell>
        </row>
        <row r="170">
          <cell r="C170">
            <v>4347711</v>
          </cell>
          <cell r="D170" t="str">
            <v>JS-502  JOB SEPARATOR TRAY</v>
          </cell>
          <cell r="E170">
            <v>29</v>
          </cell>
          <cell r="F170">
            <v>3.9617486338800002E-2</v>
          </cell>
        </row>
        <row r="171">
          <cell r="C171">
            <v>4510761</v>
          </cell>
          <cell r="D171" t="str">
            <v>MAIL BIN KIT MT-502</v>
          </cell>
          <cell r="E171">
            <v>2</v>
          </cell>
          <cell r="F171">
            <v>2.73224043716E-3</v>
          </cell>
        </row>
        <row r="172">
          <cell r="C172">
            <v>4512812</v>
          </cell>
          <cell r="D172" t="str">
            <v>PU-501 PUNCH UNIT</v>
          </cell>
          <cell r="E172">
            <v>314</v>
          </cell>
          <cell r="F172">
            <v>0.42896174863387998</v>
          </cell>
        </row>
        <row r="173">
          <cell r="C173">
            <v>4614506</v>
          </cell>
          <cell r="D173" t="str">
            <v>SP-501 STAMP UNIT</v>
          </cell>
          <cell r="E173">
            <v>5</v>
          </cell>
          <cell r="F173">
            <v>6.8306010928999997E-3</v>
          </cell>
        </row>
        <row r="174">
          <cell r="C174">
            <v>4614511</v>
          </cell>
          <cell r="D174" t="str">
            <v>SPARE TX MARKER STAMP 2</v>
          </cell>
          <cell r="E174">
            <v>5</v>
          </cell>
          <cell r="F174">
            <v>6.8306010928999997E-3</v>
          </cell>
        </row>
        <row r="175">
          <cell r="C175">
            <v>4625246</v>
          </cell>
          <cell r="D175" t="str">
            <v>OUTPUT TRAY OT-602</v>
          </cell>
          <cell r="E175">
            <v>15</v>
          </cell>
          <cell r="F175">
            <v>2.0491803278690001E-2</v>
          </cell>
        </row>
        <row r="176">
          <cell r="C176">
            <v>7640008435</v>
          </cell>
          <cell r="D176" t="str">
            <v>HD-509 HARD DISK KIT (MXI-120GB)</v>
          </cell>
          <cell r="E176">
            <v>638</v>
          </cell>
          <cell r="F176">
            <v>0.87158469945354999</v>
          </cell>
        </row>
        <row r="177">
          <cell r="C177" t="str">
            <v>A07EWW0</v>
          </cell>
          <cell r="D177" t="str">
            <v>WT-502 WORKING TABLE</v>
          </cell>
          <cell r="E177">
            <v>268</v>
          </cell>
          <cell r="F177">
            <v>0.36612021857922999</v>
          </cell>
        </row>
        <row r="178">
          <cell r="C178" t="str">
            <v>A09MWY0</v>
          </cell>
          <cell r="D178" t="str">
            <v>*AU-101 BIOMETRICS AUTHENTICATION DEVICE</v>
          </cell>
          <cell r="E178">
            <v>0</v>
          </cell>
          <cell r="F178">
            <v>0</v>
          </cell>
        </row>
        <row r="179">
          <cell r="C179" t="str">
            <v>A0HN0Y1</v>
          </cell>
          <cell r="D179" t="str">
            <v>FS-522 BASE FINISHER</v>
          </cell>
          <cell r="E179">
            <v>586</v>
          </cell>
          <cell r="F179">
            <v>0.80054644808743003</v>
          </cell>
        </row>
        <row r="180">
          <cell r="C180" t="str">
            <v>A0P4WY1</v>
          </cell>
          <cell r="D180" t="str">
            <v>EK-703 LOCAL INTERFACE KIT</v>
          </cell>
          <cell r="E180">
            <v>22</v>
          </cell>
          <cell r="F180">
            <v>3.005464480874E-2</v>
          </cell>
        </row>
        <row r="181">
          <cell r="C181" t="str">
            <v>A0P6WY1</v>
          </cell>
          <cell r="D181" t="str">
            <v>*HD-509 HARD DISK KIT</v>
          </cell>
          <cell r="E181">
            <v>0</v>
          </cell>
          <cell r="F181">
            <v>0</v>
          </cell>
        </row>
        <row r="182">
          <cell r="C182" t="str">
            <v>A0P80Y1</v>
          </cell>
          <cell r="D182" t="str">
            <v>IC-207 IMAGE CONTROLLER</v>
          </cell>
          <cell r="E182">
            <v>702</v>
          </cell>
          <cell r="F182">
            <v>0.95901639344262002</v>
          </cell>
        </row>
        <row r="183">
          <cell r="C183" t="str">
            <v>A0PAWY1</v>
          </cell>
          <cell r="D183" t="str">
            <v>SC-505 SECURITY KIT</v>
          </cell>
          <cell r="E183">
            <v>286</v>
          </cell>
          <cell r="F183">
            <v>0.39071038251366003</v>
          </cell>
        </row>
        <row r="184">
          <cell r="C184" t="str">
            <v>A0PGW21</v>
          </cell>
          <cell r="D184" t="str">
            <v>SD-507 SADDLE STITCH KIT</v>
          </cell>
          <cell r="E184">
            <v>21</v>
          </cell>
          <cell r="F184">
            <v>2.8688524590160001E-2</v>
          </cell>
        </row>
        <row r="185">
          <cell r="C185" t="str">
            <v>A0PH0Y2</v>
          </cell>
          <cell r="D185" t="str">
            <v>FS-523 CONSOLE FINISHER</v>
          </cell>
          <cell r="E185">
            <v>69</v>
          </cell>
          <cell r="F185">
            <v>9.4262295081969996E-2</v>
          </cell>
        </row>
        <row r="186">
          <cell r="C186" t="str">
            <v>A0R90Y1</v>
          </cell>
          <cell r="D186" t="str">
            <v>LU-203 LARGE CAPACITY PAPER UNIT</v>
          </cell>
          <cell r="E186">
            <v>7</v>
          </cell>
          <cell r="F186">
            <v>9.5628415300499994E-3</v>
          </cell>
        </row>
        <row r="187">
          <cell r="C187" t="str">
            <v>A0RA0Y1</v>
          </cell>
          <cell r="D187" t="str">
            <v>OT-504 OUTPUT TRAY</v>
          </cell>
          <cell r="E187">
            <v>90</v>
          </cell>
          <cell r="F187">
            <v>0.12295081967212999</v>
          </cell>
        </row>
        <row r="188">
          <cell r="C188" t="str">
            <v>A0RC011</v>
          </cell>
          <cell r="D188" t="str">
            <v>PC-407 PAPER FEED CABINET (2500 SHEETS)</v>
          </cell>
          <cell r="E188">
            <v>499</v>
          </cell>
          <cell r="F188">
            <v>0.68169398907103995</v>
          </cell>
        </row>
        <row r="189">
          <cell r="C189" t="str">
            <v>A0RC0Y1</v>
          </cell>
          <cell r="D189" t="str">
            <v>PC-206 PAPER FEED CABINET(500 SHEETS X2)</v>
          </cell>
          <cell r="E189">
            <v>130</v>
          </cell>
          <cell r="F189">
            <v>0.17759562841529999</v>
          </cell>
        </row>
        <row r="190">
          <cell r="C190" t="str">
            <v>A0RC0Y3</v>
          </cell>
          <cell r="D190" t="str">
            <v>DK-506 COPY DESK</v>
          </cell>
          <cell r="E190">
            <v>120</v>
          </cell>
          <cell r="F190">
            <v>0.16393442622950999</v>
          </cell>
        </row>
        <row r="191">
          <cell r="C191" t="str">
            <v>A2WV011</v>
          </cell>
          <cell r="D191" t="str">
            <v>BIZHUB 552 PRINTER/COPIER</v>
          </cell>
          <cell r="E191">
            <v>1879</v>
          </cell>
          <cell r="G191" t="str">
            <v>BW</v>
          </cell>
        </row>
        <row r="192">
          <cell r="C192" t="str">
            <v>15LB</v>
          </cell>
          <cell r="D192" t="str">
            <v>FK-502 FAX KIT</v>
          </cell>
          <cell r="E192">
            <v>909</v>
          </cell>
          <cell r="F192">
            <v>0.48376796168175001</v>
          </cell>
          <cell r="G192" t="str">
            <v>BW</v>
          </cell>
        </row>
        <row r="193">
          <cell r="C193" t="str">
            <v>15LBX005</v>
          </cell>
          <cell r="D193" t="str">
            <v>C652/C552 FAX KIT [FK-502] + [MK-720]</v>
          </cell>
          <cell r="E193">
            <v>0</v>
          </cell>
          <cell r="F193">
            <v>0</v>
          </cell>
          <cell r="G193" t="str">
            <v>BW</v>
          </cell>
        </row>
        <row r="194">
          <cell r="C194">
            <v>4614506</v>
          </cell>
          <cell r="D194" t="str">
            <v>SP-501 STAMP UNIT</v>
          </cell>
          <cell r="E194">
            <v>0</v>
          </cell>
          <cell r="F194">
            <v>0</v>
          </cell>
          <cell r="G194" t="str">
            <v>BW</v>
          </cell>
        </row>
        <row r="195">
          <cell r="C195">
            <v>4614511</v>
          </cell>
          <cell r="D195" t="str">
            <v>SPARE TX MARKER STAMP 2</v>
          </cell>
          <cell r="E195">
            <v>2</v>
          </cell>
          <cell r="F195">
            <v>1.0643959553E-3</v>
          </cell>
          <cell r="G195" t="str">
            <v>BW</v>
          </cell>
        </row>
        <row r="196">
          <cell r="C196">
            <v>4623472</v>
          </cell>
          <cell r="D196" t="str">
            <v>*KEY COUNTER ATTACHMENT KIT</v>
          </cell>
          <cell r="E196">
            <v>0</v>
          </cell>
          <cell r="F196">
            <v>0</v>
          </cell>
          <cell r="G196" t="str">
            <v>BW</v>
          </cell>
        </row>
        <row r="197">
          <cell r="C197">
            <v>7640005064</v>
          </cell>
          <cell r="D197" t="str">
            <v>AU-201H HID CARD AUTHENTICATION UNIT</v>
          </cell>
          <cell r="E197">
            <v>108</v>
          </cell>
          <cell r="F197">
            <v>5.7477381585949998E-2</v>
          </cell>
          <cell r="G197" t="str">
            <v>BW</v>
          </cell>
        </row>
        <row r="198">
          <cell r="C198">
            <v>7640005261</v>
          </cell>
          <cell r="D198" t="str">
            <v>HID PROXIMITY CARD 10 PACK</v>
          </cell>
          <cell r="E198">
            <v>2</v>
          </cell>
          <cell r="F198">
            <v>1.0643959553E-3</v>
          </cell>
          <cell r="G198" t="str">
            <v>BW</v>
          </cell>
        </row>
        <row r="199">
          <cell r="C199">
            <v>7640006869</v>
          </cell>
          <cell r="D199" t="str">
            <v>EXT KEYBRD(CHERRY KEYBD G84-4100LCAUS-2)</v>
          </cell>
          <cell r="E199">
            <v>67</v>
          </cell>
          <cell r="F199">
            <v>3.5657264502389999E-2</v>
          </cell>
          <cell r="G199" t="str">
            <v>BW</v>
          </cell>
        </row>
        <row r="200">
          <cell r="C200">
            <v>7640008394</v>
          </cell>
          <cell r="D200" t="str">
            <v>AU-202H ICLASS CARD READER</v>
          </cell>
          <cell r="E200">
            <v>6</v>
          </cell>
          <cell r="F200">
            <v>3.19318786589E-3</v>
          </cell>
          <cell r="G200" t="str">
            <v>BW</v>
          </cell>
        </row>
        <row r="201">
          <cell r="C201">
            <v>7640013463</v>
          </cell>
          <cell r="D201" t="str">
            <v>CONVENIENCE STAPLER CS-1</v>
          </cell>
          <cell r="E201">
            <v>16</v>
          </cell>
          <cell r="F201">
            <v>8.5151676423600008E-3</v>
          </cell>
          <cell r="G201" t="str">
            <v>BW</v>
          </cell>
        </row>
        <row r="202">
          <cell r="C202">
            <v>7640013468</v>
          </cell>
          <cell r="D202" t="str">
            <v>AU-204H MagStripe card reader</v>
          </cell>
          <cell r="E202">
            <v>10</v>
          </cell>
          <cell r="F202">
            <v>5.3219797764800002E-3</v>
          </cell>
          <cell r="G202" t="str">
            <v>BW</v>
          </cell>
        </row>
        <row r="203">
          <cell r="C203" t="str">
            <v>A03N0Y1</v>
          </cell>
          <cell r="D203" t="str">
            <v>*LU-301 LCT (3000 SHEETS)</v>
          </cell>
          <cell r="E203">
            <v>0</v>
          </cell>
          <cell r="F203">
            <v>0</v>
          </cell>
          <cell r="G203" t="str">
            <v>BW</v>
          </cell>
        </row>
        <row r="204">
          <cell r="C204" t="str">
            <v>A092WW0</v>
          </cell>
          <cell r="D204" t="str">
            <v>*OT-503 OUTPUT TRAY KIT</v>
          </cell>
          <cell r="E204">
            <v>0</v>
          </cell>
          <cell r="F204">
            <v>0</v>
          </cell>
          <cell r="G204" t="str">
            <v>BW</v>
          </cell>
        </row>
        <row r="205">
          <cell r="C205" t="str">
            <v>A0HRWY2</v>
          </cell>
          <cell r="D205" t="str">
            <v>FS-527 FINISHER</v>
          </cell>
          <cell r="E205">
            <v>1625</v>
          </cell>
          <cell r="F205">
            <v>0.86482171367748994</v>
          </cell>
          <cell r="G205" t="str">
            <v>BW</v>
          </cell>
        </row>
        <row r="206">
          <cell r="C206" t="str">
            <v>A0PD012</v>
          </cell>
          <cell r="D206" t="str">
            <v>3LK-102 LICENSE KIT</v>
          </cell>
          <cell r="E206">
            <v>2</v>
          </cell>
          <cell r="F206">
            <v>1.0643959553E-3</v>
          </cell>
          <cell r="G206" t="str">
            <v>BW</v>
          </cell>
        </row>
        <row r="207">
          <cell r="C207" t="str">
            <v>A0PD015</v>
          </cell>
          <cell r="D207" t="str">
            <v>LK-105 LICENSE KIT (SEARCHABLE PDF)</v>
          </cell>
          <cell r="E207">
            <v>32</v>
          </cell>
          <cell r="F207">
            <v>1.7030335284730001E-2</v>
          </cell>
          <cell r="G207" t="str">
            <v>BW</v>
          </cell>
        </row>
        <row r="208">
          <cell r="C208" t="str">
            <v>A0PD01A</v>
          </cell>
          <cell r="D208" t="str">
            <v>i-Option LK-101 v2</v>
          </cell>
          <cell r="E208">
            <v>14</v>
          </cell>
          <cell r="F208">
            <v>7.45077168707E-3</v>
          </cell>
          <cell r="G208" t="str">
            <v>BW</v>
          </cell>
        </row>
        <row r="209">
          <cell r="C209" t="str">
            <v>A0PD160200</v>
          </cell>
          <cell r="D209" t="str">
            <v>INFO LINE Palette Stylus Pen</v>
          </cell>
          <cell r="E209">
            <v>6</v>
          </cell>
          <cell r="F209">
            <v>3.19318786589E-3</v>
          </cell>
          <cell r="G209" t="str">
            <v>BW</v>
          </cell>
        </row>
        <row r="210">
          <cell r="C210" t="str">
            <v>A0TJWY2</v>
          </cell>
          <cell r="D210" t="str">
            <v>*LU-204 Large Capacity Unit</v>
          </cell>
          <cell r="E210">
            <v>1</v>
          </cell>
          <cell r="F210">
            <v>5.3219797765000001E-4</v>
          </cell>
          <cell r="G210" t="str">
            <v>BW</v>
          </cell>
        </row>
        <row r="211">
          <cell r="C211" t="str">
            <v>A0W4WY1</v>
          </cell>
          <cell r="D211" t="str">
            <v>*WT-506 Working Table</v>
          </cell>
          <cell r="E211">
            <v>16</v>
          </cell>
          <cell r="F211">
            <v>8.5151676423600008E-3</v>
          </cell>
          <cell r="G211" t="str">
            <v>BW</v>
          </cell>
        </row>
        <row r="212">
          <cell r="C212" t="str">
            <v>A0X9WY1</v>
          </cell>
          <cell r="D212" t="str">
            <v>AU-102 Biometric Authentication Unit</v>
          </cell>
          <cell r="E212">
            <v>13</v>
          </cell>
          <cell r="F212">
            <v>6.9185737094200001E-3</v>
          </cell>
          <cell r="G212" t="str">
            <v>BW</v>
          </cell>
        </row>
        <row r="213">
          <cell r="C213" t="str">
            <v>A0Y9WY1</v>
          </cell>
          <cell r="D213" t="str">
            <v>SC-507 Security Kit (Copy Guard Protecti</v>
          </cell>
          <cell r="E213">
            <v>2</v>
          </cell>
          <cell r="F213">
            <v>1.0643959553E-3</v>
          </cell>
          <cell r="G213" t="str">
            <v>BW</v>
          </cell>
        </row>
        <row r="214">
          <cell r="C214" t="str">
            <v>A0YAWY1</v>
          </cell>
          <cell r="D214" t="str">
            <v>MK-720 Fax Connection (PCI)</v>
          </cell>
          <cell r="E214">
            <v>880</v>
          </cell>
          <cell r="F214">
            <v>0.46833422032996003</v>
          </cell>
          <cell r="G214" t="str">
            <v>BW</v>
          </cell>
        </row>
        <row r="215">
          <cell r="C215" t="str">
            <v>A0YCWY3</v>
          </cell>
          <cell r="D215" t="str">
            <v>EK-605 USB</v>
          </cell>
          <cell r="E215">
            <v>13</v>
          </cell>
          <cell r="F215">
            <v>6.9185737094200001E-3</v>
          </cell>
          <cell r="G215" t="str">
            <v>BW</v>
          </cell>
        </row>
        <row r="216">
          <cell r="C216" t="str">
            <v>A0YCWY4</v>
          </cell>
          <cell r="D216" t="str">
            <v>EK-604 USB</v>
          </cell>
          <cell r="E216">
            <v>50</v>
          </cell>
          <cell r="F216">
            <v>2.6609898882379999E-2</v>
          </cell>
          <cell r="G216" t="str">
            <v>BW</v>
          </cell>
        </row>
        <row r="217">
          <cell r="C217" t="str">
            <v>A0YDWY1</v>
          </cell>
          <cell r="D217" t="str">
            <v>*UK-203 i-Option Upgrade Kit (1 GB)</v>
          </cell>
          <cell r="E217">
            <v>15</v>
          </cell>
          <cell r="F217">
            <v>7.9829696647200007E-3</v>
          </cell>
          <cell r="G217" t="str">
            <v>BW</v>
          </cell>
        </row>
        <row r="218">
          <cell r="C218" t="str">
            <v>A109W11</v>
          </cell>
          <cell r="D218" t="str">
            <v>*ZU-606 Z-Fold Unit</v>
          </cell>
          <cell r="E218">
            <v>0</v>
          </cell>
          <cell r="F218">
            <v>0</v>
          </cell>
          <cell r="G218" t="str">
            <v>BW</v>
          </cell>
        </row>
        <row r="219">
          <cell r="C219" t="str">
            <v>A10AWY1</v>
          </cell>
          <cell r="D219" t="str">
            <v>PI-505 Post Inserter</v>
          </cell>
          <cell r="E219">
            <v>7</v>
          </cell>
          <cell r="F219">
            <v>3.7253858435300001E-3</v>
          </cell>
          <cell r="G219" t="str">
            <v>BW</v>
          </cell>
        </row>
        <row r="220">
          <cell r="C220" t="str">
            <v>A10CWY1</v>
          </cell>
          <cell r="D220" t="str">
            <v>JS-602 Job Separator</v>
          </cell>
          <cell r="E220">
            <v>25</v>
          </cell>
          <cell r="F220">
            <v>1.3304949441189999E-2</v>
          </cell>
          <cell r="G220" t="str">
            <v>BW</v>
          </cell>
        </row>
        <row r="221">
          <cell r="C221" t="str">
            <v>A10DWY1</v>
          </cell>
          <cell r="D221" t="str">
            <v>SD-509 SADDLE KIT</v>
          </cell>
          <cell r="E221">
            <v>99</v>
          </cell>
          <cell r="F221">
            <v>5.2687599787120003E-2</v>
          </cell>
          <cell r="G221" t="str">
            <v>BW</v>
          </cell>
        </row>
        <row r="222">
          <cell r="C222" t="str">
            <v>A10EW11</v>
          </cell>
          <cell r="D222" t="str">
            <v>PK-517 2/3-HOLE PUNCH KIT FOR FS-527</v>
          </cell>
          <cell r="E222">
            <v>714</v>
          </cell>
          <cell r="F222">
            <v>0.37998935604044998</v>
          </cell>
          <cell r="G222" t="str">
            <v>BW</v>
          </cell>
        </row>
        <row r="223">
          <cell r="C223" t="str">
            <v>A10FWY1</v>
          </cell>
          <cell r="D223" t="str">
            <v>JS-603 JOB SEPARATOR TRAY</v>
          </cell>
          <cell r="E223">
            <v>100</v>
          </cell>
          <cell r="F223">
            <v>5.3219797764769997E-2</v>
          </cell>
          <cell r="G223" t="str">
            <v>BW</v>
          </cell>
        </row>
        <row r="224">
          <cell r="C224" t="str">
            <v>A11PWY1</v>
          </cell>
          <cell r="D224" t="str">
            <v>FS-526 100-SHEET FINISHER</v>
          </cell>
          <cell r="E224">
            <v>154</v>
          </cell>
          <cell r="F224">
            <v>8.1958488557740003E-2</v>
          </cell>
          <cell r="G224" t="str">
            <v>BW</v>
          </cell>
        </row>
        <row r="225">
          <cell r="C225" t="str">
            <v>A11RWY1</v>
          </cell>
          <cell r="D225" t="str">
            <v>SD-508 Saddle Stitcher Kit for FS-526</v>
          </cell>
          <cell r="E225">
            <v>19</v>
          </cell>
          <cell r="F225">
            <v>1.011176157531E-2</v>
          </cell>
          <cell r="G225" t="str">
            <v>BW</v>
          </cell>
        </row>
        <row r="226">
          <cell r="C226" t="str">
            <v>A11TW11</v>
          </cell>
          <cell r="D226" t="str">
            <v>PK-516 2/3-Hole Punch Kit for FS-526</v>
          </cell>
          <cell r="E226">
            <v>59</v>
          </cell>
          <cell r="F226">
            <v>3.1399680681209997E-2</v>
          </cell>
          <cell r="G226" t="str">
            <v>BW</v>
          </cell>
        </row>
        <row r="227">
          <cell r="C227" t="str">
            <v>A165WY1</v>
          </cell>
          <cell r="D227" t="str">
            <v>KH-101 EXTERNAL KEYBOARD HOLDER</v>
          </cell>
          <cell r="E227">
            <v>61</v>
          </cell>
          <cell r="F227">
            <v>3.2464076636509999E-2</v>
          </cell>
          <cell r="G227" t="str">
            <v>BW</v>
          </cell>
        </row>
        <row r="228">
          <cell r="C228" t="str">
            <v>A1MUWY1</v>
          </cell>
          <cell r="D228" t="str">
            <v>SA-502 SCAN ACCELERATOR KIT</v>
          </cell>
          <cell r="E228">
            <v>5</v>
          </cell>
          <cell r="F228">
            <v>2.6609898882400001E-3</v>
          </cell>
          <cell r="G228" t="str">
            <v>BW</v>
          </cell>
        </row>
        <row r="229">
          <cell r="C229" t="str">
            <v>A0PP011</v>
          </cell>
          <cell r="D229" t="str">
            <v>**BIZHUB 601 PRINTER/COPIER</v>
          </cell>
          <cell r="E229">
            <v>561</v>
          </cell>
        </row>
        <row r="230">
          <cell r="C230" t="str">
            <v>15LB</v>
          </cell>
          <cell r="D230" t="str">
            <v>FK-502 FAX KIT</v>
          </cell>
          <cell r="E230">
            <v>245</v>
          </cell>
          <cell r="F230">
            <v>0.43672014260250003</v>
          </cell>
        </row>
        <row r="231">
          <cell r="C231" t="str">
            <v>15US</v>
          </cell>
          <cell r="D231" t="str">
            <v>PK-505 PUNCH KIT GENERIC</v>
          </cell>
          <cell r="E231">
            <v>313</v>
          </cell>
          <cell r="F231">
            <v>0.55793226381462002</v>
          </cell>
        </row>
        <row r="232">
          <cell r="C232">
            <v>7640005064</v>
          </cell>
          <cell r="D232" t="str">
            <v>AU-201H HID CARD AUTHENTICATION UNIT</v>
          </cell>
          <cell r="E232">
            <v>7</v>
          </cell>
          <cell r="F232">
            <v>1.247771836007E-2</v>
          </cell>
        </row>
        <row r="233">
          <cell r="C233">
            <v>7640005261</v>
          </cell>
          <cell r="D233" t="str">
            <v>HID PROXIMITY CARD 10 PACK</v>
          </cell>
          <cell r="E233">
            <v>6</v>
          </cell>
          <cell r="F233">
            <v>1.0695187165779999E-2</v>
          </cell>
        </row>
        <row r="234">
          <cell r="C234">
            <v>7640007640</v>
          </cell>
          <cell r="D234" t="str">
            <v>HD-510 HARD DISK KIT (MXI)</v>
          </cell>
          <cell r="E234">
            <v>535</v>
          </cell>
          <cell r="F234">
            <v>0.95365418894831</v>
          </cell>
        </row>
        <row r="235">
          <cell r="C235">
            <v>7640008082</v>
          </cell>
          <cell r="D235" t="str">
            <v>AU-211P CAC/PIV READER W/CERTIFICATE</v>
          </cell>
          <cell r="E235">
            <v>3</v>
          </cell>
          <cell r="F235">
            <v>5.3475935828899996E-3</v>
          </cell>
        </row>
        <row r="236">
          <cell r="C236">
            <v>7640013468</v>
          </cell>
          <cell r="D236" t="str">
            <v>AU-204H MagStripe card reader</v>
          </cell>
          <cell r="E236">
            <v>0</v>
          </cell>
          <cell r="F236">
            <v>0</v>
          </cell>
        </row>
        <row r="237">
          <cell r="C237" t="str">
            <v>A09MWY0</v>
          </cell>
          <cell r="D237" t="str">
            <v>*AU-101 BIOMETRICS AUTHENTICATION DEVICE</v>
          </cell>
          <cell r="E237">
            <v>0</v>
          </cell>
          <cell r="F237">
            <v>0</v>
          </cell>
        </row>
        <row r="238">
          <cell r="C238" t="str">
            <v>A0P4WY1</v>
          </cell>
          <cell r="D238" t="str">
            <v>EK-703 LOCAL INTERFACE KIT</v>
          </cell>
          <cell r="E238">
            <v>17</v>
          </cell>
          <cell r="F238">
            <v>3.0303030303029999E-2</v>
          </cell>
        </row>
        <row r="239">
          <cell r="C239" t="str">
            <v>A0P7WY1</v>
          </cell>
          <cell r="D239" t="str">
            <v>*HD-510 HARD DISK KIT</v>
          </cell>
          <cell r="E239">
            <v>1</v>
          </cell>
          <cell r="F239">
            <v>1.7825311943000001E-3</v>
          </cell>
        </row>
        <row r="240">
          <cell r="C240" t="str">
            <v>A0P90Y1</v>
          </cell>
          <cell r="D240" t="str">
            <v>IC-208 IMAGE CONTROLLER</v>
          </cell>
          <cell r="E240">
            <v>581</v>
          </cell>
          <cell r="F240">
            <v>1.03565062388592</v>
          </cell>
        </row>
        <row r="241">
          <cell r="C241" t="str">
            <v>A0PCWY1</v>
          </cell>
          <cell r="D241" t="str">
            <v>SC-506 SECURITY KIT</v>
          </cell>
          <cell r="E241">
            <v>110</v>
          </cell>
          <cell r="F241">
            <v>0.19607843137254999</v>
          </cell>
        </row>
        <row r="242">
          <cell r="C242" t="str">
            <v>A0PD011</v>
          </cell>
          <cell r="D242" t="str">
            <v>LK-101 LICENSE KIT</v>
          </cell>
          <cell r="E242">
            <v>1</v>
          </cell>
          <cell r="F242">
            <v>1.7825311943000001E-3</v>
          </cell>
        </row>
        <row r="243">
          <cell r="C243" t="str">
            <v>A0PD012</v>
          </cell>
          <cell r="D243" t="str">
            <v>3LK-102 LICENSE KIT</v>
          </cell>
          <cell r="E243">
            <v>1</v>
          </cell>
          <cell r="F243">
            <v>1.7825311943000001E-3</v>
          </cell>
        </row>
        <row r="244">
          <cell r="C244" t="str">
            <v>A0PNX001</v>
          </cell>
          <cell r="D244" t="str">
            <v>FAX KIT FOR BIZHUB 751/601</v>
          </cell>
          <cell r="E244">
            <v>0</v>
          </cell>
          <cell r="F244">
            <v>0</v>
          </cell>
        </row>
        <row r="245">
          <cell r="C245" t="str">
            <v>A0PR0Y2</v>
          </cell>
          <cell r="D245" t="str">
            <v>LU-405 LARGE CAPACITY UNIT (LETTER)</v>
          </cell>
          <cell r="E245">
            <v>84</v>
          </cell>
          <cell r="F245">
            <v>0.14973262032085999</v>
          </cell>
        </row>
        <row r="246">
          <cell r="C246" t="str">
            <v>A0PT0Y2</v>
          </cell>
          <cell r="D246" t="str">
            <v>LU-406 LARGE CAPACITY UNIT (UP TO 12X18)</v>
          </cell>
          <cell r="E246">
            <v>4</v>
          </cell>
          <cell r="F246">
            <v>7.1301247771799999E-3</v>
          </cell>
        </row>
        <row r="247">
          <cell r="C247" t="str">
            <v>A0PUWY1</v>
          </cell>
          <cell r="D247" t="str">
            <v>OT-505 OUTPUT TRAY</v>
          </cell>
          <cell r="E247">
            <v>38</v>
          </cell>
          <cell r="F247">
            <v>6.773618538324E-2</v>
          </cell>
        </row>
        <row r="248">
          <cell r="C248" t="str">
            <v>A0PV0Y1</v>
          </cell>
          <cell r="D248" t="str">
            <v>PI-504 POST INSERTER</v>
          </cell>
          <cell r="E248">
            <v>13</v>
          </cell>
          <cell r="F248">
            <v>2.317290552585E-2</v>
          </cell>
        </row>
        <row r="249">
          <cell r="C249" t="str">
            <v>A0PWWY1</v>
          </cell>
          <cell r="D249" t="str">
            <v>WT-504 WORKING TABLE</v>
          </cell>
          <cell r="E249">
            <v>162</v>
          </cell>
          <cell r="F249">
            <v>0.28877005347593998</v>
          </cell>
        </row>
        <row r="250">
          <cell r="C250" t="str">
            <v>A0PX0Y1</v>
          </cell>
          <cell r="D250" t="str">
            <v>GB-2SF-602 SHIFT TRAY</v>
          </cell>
          <cell r="E250">
            <v>6</v>
          </cell>
          <cell r="F250">
            <v>1.0695187165779999E-2</v>
          </cell>
        </row>
        <row r="251">
          <cell r="C251" t="str">
            <v>A0R00Y1</v>
          </cell>
          <cell r="D251" t="str">
            <v>ZU-605 Z-FOLD/2-3 HOLE PUNCH</v>
          </cell>
          <cell r="E251">
            <v>1</v>
          </cell>
          <cell r="F251">
            <v>1.7825311943000001E-3</v>
          </cell>
        </row>
        <row r="252">
          <cell r="C252" t="str">
            <v>A0R10Y1</v>
          </cell>
          <cell r="D252" t="str">
            <v>FS-524 FINISHER (50 PAGES)</v>
          </cell>
          <cell r="E252">
            <v>436</v>
          </cell>
          <cell r="F252">
            <v>0.77718360071300996</v>
          </cell>
        </row>
        <row r="253">
          <cell r="C253" t="str">
            <v>A0R20Y1</v>
          </cell>
          <cell r="D253" t="str">
            <v>FS-525 FINISHER (100 PAGES)</v>
          </cell>
          <cell r="E253">
            <v>60</v>
          </cell>
          <cell r="F253">
            <v>0.10695187165775</v>
          </cell>
        </row>
        <row r="254">
          <cell r="C254" t="str">
            <v>A0R30Y1</v>
          </cell>
          <cell r="D254" t="str">
            <v>FS-610 BOOKLET FINISHER</v>
          </cell>
          <cell r="E254">
            <v>101</v>
          </cell>
          <cell r="F254">
            <v>0.18003565062388999</v>
          </cell>
        </row>
        <row r="255">
          <cell r="C255" t="str">
            <v>A120WY1</v>
          </cell>
          <cell r="D255" t="str">
            <v>UK-202 UPGRADE KIT FOR LK-101/LK-102</v>
          </cell>
          <cell r="E255">
            <v>2</v>
          </cell>
          <cell r="F255">
            <v>3.5650623885899999E-3</v>
          </cell>
        </row>
        <row r="256">
          <cell r="C256" t="str">
            <v>A2WU011</v>
          </cell>
          <cell r="D256" t="str">
            <v>BIZHUB 652 PRINTER/COPIER</v>
          </cell>
          <cell r="E256">
            <v>1306</v>
          </cell>
        </row>
        <row r="257">
          <cell r="C257" t="str">
            <v>15LB</v>
          </cell>
          <cell r="D257" t="str">
            <v>FK-502 FAX KIT</v>
          </cell>
          <cell r="E257">
            <v>588</v>
          </cell>
          <cell r="F257">
            <v>0.45022970903522003</v>
          </cell>
        </row>
        <row r="258">
          <cell r="C258" t="str">
            <v>15LBX005</v>
          </cell>
          <cell r="D258" t="str">
            <v>C652/C552 FAX KIT [FK-502] + [MK-720]</v>
          </cell>
          <cell r="E258">
            <v>0</v>
          </cell>
          <cell r="F258">
            <v>0</v>
          </cell>
        </row>
        <row r="259">
          <cell r="C259">
            <v>4614506</v>
          </cell>
          <cell r="D259" t="str">
            <v>SP-501 STAMP UNIT</v>
          </cell>
          <cell r="E259">
            <v>3</v>
          </cell>
          <cell r="F259">
            <v>2.29709035222E-3</v>
          </cell>
        </row>
        <row r="260">
          <cell r="C260">
            <v>4614511</v>
          </cell>
          <cell r="D260" t="str">
            <v>SPARE TX MARKER STAMP 2</v>
          </cell>
          <cell r="E260">
            <v>1</v>
          </cell>
          <cell r="F260">
            <v>7.6569678406999996E-4</v>
          </cell>
        </row>
        <row r="261">
          <cell r="C261">
            <v>4623472</v>
          </cell>
          <cell r="D261" t="str">
            <v>*KEY COUNTER ATTACHMENT KIT</v>
          </cell>
          <cell r="E261">
            <v>0</v>
          </cell>
          <cell r="F261">
            <v>0</v>
          </cell>
        </row>
        <row r="262">
          <cell r="C262">
            <v>7640005064</v>
          </cell>
          <cell r="D262" t="str">
            <v>AU-201H HID CARD AUTHENTICATION UNIT</v>
          </cell>
          <cell r="E262">
            <v>211</v>
          </cell>
          <cell r="F262">
            <v>0.16156202143951001</v>
          </cell>
        </row>
        <row r="263">
          <cell r="C263">
            <v>7640005261</v>
          </cell>
          <cell r="D263" t="str">
            <v>HID PROXIMITY CARD 10 PACK</v>
          </cell>
          <cell r="E263">
            <v>1</v>
          </cell>
          <cell r="F263">
            <v>7.6569678406999996E-4</v>
          </cell>
        </row>
        <row r="264">
          <cell r="C264">
            <v>7640006869</v>
          </cell>
          <cell r="D264" t="str">
            <v>EXT KEYBRD(CHERRY KEYBD G84-4100LCAUS-2)</v>
          </cell>
          <cell r="E264">
            <v>44</v>
          </cell>
          <cell r="F264">
            <v>3.3690658499230003E-2</v>
          </cell>
        </row>
        <row r="265">
          <cell r="C265">
            <v>7640008394</v>
          </cell>
          <cell r="D265" t="str">
            <v>AU-202H ICLASS CARD READER</v>
          </cell>
          <cell r="E265">
            <v>9</v>
          </cell>
          <cell r="F265">
            <v>6.8912710566599996E-3</v>
          </cell>
        </row>
        <row r="266">
          <cell r="C266">
            <v>7640013463</v>
          </cell>
          <cell r="D266" t="str">
            <v>CONVENIENCE STAPLER CS-1</v>
          </cell>
          <cell r="E266">
            <v>62</v>
          </cell>
          <cell r="F266">
            <v>4.7473200612560003E-2</v>
          </cell>
        </row>
        <row r="267">
          <cell r="C267">
            <v>7640013468</v>
          </cell>
          <cell r="D267" t="str">
            <v>AU-204H MagStripe card reader</v>
          </cell>
          <cell r="E267">
            <v>9</v>
          </cell>
          <cell r="F267">
            <v>6.8912710566599996E-3</v>
          </cell>
        </row>
        <row r="268">
          <cell r="C268" t="str">
            <v>A03N0Y1</v>
          </cell>
          <cell r="D268" t="str">
            <v>*LU-301 LCT (3000 SHEETS)</v>
          </cell>
          <cell r="E268">
            <v>0</v>
          </cell>
          <cell r="F268">
            <v>0</v>
          </cell>
        </row>
        <row r="269">
          <cell r="C269" t="str">
            <v>A092WW0</v>
          </cell>
          <cell r="D269" t="str">
            <v>*OT-503 OUTPUT TRAY KIT</v>
          </cell>
          <cell r="E269">
            <v>0</v>
          </cell>
          <cell r="F269">
            <v>0</v>
          </cell>
        </row>
        <row r="270">
          <cell r="C270" t="str">
            <v>A0HRWY2</v>
          </cell>
          <cell r="D270" t="str">
            <v>FS-527 FINISHER</v>
          </cell>
          <cell r="E270">
            <v>1059</v>
          </cell>
          <cell r="F270">
            <v>0.81087289433384002</v>
          </cell>
        </row>
        <row r="271">
          <cell r="C271" t="str">
            <v>A0PD012</v>
          </cell>
          <cell r="D271" t="str">
            <v>3LK-102 LICENSE KIT</v>
          </cell>
          <cell r="E271">
            <v>3</v>
          </cell>
          <cell r="F271">
            <v>2.29709035222E-3</v>
          </cell>
        </row>
        <row r="272">
          <cell r="C272" t="str">
            <v>A0PD015</v>
          </cell>
          <cell r="D272" t="str">
            <v>LK-105 LICENSE KIT (SEARCHABLE PDF)</v>
          </cell>
          <cell r="E272">
            <v>20</v>
          </cell>
          <cell r="F272">
            <v>1.5313935681469999E-2</v>
          </cell>
        </row>
        <row r="273">
          <cell r="C273" t="str">
            <v>A0PD01A</v>
          </cell>
          <cell r="D273" t="str">
            <v>i-Option LK-101 v2</v>
          </cell>
          <cell r="E273">
            <v>25</v>
          </cell>
          <cell r="F273">
            <v>1.9142419601839999E-2</v>
          </cell>
        </row>
        <row r="274">
          <cell r="C274" t="str">
            <v>A0PD160200</v>
          </cell>
          <cell r="D274" t="str">
            <v>INFO LINE Palette Stylus Pen</v>
          </cell>
          <cell r="E274">
            <v>6</v>
          </cell>
          <cell r="F274">
            <v>4.59418070444E-3</v>
          </cell>
        </row>
        <row r="275">
          <cell r="C275" t="str">
            <v>A0TJWY2</v>
          </cell>
          <cell r="D275" t="str">
            <v>*LU-204 Large Capacity Unit</v>
          </cell>
          <cell r="E275">
            <v>1</v>
          </cell>
          <cell r="F275">
            <v>7.6569678406999996E-4</v>
          </cell>
        </row>
        <row r="276">
          <cell r="C276" t="str">
            <v>A0W4WY1</v>
          </cell>
          <cell r="D276" t="str">
            <v>*WT-506 Working Table</v>
          </cell>
          <cell r="E276">
            <v>9</v>
          </cell>
          <cell r="F276">
            <v>6.8912710566599996E-3</v>
          </cell>
        </row>
        <row r="277">
          <cell r="C277" t="str">
            <v>A0X9WY1</v>
          </cell>
          <cell r="D277" t="str">
            <v>AU-102 Biometric Authentication Unit</v>
          </cell>
          <cell r="E277">
            <v>23</v>
          </cell>
          <cell r="F277">
            <v>1.7611026033690001E-2</v>
          </cell>
        </row>
        <row r="278">
          <cell r="C278" t="str">
            <v>A0Y9WY1</v>
          </cell>
          <cell r="D278" t="str">
            <v>SC-507 Security Kit (Copy Guard Protecti</v>
          </cell>
          <cell r="E278">
            <v>1</v>
          </cell>
          <cell r="F278">
            <v>7.6569678406999996E-4</v>
          </cell>
        </row>
        <row r="279">
          <cell r="C279" t="str">
            <v>A0YAWY1</v>
          </cell>
          <cell r="D279" t="str">
            <v>MK-720 Fax Connection (PCI)</v>
          </cell>
          <cell r="E279">
            <v>576</v>
          </cell>
          <cell r="F279">
            <v>0.44104134762634001</v>
          </cell>
        </row>
        <row r="280">
          <cell r="C280" t="str">
            <v>A0YCWY3</v>
          </cell>
          <cell r="D280" t="str">
            <v>EK-605 USB</v>
          </cell>
          <cell r="E280">
            <v>12</v>
          </cell>
          <cell r="F280">
            <v>9.1883614088800001E-3</v>
          </cell>
        </row>
        <row r="281">
          <cell r="C281" t="str">
            <v>A0YCWY4</v>
          </cell>
          <cell r="D281" t="str">
            <v>EK-604 USB</v>
          </cell>
          <cell r="E281">
            <v>26</v>
          </cell>
          <cell r="F281">
            <v>1.9908116385909998E-2</v>
          </cell>
        </row>
        <row r="282">
          <cell r="C282" t="str">
            <v>A0YDWY1</v>
          </cell>
          <cell r="D282" t="str">
            <v>*UK-203 i-Option Upgrade Kit (1 GB)</v>
          </cell>
          <cell r="E282">
            <v>25</v>
          </cell>
          <cell r="F282">
            <v>1.9142419601839999E-2</v>
          </cell>
        </row>
        <row r="283">
          <cell r="C283" t="str">
            <v>A109W11</v>
          </cell>
          <cell r="D283" t="str">
            <v>*ZU-606 Z-Fold Unit</v>
          </cell>
          <cell r="E283">
            <v>0</v>
          </cell>
          <cell r="F283">
            <v>0</v>
          </cell>
        </row>
        <row r="284">
          <cell r="C284" t="str">
            <v>A10AWY1</v>
          </cell>
          <cell r="D284" t="str">
            <v>PI-505 Post Inserter</v>
          </cell>
          <cell r="E284">
            <v>8</v>
          </cell>
          <cell r="F284">
            <v>6.12557427259E-3</v>
          </cell>
        </row>
        <row r="285">
          <cell r="C285" t="str">
            <v>A10CWY1</v>
          </cell>
          <cell r="D285" t="str">
            <v>JS-602 Job Separator</v>
          </cell>
          <cell r="E285">
            <v>28</v>
          </cell>
          <cell r="F285">
            <v>2.143950995406E-2</v>
          </cell>
        </row>
        <row r="286">
          <cell r="C286" t="str">
            <v>A10DWY1</v>
          </cell>
          <cell r="D286" t="str">
            <v>SD-509 SADDLE KIT</v>
          </cell>
          <cell r="E286">
            <v>47</v>
          </cell>
          <cell r="F286">
            <v>3.5987748851450001E-2</v>
          </cell>
        </row>
        <row r="287">
          <cell r="C287" t="str">
            <v>A10EW11</v>
          </cell>
          <cell r="D287" t="str">
            <v>PK-517 2/3-HOLE PUNCH KIT FOR FS-527</v>
          </cell>
          <cell r="E287">
            <v>731</v>
          </cell>
          <cell r="F287">
            <v>0.55972434915772995</v>
          </cell>
        </row>
        <row r="288">
          <cell r="C288" t="str">
            <v>A10FWY1</v>
          </cell>
          <cell r="D288" t="str">
            <v>JS-603 JOB SEPARATOR TRAY</v>
          </cell>
          <cell r="E288">
            <v>106</v>
          </cell>
          <cell r="F288">
            <v>8.1163859111789999E-2</v>
          </cell>
        </row>
        <row r="289">
          <cell r="C289" t="str">
            <v>A11PWY1</v>
          </cell>
          <cell r="D289" t="str">
            <v>FS-526 100-SHEET FINISHER</v>
          </cell>
          <cell r="E289">
            <v>257</v>
          </cell>
          <cell r="F289">
            <v>0.19678407350689001</v>
          </cell>
        </row>
        <row r="290">
          <cell r="C290" t="str">
            <v>A11RWY1</v>
          </cell>
          <cell r="D290" t="str">
            <v>SD-508 Saddle Stitcher Kit for FS-526</v>
          </cell>
          <cell r="E290">
            <v>27</v>
          </cell>
          <cell r="F290">
            <v>2.0673813169980002E-2</v>
          </cell>
        </row>
        <row r="291">
          <cell r="C291" t="str">
            <v>A11TW11</v>
          </cell>
          <cell r="D291" t="str">
            <v>PK-516 2/3-Hole Punch Kit for FS-526</v>
          </cell>
          <cell r="E291">
            <v>132</v>
          </cell>
          <cell r="F291">
            <v>0.1010719754977</v>
          </cell>
        </row>
        <row r="292">
          <cell r="C292" t="str">
            <v>A165WY1</v>
          </cell>
          <cell r="D292" t="str">
            <v>KH-101 EXTERNAL KEYBOARD HOLDER</v>
          </cell>
          <cell r="E292">
            <v>45</v>
          </cell>
          <cell r="F292">
            <v>3.4456355283310001E-2</v>
          </cell>
        </row>
        <row r="293">
          <cell r="C293" t="str">
            <v>A1MUWY1</v>
          </cell>
          <cell r="D293" t="str">
            <v>SA-502 SCAN ACCELERATOR KIT</v>
          </cell>
          <cell r="E293">
            <v>6</v>
          </cell>
          <cell r="F293">
            <v>4.59418070444E-3</v>
          </cell>
        </row>
        <row r="294">
          <cell r="C294" t="str">
            <v>A0PN011</v>
          </cell>
          <cell r="D294" t="str">
            <v>BIZHUB 751 PRINTER/COPIER</v>
          </cell>
          <cell r="E294">
            <v>925</v>
          </cell>
        </row>
        <row r="295">
          <cell r="C295" t="str">
            <v>15LB</v>
          </cell>
          <cell r="D295" t="str">
            <v>FK-502 FAX KIT</v>
          </cell>
          <cell r="E295">
            <v>331</v>
          </cell>
          <cell r="F295">
            <v>0.35783783783784001</v>
          </cell>
        </row>
        <row r="296">
          <cell r="C296" t="str">
            <v>15US</v>
          </cell>
          <cell r="D296" t="str">
            <v>PK-505 PUNCH KIT GENERIC</v>
          </cell>
          <cell r="E296">
            <v>618</v>
          </cell>
          <cell r="F296">
            <v>0.66810810810811005</v>
          </cell>
        </row>
        <row r="297">
          <cell r="C297">
            <v>7640005064</v>
          </cell>
          <cell r="D297" t="str">
            <v>AU-201H HID CARD AUTHENTICATION UNIT</v>
          </cell>
          <cell r="E297">
            <v>15</v>
          </cell>
          <cell r="F297">
            <v>1.6216216216219999E-2</v>
          </cell>
        </row>
        <row r="298">
          <cell r="C298">
            <v>7640005261</v>
          </cell>
          <cell r="D298" t="str">
            <v>HID PROXIMITY CARD 10 PACK</v>
          </cell>
          <cell r="E298">
            <v>25</v>
          </cell>
          <cell r="F298">
            <v>2.7027027027029998E-2</v>
          </cell>
        </row>
        <row r="299">
          <cell r="C299">
            <v>7640007640</v>
          </cell>
          <cell r="D299" t="str">
            <v>HD-510 HARD DISK KIT (MXI)</v>
          </cell>
          <cell r="E299">
            <v>781</v>
          </cell>
          <cell r="F299">
            <v>0.84432432432432003</v>
          </cell>
        </row>
        <row r="300">
          <cell r="C300">
            <v>7640008082</v>
          </cell>
          <cell r="D300" t="str">
            <v>AU-211P CAC/PIV READER W/CERTIFICATE</v>
          </cell>
          <cell r="E300">
            <v>5</v>
          </cell>
          <cell r="F300">
            <v>5.4054054054100001E-3</v>
          </cell>
        </row>
        <row r="301">
          <cell r="C301">
            <v>7640013468</v>
          </cell>
          <cell r="D301" t="str">
            <v>AU-204H MagStripe card reader</v>
          </cell>
          <cell r="E301">
            <v>3</v>
          </cell>
          <cell r="F301">
            <v>3.24324324324E-3</v>
          </cell>
        </row>
        <row r="302">
          <cell r="C302" t="str">
            <v>A09MWY0</v>
          </cell>
          <cell r="D302" t="str">
            <v>*AU-101 BIOMETRICS AUTHENTICATION DEVICE</v>
          </cell>
          <cell r="E302">
            <v>0</v>
          </cell>
          <cell r="F302">
            <v>0</v>
          </cell>
        </row>
        <row r="303">
          <cell r="C303" t="str">
            <v>A0P4WY1</v>
          </cell>
          <cell r="D303" t="str">
            <v>EK-703 LOCAL INTERFACE KIT</v>
          </cell>
          <cell r="E303">
            <v>70</v>
          </cell>
          <cell r="F303">
            <v>7.5675675675679996E-2</v>
          </cell>
        </row>
        <row r="304">
          <cell r="C304" t="str">
            <v>A0P7WY1</v>
          </cell>
          <cell r="D304" t="str">
            <v>*HD-510 HARD DISK KIT</v>
          </cell>
          <cell r="E304">
            <v>0</v>
          </cell>
          <cell r="F304">
            <v>0</v>
          </cell>
        </row>
        <row r="305">
          <cell r="C305" t="str">
            <v>A0P90Y1</v>
          </cell>
          <cell r="D305" t="str">
            <v>IC-208 IMAGE CONTROLLER</v>
          </cell>
          <cell r="E305">
            <v>847</v>
          </cell>
          <cell r="F305">
            <v>0.91567567567567998</v>
          </cell>
        </row>
        <row r="306">
          <cell r="C306" t="str">
            <v>A0PCWY1</v>
          </cell>
          <cell r="D306" t="str">
            <v>SC-506 SECURITY KIT</v>
          </cell>
          <cell r="E306">
            <v>115</v>
          </cell>
          <cell r="F306">
            <v>0.12432432432432</v>
          </cell>
        </row>
        <row r="307">
          <cell r="C307" t="str">
            <v>A0PD011</v>
          </cell>
          <cell r="D307" t="str">
            <v>LK-101 LICENSE KIT</v>
          </cell>
          <cell r="E307">
            <v>4</v>
          </cell>
          <cell r="F307">
            <v>4.3243243243199997E-3</v>
          </cell>
        </row>
        <row r="308">
          <cell r="C308" t="str">
            <v>A0PD012</v>
          </cell>
          <cell r="D308" t="str">
            <v>3LK-102 LICENSE KIT</v>
          </cell>
          <cell r="E308">
            <v>1</v>
          </cell>
          <cell r="F308">
            <v>1.0810810810799999E-3</v>
          </cell>
        </row>
        <row r="309">
          <cell r="C309" t="str">
            <v>A0PNX001</v>
          </cell>
          <cell r="D309" t="str">
            <v>FAX KIT FOR BIZHUB 751/601</v>
          </cell>
          <cell r="E309">
            <v>0</v>
          </cell>
          <cell r="F309">
            <v>0</v>
          </cell>
        </row>
        <row r="310">
          <cell r="C310" t="str">
            <v>A0PR0Y2</v>
          </cell>
          <cell r="D310" t="str">
            <v>LU-405 LARGE CAPACITY UNIT (LETTER)</v>
          </cell>
          <cell r="E310">
            <v>211</v>
          </cell>
          <cell r="F310">
            <v>0.22810810810811</v>
          </cell>
        </row>
        <row r="311">
          <cell r="C311" t="str">
            <v>A0PT0Y2</v>
          </cell>
          <cell r="D311" t="str">
            <v>LU-406 LARGE CAPACITY UNIT (UP TO 12X18)</v>
          </cell>
          <cell r="E311">
            <v>16</v>
          </cell>
          <cell r="F311">
            <v>1.72972972973E-2</v>
          </cell>
        </row>
        <row r="312">
          <cell r="C312" t="str">
            <v>A0PUWY1</v>
          </cell>
          <cell r="D312" t="str">
            <v>OT-505 OUTPUT TRAY</v>
          </cell>
          <cell r="E312">
            <v>10</v>
          </cell>
          <cell r="F312">
            <v>1.081081081081E-2</v>
          </cell>
        </row>
        <row r="313">
          <cell r="C313" t="str">
            <v>A0PV0Y1</v>
          </cell>
          <cell r="D313" t="str">
            <v>PI-504 POST INSERTER</v>
          </cell>
          <cell r="E313">
            <v>19</v>
          </cell>
          <cell r="F313">
            <v>2.0540540540540001E-2</v>
          </cell>
        </row>
        <row r="314">
          <cell r="C314" t="str">
            <v>A0PWWY1</v>
          </cell>
          <cell r="D314" t="str">
            <v>WT-504 WORKING TABLE</v>
          </cell>
          <cell r="E314">
            <v>146</v>
          </cell>
          <cell r="F314">
            <v>0.15783783783784</v>
          </cell>
        </row>
        <row r="315">
          <cell r="C315" t="str">
            <v>A0PX0Y1</v>
          </cell>
          <cell r="D315" t="str">
            <v>GB-2SF-602 SHIFT TRAY</v>
          </cell>
          <cell r="E315">
            <v>6</v>
          </cell>
          <cell r="F315">
            <v>6.4864864864899998E-3</v>
          </cell>
        </row>
        <row r="316">
          <cell r="C316" t="str">
            <v>A0R00Y1</v>
          </cell>
          <cell r="D316" t="str">
            <v>ZU-605 Z-FOLD/2-3 HOLE PUNCH</v>
          </cell>
          <cell r="E316">
            <v>2</v>
          </cell>
          <cell r="F316">
            <v>2.1621621621599999E-3</v>
          </cell>
        </row>
        <row r="317">
          <cell r="C317" t="str">
            <v>A0R10Y1</v>
          </cell>
          <cell r="D317" t="str">
            <v>FS-524 FINISHER (50 PAGES)</v>
          </cell>
          <cell r="E317">
            <v>598</v>
          </cell>
          <cell r="F317">
            <v>0.64648648648648999</v>
          </cell>
        </row>
        <row r="318">
          <cell r="C318" t="str">
            <v>A0R20Y1</v>
          </cell>
          <cell r="D318" t="str">
            <v>FS-525 FINISHER (100 PAGES)</v>
          </cell>
          <cell r="E318">
            <v>157</v>
          </cell>
          <cell r="F318">
            <v>0.16972972972972999</v>
          </cell>
        </row>
        <row r="319">
          <cell r="C319" t="str">
            <v>A0R30Y1</v>
          </cell>
          <cell r="D319" t="str">
            <v>FS-610 BOOKLET FINISHER</v>
          </cell>
          <cell r="E319">
            <v>144</v>
          </cell>
          <cell r="F319">
            <v>0.15567567567568</v>
          </cell>
        </row>
        <row r="320">
          <cell r="C320" t="str">
            <v>A120WY1</v>
          </cell>
          <cell r="D320" t="str">
            <v>UK-202 UPGRADE KIT FOR LK-101/LK-102</v>
          </cell>
          <cell r="E320">
            <v>9</v>
          </cell>
          <cell r="F320">
            <v>9.7297297297299998E-3</v>
          </cell>
        </row>
        <row r="321">
          <cell r="C321" t="str">
            <v>A0G9011</v>
          </cell>
          <cell r="D321" t="str">
            <v>**BIZHUB PRO 1051</v>
          </cell>
          <cell r="E321">
            <v>67</v>
          </cell>
        </row>
        <row r="322">
          <cell r="C322" t="str">
            <v>A08RWY1</v>
          </cell>
          <cell r="D322" t="str">
            <v>PP-701 PREPRINTED PAPER KIT</v>
          </cell>
          <cell r="E322">
            <v>0</v>
          </cell>
          <cell r="F322">
            <v>0</v>
          </cell>
        </row>
        <row r="323">
          <cell r="C323" t="str">
            <v>A0GCWY1</v>
          </cell>
          <cell r="D323" t="str">
            <v>PF-702 PAPER FEED UNIT</v>
          </cell>
          <cell r="E323">
            <v>43</v>
          </cell>
          <cell r="F323">
            <v>0.64179104477612003</v>
          </cell>
        </row>
        <row r="324">
          <cell r="C324" t="str">
            <v>A0GDWY1</v>
          </cell>
          <cell r="D324" t="str">
            <v>*PF-703 PAPER FEED UNIT</v>
          </cell>
          <cell r="E324">
            <v>21</v>
          </cell>
          <cell r="F324">
            <v>0.31343283582089998</v>
          </cell>
        </row>
        <row r="325">
          <cell r="C325" t="str">
            <v>A0GEWY1</v>
          </cell>
          <cell r="D325" t="str">
            <v>RU-506 RELAY UNIT</v>
          </cell>
          <cell r="E325">
            <v>14</v>
          </cell>
          <cell r="F325">
            <v>0.20895522388060001</v>
          </cell>
        </row>
        <row r="326">
          <cell r="C326" t="str">
            <v>A0GFWY1</v>
          </cell>
          <cell r="D326" t="str">
            <v>FA-501 PI-PFU KIT</v>
          </cell>
          <cell r="E326">
            <v>5</v>
          </cell>
          <cell r="F326">
            <v>7.4626865671639994E-2</v>
          </cell>
        </row>
        <row r="327">
          <cell r="C327" t="str">
            <v>A0GYWY1</v>
          </cell>
          <cell r="D327" t="str">
            <v>**FS-521 STAPLING FINISHER GENERIC</v>
          </cell>
          <cell r="E327">
            <v>0</v>
          </cell>
          <cell r="F327">
            <v>0</v>
          </cell>
        </row>
        <row r="328">
          <cell r="C328" t="str">
            <v>A0H0W11</v>
          </cell>
          <cell r="D328" t="str">
            <v>FD-503 MULTIFOLDING UNIT GENERIC</v>
          </cell>
          <cell r="E328">
            <v>25</v>
          </cell>
          <cell r="F328">
            <v>0.37313432835820998</v>
          </cell>
        </row>
        <row r="329">
          <cell r="C329" t="str">
            <v>A0H1W12</v>
          </cell>
          <cell r="D329" t="str">
            <v>*LS-505 LARGE CAPACITY STACKER</v>
          </cell>
          <cell r="E329">
            <v>0</v>
          </cell>
          <cell r="F329">
            <v>0</v>
          </cell>
        </row>
        <row r="330">
          <cell r="C330" t="str">
            <v>A0H2WY2</v>
          </cell>
          <cell r="D330" t="str">
            <v>SD-506 SADDLE STITCH UNIT</v>
          </cell>
          <cell r="E330">
            <v>31</v>
          </cell>
          <cell r="F330">
            <v>0.46268656716418</v>
          </cell>
        </row>
        <row r="331">
          <cell r="C331" t="str">
            <v>A0N9W11</v>
          </cell>
          <cell r="D331" t="str">
            <v>GP-501 GBC PUNCH UNIT</v>
          </cell>
          <cell r="E331">
            <v>3</v>
          </cell>
          <cell r="F331">
            <v>4.4776119402989999E-2</v>
          </cell>
        </row>
        <row r="332">
          <cell r="C332" t="str">
            <v>A0NAW11</v>
          </cell>
          <cell r="D332" t="str">
            <v>DS-501 3 HOLE PUNCH DIE</v>
          </cell>
          <cell r="E332">
            <v>3</v>
          </cell>
          <cell r="F332">
            <v>4.4776119402989999E-2</v>
          </cell>
        </row>
        <row r="333">
          <cell r="C333" t="str">
            <v>A0NCW11</v>
          </cell>
          <cell r="D333" t="str">
            <v>DS-502 19 HOLE CERLOX PUNCH DIE</v>
          </cell>
          <cell r="E333">
            <v>3</v>
          </cell>
          <cell r="F333">
            <v>4.4776119402989999E-2</v>
          </cell>
        </row>
        <row r="334">
          <cell r="C334" t="str">
            <v>A0NDW11</v>
          </cell>
          <cell r="D334" t="str">
            <v>DS-503 32 HOLE WIREBIND PUNCH DIE</v>
          </cell>
          <cell r="E334">
            <v>0</v>
          </cell>
          <cell r="F334">
            <v>0</v>
          </cell>
        </row>
        <row r="335">
          <cell r="C335" t="str">
            <v>A0NEW11</v>
          </cell>
          <cell r="D335" t="str">
            <v>DS-504 21 HOLE WIREBIND PUNCH DIE</v>
          </cell>
          <cell r="E335">
            <v>0</v>
          </cell>
          <cell r="F335">
            <v>0</v>
          </cell>
        </row>
        <row r="336">
          <cell r="C336" t="str">
            <v>A0NFW11</v>
          </cell>
          <cell r="D336" t="str">
            <v>DS-505 44 HOLE COLOR COIL PUNCH DIE</v>
          </cell>
          <cell r="E336">
            <v>0</v>
          </cell>
          <cell r="F336">
            <v>0</v>
          </cell>
        </row>
        <row r="337">
          <cell r="C337" t="str">
            <v>A0NGW11</v>
          </cell>
          <cell r="D337" t="str">
            <v>DS-506 11 HOLE VELOBIND PUNCH DIE</v>
          </cell>
          <cell r="E337">
            <v>0</v>
          </cell>
          <cell r="F337">
            <v>0</v>
          </cell>
        </row>
        <row r="338">
          <cell r="C338" t="str">
            <v>A0V9W11</v>
          </cell>
          <cell r="D338" t="str">
            <v>PB-502 PERFECT BINDER</v>
          </cell>
          <cell r="E338">
            <v>0</v>
          </cell>
          <cell r="F338">
            <v>0</v>
          </cell>
        </row>
        <row r="339">
          <cell r="C339" t="str">
            <v>A0W5WY1</v>
          </cell>
          <cell r="D339" t="str">
            <v>HD-511 INNER CASE FOR RH-101</v>
          </cell>
          <cell r="E339">
            <v>1</v>
          </cell>
          <cell r="F339">
            <v>1.4925373134330001E-2</v>
          </cell>
        </row>
        <row r="340">
          <cell r="C340" t="str">
            <v>A0W6WY1</v>
          </cell>
          <cell r="D340" t="str">
            <v>*RH-101 REMOVABLE HDD KIT</v>
          </cell>
          <cell r="E340">
            <v>1</v>
          </cell>
          <cell r="F340">
            <v>1.4925373134330001E-2</v>
          </cell>
        </row>
        <row r="341">
          <cell r="C341" t="str">
            <v>A15AWY1</v>
          </cell>
          <cell r="D341" t="str">
            <v>HT-505 HEATER FAN UNIT</v>
          </cell>
          <cell r="E341">
            <v>5</v>
          </cell>
          <cell r="F341">
            <v>7.4626865671639994E-2</v>
          </cell>
        </row>
        <row r="342">
          <cell r="C342" t="str">
            <v>A15XW11</v>
          </cell>
          <cell r="D342" t="str">
            <v>PB-503 PERFECT BINDER</v>
          </cell>
          <cell r="E342">
            <v>2</v>
          </cell>
          <cell r="F342">
            <v>2.9850746268660001E-2</v>
          </cell>
        </row>
        <row r="343">
          <cell r="C343" t="str">
            <v>A1AHWY1</v>
          </cell>
          <cell r="D343" t="str">
            <v>LC-501 ROLLAWAY CART FOR LS-505</v>
          </cell>
          <cell r="E343">
            <v>3</v>
          </cell>
          <cell r="F343">
            <v>4.4776119402989999E-2</v>
          </cell>
        </row>
        <row r="344">
          <cell r="C344" t="str">
            <v>A0G6011</v>
          </cell>
          <cell r="D344" t="str">
            <v>BIZHUB PRO 1200</v>
          </cell>
          <cell r="E344">
            <v>72</v>
          </cell>
        </row>
        <row r="345">
          <cell r="C345" t="str">
            <v>A0GA011</v>
          </cell>
          <cell r="D345" t="str">
            <v>**BIZHUB PRO 1200P</v>
          </cell>
          <cell r="E345">
            <v>42</v>
          </cell>
        </row>
        <row r="346">
          <cell r="C346" t="str">
            <v>A08RWY1</v>
          </cell>
          <cell r="D346" t="str">
            <v>PP-701 PREPRINTED PAPER KIT</v>
          </cell>
          <cell r="E346">
            <v>5</v>
          </cell>
          <cell r="F346">
            <v>4.3859649122809999E-2</v>
          </cell>
        </row>
        <row r="347">
          <cell r="C347" t="str">
            <v>A0GCWY1</v>
          </cell>
          <cell r="D347" t="str">
            <v>PF-702 PAPER FEED UNIT</v>
          </cell>
          <cell r="E347">
            <v>28</v>
          </cell>
          <cell r="F347">
            <v>0.24561403508772001</v>
          </cell>
        </row>
        <row r="348">
          <cell r="C348" t="str">
            <v>A0GDWY1</v>
          </cell>
          <cell r="D348" t="str">
            <v>*PF-703 PAPER FEED UNIT</v>
          </cell>
          <cell r="E348">
            <v>88</v>
          </cell>
          <cell r="F348">
            <v>0.77192982456140002</v>
          </cell>
        </row>
        <row r="349">
          <cell r="C349" t="str">
            <v>A0GEWY1</v>
          </cell>
          <cell r="D349" t="str">
            <v>RU-506 RELAY UNIT</v>
          </cell>
          <cell r="E349">
            <v>111</v>
          </cell>
          <cell r="F349">
            <v>0.97368421052632004</v>
          </cell>
        </row>
        <row r="350">
          <cell r="C350" t="str">
            <v>A0GFWY1</v>
          </cell>
          <cell r="D350" t="str">
            <v>FA-501 PI-PFU KIT</v>
          </cell>
          <cell r="E350">
            <v>11</v>
          </cell>
          <cell r="F350">
            <v>9.6491228070179999E-2</v>
          </cell>
        </row>
        <row r="351">
          <cell r="C351" t="str">
            <v>A0GYWY2</v>
          </cell>
          <cell r="D351" t="str">
            <v>FS-521 STAPLE FINISHER</v>
          </cell>
          <cell r="E351">
            <v>82</v>
          </cell>
          <cell r="F351">
            <v>0.71929824561403999</v>
          </cell>
        </row>
        <row r="352">
          <cell r="C352" t="str">
            <v>A0H0W11</v>
          </cell>
          <cell r="D352" t="str">
            <v>FD-503 MULTIFOLDING UNIT GENERIC</v>
          </cell>
          <cell r="E352">
            <v>35</v>
          </cell>
          <cell r="F352">
            <v>0.30701754385965002</v>
          </cell>
        </row>
        <row r="353">
          <cell r="C353" t="str">
            <v>A0H1W12</v>
          </cell>
          <cell r="D353" t="str">
            <v>*LS-505 LARGE CAPACITY STACKER</v>
          </cell>
          <cell r="E353">
            <v>0</v>
          </cell>
          <cell r="F353">
            <v>0</v>
          </cell>
        </row>
        <row r="354">
          <cell r="C354" t="str">
            <v>A0H2WY2</v>
          </cell>
          <cell r="D354" t="str">
            <v>SD-506 SADDLE STITCH UNIT</v>
          </cell>
          <cell r="E354">
            <v>42</v>
          </cell>
          <cell r="F354">
            <v>0.36842105263157998</v>
          </cell>
        </row>
        <row r="355">
          <cell r="C355" t="str">
            <v>A0N9W11</v>
          </cell>
          <cell r="D355" t="str">
            <v>GP-501 GBC PUNCH UNIT</v>
          </cell>
          <cell r="E355">
            <v>15</v>
          </cell>
          <cell r="F355">
            <v>0.13157894736841999</v>
          </cell>
        </row>
        <row r="356">
          <cell r="C356" t="str">
            <v>A0NAW11</v>
          </cell>
          <cell r="D356" t="str">
            <v>DS-501 3 HOLE PUNCH DIE</v>
          </cell>
          <cell r="E356">
            <v>11</v>
          </cell>
          <cell r="F356">
            <v>9.6491228070179999E-2</v>
          </cell>
        </row>
        <row r="357">
          <cell r="C357" t="str">
            <v>A0NCW11</v>
          </cell>
          <cell r="D357" t="str">
            <v>DS-502 19 HOLE CERLOX PUNCH DIE</v>
          </cell>
          <cell r="E357">
            <v>11</v>
          </cell>
          <cell r="F357">
            <v>9.6491228070179999E-2</v>
          </cell>
        </row>
        <row r="358">
          <cell r="C358" t="str">
            <v>A0NDW11</v>
          </cell>
          <cell r="D358" t="str">
            <v>DS-503 32 HOLE WIREBIND PUNCH DIE</v>
          </cell>
          <cell r="E358">
            <v>2</v>
          </cell>
          <cell r="F358">
            <v>1.7543859649119999E-2</v>
          </cell>
        </row>
        <row r="359">
          <cell r="C359" t="str">
            <v>A0NEW11</v>
          </cell>
          <cell r="D359" t="str">
            <v>DS-504 21 HOLE WIREBIND PUNCH DIE</v>
          </cell>
          <cell r="E359">
            <v>1</v>
          </cell>
          <cell r="F359">
            <v>8.7719298245599996E-3</v>
          </cell>
        </row>
        <row r="360">
          <cell r="C360" t="str">
            <v>A0NFW11</v>
          </cell>
          <cell r="D360" t="str">
            <v>DS-505 44 HOLE COLOR COIL PUNCH DIE</v>
          </cell>
          <cell r="E360">
            <v>10</v>
          </cell>
          <cell r="F360">
            <v>8.7719298245610006E-2</v>
          </cell>
        </row>
        <row r="361">
          <cell r="C361" t="str">
            <v>A0NGW11</v>
          </cell>
          <cell r="D361" t="str">
            <v>DS-506 11 HOLE VELOBIND PUNCH DIE</v>
          </cell>
          <cell r="E361">
            <v>0</v>
          </cell>
          <cell r="F361">
            <v>0</v>
          </cell>
        </row>
        <row r="362">
          <cell r="C362" t="str">
            <v>A0V9W11</v>
          </cell>
          <cell r="D362" t="str">
            <v>PB-502 PERFECT BINDER</v>
          </cell>
          <cell r="E362">
            <v>3</v>
          </cell>
          <cell r="F362">
            <v>2.6315789473680001E-2</v>
          </cell>
        </row>
        <row r="363">
          <cell r="C363" t="str">
            <v>A0W5WY1</v>
          </cell>
          <cell r="D363" t="str">
            <v>HD-511 INNER CASE FOR RH-101</v>
          </cell>
          <cell r="E363">
            <v>0</v>
          </cell>
          <cell r="F363">
            <v>0</v>
          </cell>
        </row>
        <row r="364">
          <cell r="C364" t="str">
            <v>A0W6WY1</v>
          </cell>
          <cell r="D364" t="str">
            <v>*RH-101 REMOVABLE HDD KIT</v>
          </cell>
          <cell r="E364">
            <v>0</v>
          </cell>
          <cell r="F364">
            <v>0</v>
          </cell>
        </row>
        <row r="365">
          <cell r="C365" t="str">
            <v>A15AWY1</v>
          </cell>
          <cell r="D365" t="str">
            <v>HT-505 HEATER FAN UNIT</v>
          </cell>
          <cell r="E365">
            <v>22</v>
          </cell>
          <cell r="F365">
            <v>0.19298245614035001</v>
          </cell>
        </row>
        <row r="366">
          <cell r="C366" t="str">
            <v>A15XW11</v>
          </cell>
          <cell r="D366" t="str">
            <v>PB-503 PERFECT BINDER</v>
          </cell>
          <cell r="E366">
            <v>5</v>
          </cell>
          <cell r="F366">
            <v>4.3859649122809999E-2</v>
          </cell>
        </row>
        <row r="367">
          <cell r="C367" t="str">
            <v>A1AHWY1</v>
          </cell>
          <cell r="D367" t="str">
            <v>LC-501 ROLLAWAY CART FOR LS-505</v>
          </cell>
          <cell r="E367">
            <v>37</v>
          </cell>
          <cell r="F367">
            <v>0.32456140350877</v>
          </cell>
        </row>
        <row r="368">
          <cell r="C368" t="str">
            <v>A0Y5011</v>
          </cell>
          <cell r="D368" t="str">
            <v>**BIZHUB PRO 950</v>
          </cell>
          <cell r="E368">
            <v>214</v>
          </cell>
        </row>
        <row r="369">
          <cell r="C369" t="str">
            <v>15US</v>
          </cell>
          <cell r="D369" t="str">
            <v>PK-505 PUNCH KIT GENERIC</v>
          </cell>
          <cell r="E369">
            <v>163</v>
          </cell>
          <cell r="F369">
            <v>0.76168224299065002</v>
          </cell>
        </row>
        <row r="370">
          <cell r="C370" t="str">
            <v>A0N9W11</v>
          </cell>
          <cell r="D370" t="str">
            <v>GP-501 GBC PUNCH UNIT</v>
          </cell>
          <cell r="E370">
            <v>4</v>
          </cell>
          <cell r="F370">
            <v>1.8691588785049999E-2</v>
          </cell>
        </row>
        <row r="371">
          <cell r="C371" t="str">
            <v>A0NAW11</v>
          </cell>
          <cell r="D371" t="str">
            <v>DS-501 3 HOLE PUNCH DIE</v>
          </cell>
          <cell r="E371">
            <v>1</v>
          </cell>
          <cell r="F371">
            <v>4.6728971962600001E-3</v>
          </cell>
        </row>
        <row r="372">
          <cell r="C372" t="str">
            <v>A0NCW11</v>
          </cell>
          <cell r="D372" t="str">
            <v>DS-502 19 HOLE CERLOX PUNCH DIE</v>
          </cell>
          <cell r="E372">
            <v>2</v>
          </cell>
          <cell r="F372">
            <v>9.3457943925200002E-3</v>
          </cell>
        </row>
        <row r="373">
          <cell r="C373" t="str">
            <v>A0NDW11</v>
          </cell>
          <cell r="D373" t="str">
            <v>DS-503 32 HOLE WIREBIND PUNCH DIE</v>
          </cell>
          <cell r="E373">
            <v>0</v>
          </cell>
          <cell r="F373">
            <v>0</v>
          </cell>
        </row>
        <row r="374">
          <cell r="C374" t="str">
            <v>A0NEW11</v>
          </cell>
          <cell r="D374" t="str">
            <v>DS-504 21 HOLE WIREBIND PUNCH DIE</v>
          </cell>
          <cell r="E374">
            <v>1</v>
          </cell>
          <cell r="F374">
            <v>4.6728971962600001E-3</v>
          </cell>
        </row>
        <row r="375">
          <cell r="C375" t="str">
            <v>A0NFW11</v>
          </cell>
          <cell r="D375" t="str">
            <v>DS-505 44 HOLE COLOR COIL PUNCH DIE</v>
          </cell>
          <cell r="E375">
            <v>4</v>
          </cell>
          <cell r="F375">
            <v>1.8691588785049999E-2</v>
          </cell>
        </row>
        <row r="376">
          <cell r="C376" t="str">
            <v>A0NGW11</v>
          </cell>
          <cell r="D376" t="str">
            <v>DS-506 11 HOLE VELOBIND PUNCH DIE</v>
          </cell>
          <cell r="E376">
            <v>2</v>
          </cell>
          <cell r="F376">
            <v>9.3457943925200002E-3</v>
          </cell>
        </row>
        <row r="377">
          <cell r="C377" t="str">
            <v>A0Y6WY1</v>
          </cell>
          <cell r="D377" t="str">
            <v>LU-407 LTR LG CAPACITY UNIT GENERIC</v>
          </cell>
          <cell r="E377">
            <v>133</v>
          </cell>
          <cell r="F377">
            <v>0.62149532710279998</v>
          </cell>
        </row>
        <row r="378">
          <cell r="C378" t="str">
            <v>A0Y7WY1</v>
          </cell>
          <cell r="D378" t="str">
            <v>LU-408 UNIV LG CAPACITY UNIT GENERIC</v>
          </cell>
          <cell r="E378">
            <v>35</v>
          </cell>
          <cell r="F378">
            <v>0.16355140186916001</v>
          </cell>
        </row>
        <row r="379">
          <cell r="C379" t="str">
            <v>A10R011</v>
          </cell>
          <cell r="D379" t="str">
            <v>PS-504 POSTSCRIPT KIT</v>
          </cell>
          <cell r="E379">
            <v>154</v>
          </cell>
          <cell r="F379">
            <v>0.71962616822430003</v>
          </cell>
        </row>
        <row r="380">
          <cell r="C380" t="str">
            <v>A10UWY1</v>
          </cell>
          <cell r="D380" t="str">
            <v>FS-528 MULTISTAPLING FINISHER GENERIC</v>
          </cell>
          <cell r="E380">
            <v>80</v>
          </cell>
          <cell r="F380">
            <v>0.37383177570093001</v>
          </cell>
        </row>
        <row r="381">
          <cell r="C381" t="str">
            <v>A10VWY1</v>
          </cell>
          <cell r="D381" t="str">
            <v>FS-611 BOOKLET FINISHER GENERIC</v>
          </cell>
          <cell r="E381">
            <v>126</v>
          </cell>
          <cell r="F381">
            <v>0.58878504672897003</v>
          </cell>
        </row>
        <row r="382">
          <cell r="C382" t="str">
            <v>A10WWY1</v>
          </cell>
          <cell r="D382" t="str">
            <v>MK-721 MOUNT KIT FOR TU-502 GENERIC</v>
          </cell>
          <cell r="E382">
            <v>3</v>
          </cell>
          <cell r="F382">
            <v>1.4018691588789999E-2</v>
          </cell>
        </row>
        <row r="383">
          <cell r="C383" t="str">
            <v>A10YWY1</v>
          </cell>
          <cell r="D383" t="str">
            <v>PI-506 POST INSERTER GENERIC</v>
          </cell>
          <cell r="E383">
            <v>43</v>
          </cell>
          <cell r="F383">
            <v>0.20093457943925</v>
          </cell>
        </row>
        <row r="384">
          <cell r="C384" t="str">
            <v>A110WY1</v>
          </cell>
          <cell r="D384" t="str">
            <v>TU-502 TRIMMER UNIT GENERIC</v>
          </cell>
          <cell r="E384">
            <v>2</v>
          </cell>
          <cell r="F384">
            <v>9.3457943925200002E-3</v>
          </cell>
        </row>
        <row r="385">
          <cell r="C385" t="str">
            <v>A111WY2</v>
          </cell>
          <cell r="D385" t="str">
            <v>ZU-607 Z-FOLD/PUNCH UNIT GENERIC</v>
          </cell>
          <cell r="E385">
            <v>7</v>
          </cell>
          <cell r="F385">
            <v>3.2710280373830003E-2</v>
          </cell>
        </row>
        <row r="386">
          <cell r="C386" t="str">
            <v>A1AYWY1</v>
          </cell>
          <cell r="D386" t="str">
            <v>MK-724 MOUNT KIT FOR 950+GP501</v>
          </cell>
          <cell r="E386">
            <v>1</v>
          </cell>
          <cell r="F386">
            <v>4.6728971962600001E-3</v>
          </cell>
        </row>
        <row r="387">
          <cell r="C387" t="str">
            <v>A4EW011</v>
          </cell>
          <cell r="D387" t="str">
            <v>BIZHUB PRO 951</v>
          </cell>
          <cell r="E387">
            <v>664</v>
          </cell>
          <cell r="G387" t="str">
            <v>BW-P</v>
          </cell>
        </row>
        <row r="388">
          <cell r="C388" t="str">
            <v>A04HWY2</v>
          </cell>
          <cell r="D388" t="str">
            <v>PI-502 POST INSERTER FOR FS-532</v>
          </cell>
          <cell r="E388">
            <v>123</v>
          </cell>
          <cell r="F388">
            <v>0.18524096385541999</v>
          </cell>
          <cell r="G388" t="str">
            <v>BW-P</v>
          </cell>
        </row>
        <row r="389">
          <cell r="C389" t="str">
            <v>A08RWY1</v>
          </cell>
          <cell r="D389" t="str">
            <v>PP-701 PREPRINTED PAPER KIT</v>
          </cell>
          <cell r="E389">
            <v>5</v>
          </cell>
          <cell r="F389">
            <v>7.5301204819299998E-3</v>
          </cell>
          <cell r="G389" t="str">
            <v>BW-P</v>
          </cell>
        </row>
        <row r="390">
          <cell r="C390" t="str">
            <v>A0N9W11</v>
          </cell>
          <cell r="D390" t="str">
            <v>GP-501 GBC PUNCH UNIT</v>
          </cell>
          <cell r="E390">
            <v>14</v>
          </cell>
          <cell r="F390">
            <v>2.10843373494E-2</v>
          </cell>
          <cell r="G390" t="str">
            <v>BW-P</v>
          </cell>
        </row>
        <row r="391">
          <cell r="C391" t="str">
            <v>A0NAW11</v>
          </cell>
          <cell r="D391" t="str">
            <v>DS-501 3 HOLE PUNCH DIE</v>
          </cell>
          <cell r="E391">
            <v>2</v>
          </cell>
          <cell r="F391">
            <v>3.0120481927699999E-3</v>
          </cell>
          <cell r="G391" t="str">
            <v>BW-P</v>
          </cell>
        </row>
        <row r="392">
          <cell r="C392" t="str">
            <v>A0NCW11</v>
          </cell>
          <cell r="D392" t="str">
            <v>DS-502 19 HOLE CERLOX PUNCH DIE</v>
          </cell>
          <cell r="E392">
            <v>10</v>
          </cell>
          <cell r="F392">
            <v>1.506024096386E-2</v>
          </cell>
          <cell r="G392" t="str">
            <v>BW-P</v>
          </cell>
        </row>
        <row r="393">
          <cell r="C393" t="str">
            <v>A0NDW11</v>
          </cell>
          <cell r="D393" t="str">
            <v>DS-503 32 HOLE WIREBIND PUNCH DIE</v>
          </cell>
          <cell r="E393">
            <v>3</v>
          </cell>
          <cell r="F393">
            <v>4.5180722891600003E-3</v>
          </cell>
          <cell r="G393" t="str">
            <v>BW-P</v>
          </cell>
        </row>
        <row r="394">
          <cell r="C394" t="str">
            <v>A0NEW11</v>
          </cell>
          <cell r="D394" t="str">
            <v>DS-504 21 HOLE WIREBIND PUNCH DIE</v>
          </cell>
          <cell r="E394">
            <v>2</v>
          </cell>
          <cell r="F394">
            <v>3.0120481927699999E-3</v>
          </cell>
          <cell r="G394" t="str">
            <v>BW-P</v>
          </cell>
        </row>
        <row r="395">
          <cell r="C395" t="str">
            <v>A0NFW11</v>
          </cell>
          <cell r="D395" t="str">
            <v>DS-505 44 HOLE COLOR COIL PUNCH DIE</v>
          </cell>
          <cell r="E395">
            <v>4</v>
          </cell>
          <cell r="F395">
            <v>6.0240963855399997E-3</v>
          </cell>
          <cell r="G395" t="str">
            <v>BW-P</v>
          </cell>
        </row>
        <row r="396">
          <cell r="C396" t="str">
            <v>A0NGW11</v>
          </cell>
          <cell r="D396" t="str">
            <v>DS-506 11 HOLE VELOBIND PUNCH DIE</v>
          </cell>
          <cell r="E396">
            <v>2</v>
          </cell>
          <cell r="F396">
            <v>3.0120481927699999E-3</v>
          </cell>
          <cell r="G396" t="str">
            <v>BW-P</v>
          </cell>
        </row>
        <row r="397">
          <cell r="C397" t="str">
            <v>A0NHW11</v>
          </cell>
          <cell r="D397" t="str">
            <v>DS-507 32 HOLE PROCLICK PUNCH DIE</v>
          </cell>
          <cell r="E397">
            <v>0</v>
          </cell>
          <cell r="F397">
            <v>0</v>
          </cell>
          <cell r="G397" t="str">
            <v>BW-P</v>
          </cell>
        </row>
        <row r="398">
          <cell r="C398" t="str">
            <v>A0W5WY1</v>
          </cell>
          <cell r="D398" t="str">
            <v>HD-511 INNER CASE FOR RH-101</v>
          </cell>
          <cell r="E398">
            <v>4</v>
          </cell>
          <cell r="F398">
            <v>6.0240963855399997E-3</v>
          </cell>
          <cell r="G398" t="str">
            <v>BW-P</v>
          </cell>
        </row>
        <row r="399">
          <cell r="C399" t="str">
            <v>A0W6WY2</v>
          </cell>
          <cell r="D399" t="str">
            <v>RH-101 ATTACHMENT KIT FOR REMOVEABLE HDD</v>
          </cell>
          <cell r="E399">
            <v>2</v>
          </cell>
          <cell r="F399">
            <v>3.0120481927699999E-3</v>
          </cell>
          <cell r="G399" t="str">
            <v>BW-P</v>
          </cell>
        </row>
        <row r="400">
          <cell r="C400" t="str">
            <v>A4EYWY1</v>
          </cell>
          <cell r="D400" t="str">
            <v>PF-706 PAPER FEED UNIT</v>
          </cell>
          <cell r="E400">
            <v>128</v>
          </cell>
          <cell r="F400">
            <v>0.19277108433734999</v>
          </cell>
          <cell r="G400" t="str">
            <v>BW-P</v>
          </cell>
        </row>
        <row r="401">
          <cell r="C401" t="str">
            <v>A4F0WY1</v>
          </cell>
          <cell r="D401" t="str">
            <v>LU-409 LARGE CAP PAPER SUPPLY - LETTER</v>
          </cell>
          <cell r="E401">
            <v>346</v>
          </cell>
          <cell r="F401">
            <v>0.52108433734939996</v>
          </cell>
          <cell r="G401" t="str">
            <v>BW-P</v>
          </cell>
        </row>
        <row r="402">
          <cell r="C402" t="str">
            <v>A4F1WY1</v>
          </cell>
          <cell r="D402" t="str">
            <v>LU-410 LARGE CAP PAPER SUPPLY - 12X18</v>
          </cell>
          <cell r="E402">
            <v>60</v>
          </cell>
          <cell r="F402">
            <v>9.0361445783130004E-2</v>
          </cell>
          <cell r="G402" t="str">
            <v>BW-P</v>
          </cell>
        </row>
        <row r="403">
          <cell r="C403" t="str">
            <v>A4F3WY1</v>
          </cell>
          <cell r="D403" t="str">
            <v>FS-532 STAPLING FINISHER</v>
          </cell>
          <cell r="E403">
            <v>637</v>
          </cell>
          <cell r="F403">
            <v>0.95933734939758997</v>
          </cell>
          <cell r="G403" t="str">
            <v>BW-P</v>
          </cell>
        </row>
        <row r="404">
          <cell r="C404" t="str">
            <v>A4F4WY1</v>
          </cell>
          <cell r="D404" t="str">
            <v>SD-510 SADDLE STITCH UNIT</v>
          </cell>
          <cell r="E404">
            <v>265</v>
          </cell>
          <cell r="F404">
            <v>0.39909638554216997</v>
          </cell>
          <cell r="G404" t="str">
            <v>BW-P</v>
          </cell>
        </row>
        <row r="405">
          <cell r="C405" t="str">
            <v>A4F5WY1</v>
          </cell>
          <cell r="D405" t="str">
            <v>MK-732 MOUNT KIT FOR PI-506</v>
          </cell>
          <cell r="E405">
            <v>106</v>
          </cell>
          <cell r="F405">
            <v>0.15963855421687001</v>
          </cell>
          <cell r="G405" t="str">
            <v>BW-P</v>
          </cell>
        </row>
        <row r="406">
          <cell r="C406" t="str">
            <v>A4F8WY2</v>
          </cell>
          <cell r="D406" t="str">
            <v>ZU-608 Z-FOLDING UNIT</v>
          </cell>
          <cell r="E406">
            <v>17</v>
          </cell>
          <cell r="F406">
            <v>2.5602409638550001E-2</v>
          </cell>
          <cell r="G406" t="str">
            <v>BW-P</v>
          </cell>
        </row>
        <row r="407">
          <cell r="C407" t="str">
            <v>A4FAW11</v>
          </cell>
          <cell r="D407" t="str">
            <v>PK-522 2/3-HOLE PUNCH KIT FOR FS-532</v>
          </cell>
          <cell r="E407">
            <v>490</v>
          </cell>
          <cell r="F407">
            <v>0.73795180722891995</v>
          </cell>
          <cell r="G407" t="str">
            <v>BW-P</v>
          </cell>
        </row>
        <row r="408">
          <cell r="C408" t="str">
            <v>A5A8WY1</v>
          </cell>
          <cell r="D408" t="str">
            <v>UK-205 UPGRADE KIT - USB DONGLE</v>
          </cell>
          <cell r="E408">
            <v>12</v>
          </cell>
          <cell r="F408">
            <v>1.8072289156629999E-2</v>
          </cell>
          <cell r="G408" t="str">
            <v>BW-P</v>
          </cell>
        </row>
        <row r="409">
          <cell r="C409" t="str">
            <v>A0ED013</v>
          </cell>
          <cell r="D409" t="str">
            <v>**BIZHUB C220 PRINTER/COPIER</v>
          </cell>
          <cell r="E409">
            <v>681</v>
          </cell>
          <cell r="F409">
            <v>1</v>
          </cell>
        </row>
        <row r="410">
          <cell r="C410" t="str">
            <v>A0HUWY1</v>
          </cell>
          <cell r="D410" t="str">
            <v>DF-617 REVERSING AUTOMATIC DOC FEEDER</v>
          </cell>
          <cell r="E410">
            <v>666</v>
          </cell>
          <cell r="F410">
            <v>0.97797356828194004</v>
          </cell>
        </row>
        <row r="411">
          <cell r="C411" t="str">
            <v>15LB</v>
          </cell>
          <cell r="D411" t="str">
            <v>FK-502 FAX KIT</v>
          </cell>
          <cell r="E411">
            <v>489</v>
          </cell>
          <cell r="F411">
            <v>0.71806167400881005</v>
          </cell>
        </row>
        <row r="412">
          <cell r="C412" t="str">
            <v>A0XWWY4</v>
          </cell>
          <cell r="D412" t="str">
            <v>DK-507 COPY DESK</v>
          </cell>
          <cell r="E412">
            <v>407</v>
          </cell>
          <cell r="F412">
            <v>0.59765051395006996</v>
          </cell>
        </row>
        <row r="413">
          <cell r="C413" t="str">
            <v>A0XWW13</v>
          </cell>
          <cell r="D413" t="str">
            <v>PC-408 LARGE CAPACITY CABINET</v>
          </cell>
          <cell r="E413">
            <v>173</v>
          </cell>
          <cell r="F413">
            <v>0.25403817914831001</v>
          </cell>
        </row>
        <row r="414">
          <cell r="C414">
            <v>7640005064</v>
          </cell>
          <cell r="D414" t="str">
            <v>AU-201H HID CARD AUTHENTICATION UNIT</v>
          </cell>
          <cell r="E414">
            <v>169</v>
          </cell>
          <cell r="F414">
            <v>0.24816446402348999</v>
          </cell>
        </row>
        <row r="415">
          <cell r="C415" t="str">
            <v>A0YDWY1</v>
          </cell>
          <cell r="D415" t="str">
            <v>*UK-203 i-Option Upgrade Kit (1 GB)</v>
          </cell>
          <cell r="E415">
            <v>119</v>
          </cell>
          <cell r="F415">
            <v>0.17474302496329</v>
          </cell>
        </row>
        <row r="416">
          <cell r="C416" t="str">
            <v>A10EW11</v>
          </cell>
          <cell r="D416" t="str">
            <v>PK-517 2/3-HOLE PUNCH KIT FOR FS-527</v>
          </cell>
          <cell r="E416">
            <v>98</v>
          </cell>
          <cell r="F416">
            <v>0.143906020558</v>
          </cell>
        </row>
        <row r="417">
          <cell r="C417" t="str">
            <v>A0XWWY2</v>
          </cell>
          <cell r="D417" t="str">
            <v>PC-207 PAPER FEED CABINET</v>
          </cell>
          <cell r="E417">
            <v>57</v>
          </cell>
          <cell r="F417">
            <v>8.3700440528630002E-2</v>
          </cell>
        </row>
        <row r="418">
          <cell r="C418" t="str">
            <v>A0XWWY1</v>
          </cell>
          <cell r="D418" t="str">
            <v>PC-107 PAPER FEED CABINET</v>
          </cell>
          <cell r="E418">
            <v>30</v>
          </cell>
          <cell r="F418">
            <v>4.4052863436119999E-2</v>
          </cell>
        </row>
        <row r="419">
          <cell r="C419" t="str">
            <v>A10DWY1</v>
          </cell>
          <cell r="D419" t="str">
            <v>SD-509 SADDLE KIT</v>
          </cell>
          <cell r="E419">
            <v>28</v>
          </cell>
          <cell r="F419">
            <v>4.1116005873720003E-2</v>
          </cell>
        </row>
        <row r="420">
          <cell r="C420" t="str">
            <v>A0X9WY1</v>
          </cell>
          <cell r="D420" t="str">
            <v>AU-102 Biometric Authentication Unit</v>
          </cell>
          <cell r="E420">
            <v>18</v>
          </cell>
          <cell r="F420">
            <v>2.6431718061669999E-2</v>
          </cell>
        </row>
        <row r="421">
          <cell r="C421">
            <v>7640006869</v>
          </cell>
          <cell r="D421" t="str">
            <v>EXT KEYBRD(CHERRY KEYBD G84-4100LCAUS-2)</v>
          </cell>
          <cell r="E421">
            <v>8</v>
          </cell>
          <cell r="F421">
            <v>1.174743024963E-2</v>
          </cell>
        </row>
        <row r="422">
          <cell r="C422" t="str">
            <v>A165WY1</v>
          </cell>
          <cell r="D422" t="str">
            <v>KH-101 EXTERNAL KEYBOARD HOLDER</v>
          </cell>
          <cell r="E422">
            <v>7</v>
          </cell>
          <cell r="F422">
            <v>1.0279001468430001E-2</v>
          </cell>
        </row>
        <row r="423">
          <cell r="C423" t="str">
            <v>A0W4WY1</v>
          </cell>
          <cell r="D423" t="str">
            <v>*WT-506 Working Table</v>
          </cell>
          <cell r="E423">
            <v>5</v>
          </cell>
          <cell r="F423">
            <v>7.3421439060200001E-3</v>
          </cell>
        </row>
        <row r="424">
          <cell r="C424" t="str">
            <v>A10FWY1</v>
          </cell>
          <cell r="D424" t="str">
            <v>JS-603 JOB SEPARATOR TRAY</v>
          </cell>
          <cell r="E424">
            <v>5</v>
          </cell>
          <cell r="F424">
            <v>7.3421439060200001E-3</v>
          </cell>
        </row>
        <row r="425">
          <cell r="C425" t="str">
            <v>A128WY2</v>
          </cell>
          <cell r="D425" t="str">
            <v>OC-509 ORIGINAL COVER</v>
          </cell>
          <cell r="E425">
            <v>5</v>
          </cell>
          <cell r="F425">
            <v>7.3421439060200001E-3</v>
          </cell>
        </row>
        <row r="426">
          <cell r="C426">
            <v>7640008394</v>
          </cell>
          <cell r="D426" t="str">
            <v>AU-202H ICLASS CARD READER</v>
          </cell>
          <cell r="E426">
            <v>4</v>
          </cell>
          <cell r="F426">
            <v>5.8737151248199997E-3</v>
          </cell>
        </row>
        <row r="427">
          <cell r="C427" t="str">
            <v>A0D9WY1</v>
          </cell>
          <cell r="D427" t="str">
            <v>MK-713 BANNER SET GUIDE</v>
          </cell>
          <cell r="E427">
            <v>4</v>
          </cell>
          <cell r="F427">
            <v>5.8737151248199997E-3</v>
          </cell>
        </row>
        <row r="428">
          <cell r="C428" t="str">
            <v>A0PD01A</v>
          </cell>
          <cell r="D428" t="str">
            <v>i-Option LK-101 v2</v>
          </cell>
          <cell r="E428">
            <v>3</v>
          </cell>
          <cell r="F428">
            <v>4.4052863436100003E-3</v>
          </cell>
        </row>
        <row r="429">
          <cell r="C429" t="str">
            <v>A0PD012</v>
          </cell>
          <cell r="D429" t="str">
            <v>3LK-102 LICENSE KIT</v>
          </cell>
          <cell r="E429">
            <v>2</v>
          </cell>
          <cell r="F429">
            <v>2.9368575624099998E-3</v>
          </cell>
        </row>
        <row r="430">
          <cell r="C430">
            <v>4614511</v>
          </cell>
          <cell r="D430" t="str">
            <v>SPARE TX MARKER STAMP 2</v>
          </cell>
          <cell r="E430">
            <v>1</v>
          </cell>
          <cell r="F430">
            <v>1.4684287812E-3</v>
          </cell>
        </row>
        <row r="431">
          <cell r="C431" t="str">
            <v>A0PD015</v>
          </cell>
          <cell r="D431" t="str">
            <v>LK-105 LICENSE KIT (SEARCHABLE PDF)</v>
          </cell>
          <cell r="E431">
            <v>1</v>
          </cell>
          <cell r="F431">
            <v>1.4684287812E-3</v>
          </cell>
        </row>
        <row r="432">
          <cell r="C432" t="str">
            <v>15LBX005</v>
          </cell>
          <cell r="D432" t="str">
            <v>C652/C552 FAX KIT [FK-502] + [MK-720]</v>
          </cell>
          <cell r="E432">
            <v>0</v>
          </cell>
          <cell r="F432">
            <v>0</v>
          </cell>
        </row>
        <row r="433">
          <cell r="C433">
            <v>4614506</v>
          </cell>
          <cell r="D433" t="str">
            <v>SP-501 STAMP UNIT</v>
          </cell>
          <cell r="E433">
            <v>0</v>
          </cell>
          <cell r="F433">
            <v>0</v>
          </cell>
        </row>
        <row r="434">
          <cell r="C434">
            <v>4623472</v>
          </cell>
          <cell r="D434" t="str">
            <v>*KEY COUNTER ATTACHMENT KIT</v>
          </cell>
          <cell r="E434">
            <v>0</v>
          </cell>
          <cell r="F434">
            <v>0</v>
          </cell>
        </row>
        <row r="435">
          <cell r="C435">
            <v>7640005261</v>
          </cell>
          <cell r="D435" t="str">
            <v>HID PROXIMITY CARD 10 PACK</v>
          </cell>
          <cell r="E435">
            <v>0</v>
          </cell>
          <cell r="F435">
            <v>0</v>
          </cell>
        </row>
        <row r="436">
          <cell r="C436" t="str">
            <v>A0830Y1</v>
          </cell>
          <cell r="D436" t="str">
            <v>*JS-505 INNER SEPARATOR TRAY</v>
          </cell>
          <cell r="E436">
            <v>0</v>
          </cell>
          <cell r="F436">
            <v>0</v>
          </cell>
        </row>
        <row r="437">
          <cell r="C437" t="str">
            <v>A0HRWY1</v>
          </cell>
          <cell r="D437" t="str">
            <v>*FS-527 FINISHER</v>
          </cell>
          <cell r="E437">
            <v>0</v>
          </cell>
          <cell r="F437">
            <v>0</v>
          </cell>
        </row>
        <row r="438">
          <cell r="C438" t="str">
            <v>A0U7WY1</v>
          </cell>
          <cell r="D438" t="str">
            <v>*FS-529 INNER STAPLE FINISHER</v>
          </cell>
          <cell r="E438">
            <v>0</v>
          </cell>
          <cell r="F438">
            <v>0</v>
          </cell>
        </row>
        <row r="439">
          <cell r="C439" t="str">
            <v>A0Y9WY1</v>
          </cell>
          <cell r="D439" t="str">
            <v>SC-507 Security Kit (Copy Guard Protecti</v>
          </cell>
          <cell r="E439">
            <v>0</v>
          </cell>
          <cell r="F439">
            <v>0</v>
          </cell>
        </row>
        <row r="440">
          <cell r="C440" t="str">
            <v>A0YCWY1</v>
          </cell>
          <cell r="D440" t="str">
            <v>*EK605 LOCALUSB INTERFACE KT W/BLUETOOTH</v>
          </cell>
          <cell r="E440">
            <v>0</v>
          </cell>
          <cell r="F440">
            <v>0</v>
          </cell>
        </row>
        <row r="441">
          <cell r="C441" t="str">
            <v>A0YCWY2</v>
          </cell>
          <cell r="D441" t="str">
            <v>*EK-604 LOCAL USB INTERFACE KIT</v>
          </cell>
          <cell r="E441">
            <v>0</v>
          </cell>
          <cell r="F441">
            <v>0</v>
          </cell>
        </row>
        <row r="442">
          <cell r="C442" t="str">
            <v>A163WY1</v>
          </cell>
          <cell r="D442" t="str">
            <v>WT-507 SIDE PANEL KIT</v>
          </cell>
          <cell r="E442">
            <v>0</v>
          </cell>
          <cell r="F442">
            <v>0</v>
          </cell>
        </row>
        <row r="443">
          <cell r="C443" t="str">
            <v>A4FM011</v>
          </cell>
          <cell r="D443" t="str">
            <v>BIZHUB C224 PRINTER/COPIER</v>
          </cell>
          <cell r="E443">
            <v>2822</v>
          </cell>
          <cell r="F443">
            <v>1</v>
          </cell>
          <cell r="G443" t="str">
            <v>Color</v>
          </cell>
        </row>
        <row r="444">
          <cell r="C444" t="str">
            <v>A3CFWY1</v>
          </cell>
          <cell r="D444" t="str">
            <v>DF-624 REVERSE AUTO DOC FEEDER</v>
          </cell>
          <cell r="E444">
            <v>2165</v>
          </cell>
          <cell r="F444">
            <v>0.76718639262933996</v>
          </cell>
          <cell r="G444" t="str">
            <v>Color</v>
          </cell>
        </row>
        <row r="445">
          <cell r="C445">
            <v>7640017610</v>
          </cell>
          <cell r="D445" t="str">
            <v>DK-510 COPY DESK</v>
          </cell>
          <cell r="E445">
            <v>2053</v>
          </cell>
          <cell r="F445">
            <v>0.72749822820694998</v>
          </cell>
          <cell r="G445" t="str">
            <v>Color</v>
          </cell>
        </row>
        <row r="446">
          <cell r="C446">
            <v>7640014723</v>
          </cell>
          <cell r="D446" t="str">
            <v>INNOVOLT POWER MANAGER 15AMP</v>
          </cell>
          <cell r="E446">
            <v>2017</v>
          </cell>
          <cell r="F446">
            <v>0.71474131821402997</v>
          </cell>
          <cell r="G446" t="str">
            <v>Color</v>
          </cell>
        </row>
        <row r="447">
          <cell r="C447" t="str">
            <v>A4MF011</v>
          </cell>
          <cell r="D447" t="str">
            <v>FK-511 FAX KIT</v>
          </cell>
          <cell r="E447">
            <v>1792</v>
          </cell>
          <cell r="F447">
            <v>0.63501063075832997</v>
          </cell>
          <cell r="G447" t="str">
            <v>Color</v>
          </cell>
        </row>
        <row r="448">
          <cell r="C448" t="str">
            <v>A3CEWY1</v>
          </cell>
          <cell r="D448" t="str">
            <v>DF-701 DUAL SCAN AUTOMATIC DOC FEEDER</v>
          </cell>
          <cell r="E448">
            <v>636</v>
          </cell>
          <cell r="F448">
            <v>0.22537207654145999</v>
          </cell>
          <cell r="G448" t="str">
            <v>Color</v>
          </cell>
        </row>
        <row r="449">
          <cell r="C449" t="str">
            <v>A3EPWY1</v>
          </cell>
          <cell r="D449" t="str">
            <v>FS-534 50-SHEET STAPLE FINISHER</v>
          </cell>
          <cell r="E449">
            <v>633</v>
          </cell>
          <cell r="F449">
            <v>0.22430900070872001</v>
          </cell>
          <cell r="G449" t="str">
            <v>Color</v>
          </cell>
        </row>
        <row r="450">
          <cell r="C450" t="str">
            <v>A2YUWY1</v>
          </cell>
          <cell r="D450" t="str">
            <v>FS-533 INNER STAPLE FINISHER</v>
          </cell>
          <cell r="E450">
            <v>493</v>
          </cell>
          <cell r="F450">
            <v>0.17469879518072001</v>
          </cell>
          <cell r="G450" t="str">
            <v>Color</v>
          </cell>
        </row>
        <row r="451">
          <cell r="C451" t="str">
            <v>A0W4WY2</v>
          </cell>
          <cell r="D451" t="str">
            <v>WT-506 WORKING TABLE</v>
          </cell>
          <cell r="E451">
            <v>344</v>
          </cell>
          <cell r="F451">
            <v>0.12189936215449999</v>
          </cell>
          <cell r="G451" t="str">
            <v>Color</v>
          </cell>
        </row>
        <row r="452">
          <cell r="C452" t="str">
            <v>A2XMWY2</v>
          </cell>
          <cell r="D452" t="str">
            <v>PC-210 PAPER FEED CABINET</v>
          </cell>
          <cell r="E452">
            <v>274</v>
          </cell>
          <cell r="F452">
            <v>9.7094259390499996E-2</v>
          </cell>
          <cell r="G452" t="str">
            <v>Color</v>
          </cell>
        </row>
        <row r="453">
          <cell r="C453" t="str">
            <v>A2XM013</v>
          </cell>
          <cell r="D453" t="str">
            <v>PC-410 PAPER FEED CABINET</v>
          </cell>
          <cell r="E453">
            <v>259</v>
          </cell>
          <cell r="F453">
            <v>9.1778880226789997E-2</v>
          </cell>
          <cell r="G453" t="str">
            <v>Color</v>
          </cell>
        </row>
        <row r="454">
          <cell r="C454" t="str">
            <v>A2XMWY1</v>
          </cell>
          <cell r="D454" t="str">
            <v>PC-110 PAPER FEED CABINET</v>
          </cell>
          <cell r="E454">
            <v>241</v>
          </cell>
          <cell r="F454">
            <v>8.5400425230329993E-2</v>
          </cell>
          <cell r="G454" t="str">
            <v>Color</v>
          </cell>
        </row>
        <row r="455">
          <cell r="C455" t="str">
            <v>A3ETW11</v>
          </cell>
          <cell r="D455" t="str">
            <v>PK-520 PUNCH KIT</v>
          </cell>
          <cell r="E455">
            <v>173</v>
          </cell>
          <cell r="F455">
            <v>6.1304039688159999E-2</v>
          </cell>
          <cell r="G455" t="str">
            <v>Color</v>
          </cell>
        </row>
        <row r="456">
          <cell r="C456" t="str">
            <v>A3ERWY1</v>
          </cell>
          <cell r="D456" t="str">
            <v>SD-511 SADDLE STITCH KIT</v>
          </cell>
          <cell r="E456">
            <v>161</v>
          </cell>
          <cell r="F456">
            <v>5.7051736357189999E-2</v>
          </cell>
          <cell r="G456" t="str">
            <v>Color</v>
          </cell>
        </row>
        <row r="457">
          <cell r="C457" t="str">
            <v>A2YVWY1</v>
          </cell>
          <cell r="D457" t="str">
            <v>JS-506 JOB SEPARATOR</v>
          </cell>
          <cell r="E457">
            <v>143</v>
          </cell>
          <cell r="F457">
            <v>5.0673281360740001E-2</v>
          </cell>
          <cell r="G457" t="str">
            <v>Color</v>
          </cell>
        </row>
        <row r="458">
          <cell r="C458">
            <v>7640005064</v>
          </cell>
          <cell r="D458" t="str">
            <v>AU-201H HID CARD AUTHENTICATION UNIT</v>
          </cell>
          <cell r="E458">
            <v>134</v>
          </cell>
          <cell r="F458">
            <v>4.7484053862509999E-2</v>
          </cell>
          <cell r="G458" t="str">
            <v>Color</v>
          </cell>
        </row>
        <row r="459">
          <cell r="C459">
            <v>7640006869</v>
          </cell>
          <cell r="D459" t="str">
            <v>EXT KEYBRD(CHERRY KEYBD G84-4100LCAUS-2)</v>
          </cell>
          <cell r="E459">
            <v>124</v>
          </cell>
          <cell r="F459">
            <v>4.3940467753370002E-2</v>
          </cell>
          <cell r="G459" t="str">
            <v>Color</v>
          </cell>
        </row>
        <row r="460">
          <cell r="C460" t="str">
            <v>A4NRWY1</v>
          </cell>
          <cell r="D460" t="str">
            <v>KH-102 KEYBOARD HOLDER</v>
          </cell>
          <cell r="E460">
            <v>118</v>
          </cell>
          <cell r="F460">
            <v>4.1814316087879999E-2</v>
          </cell>
          <cell r="G460" t="str">
            <v>Color</v>
          </cell>
        </row>
        <row r="461">
          <cell r="C461" t="str">
            <v>A4MHWY1</v>
          </cell>
          <cell r="D461" t="str">
            <v>*UK-204 MEMORY UPGRADE KIT</v>
          </cell>
          <cell r="E461">
            <v>106</v>
          </cell>
          <cell r="F461">
            <v>3.7562012756909999E-2</v>
          </cell>
          <cell r="G461" t="str">
            <v>Color</v>
          </cell>
        </row>
        <row r="462">
          <cell r="C462" t="str">
            <v>A3EUW11</v>
          </cell>
          <cell r="D462" t="str">
            <v>PK-519 PUNCH KIT</v>
          </cell>
          <cell r="E462">
            <v>56</v>
          </cell>
          <cell r="F462">
            <v>1.9844082211200001E-2</v>
          </cell>
          <cell r="G462" t="str">
            <v>Color</v>
          </cell>
        </row>
        <row r="463">
          <cell r="C463">
            <v>7640008394</v>
          </cell>
          <cell r="D463" t="str">
            <v>AU-202H ICLASS CARD READER</v>
          </cell>
          <cell r="E463">
            <v>37</v>
          </cell>
          <cell r="F463">
            <v>1.311126860383E-2</v>
          </cell>
          <cell r="G463" t="str">
            <v>Color</v>
          </cell>
        </row>
        <row r="464">
          <cell r="C464" t="str">
            <v>A0PD01H</v>
          </cell>
          <cell r="D464" t="str">
            <v>LK-101 v3 WEB BROWSER/IMAGE PNL IOPTN KT</v>
          </cell>
          <cell r="E464">
            <v>33</v>
          </cell>
          <cell r="F464">
            <v>1.1693834160170001E-2</v>
          </cell>
          <cell r="G464" t="str">
            <v>Color</v>
          </cell>
        </row>
        <row r="465">
          <cell r="C465" t="str">
            <v>A0X9WY1</v>
          </cell>
          <cell r="D465" t="str">
            <v>AU-102 Biometric Authentication Unit</v>
          </cell>
          <cell r="E465">
            <v>30</v>
          </cell>
          <cell r="F465">
            <v>1.063075832743E-2</v>
          </cell>
          <cell r="G465" t="str">
            <v>Color</v>
          </cell>
        </row>
        <row r="466">
          <cell r="C466">
            <v>4614506</v>
          </cell>
          <cell r="D466" t="str">
            <v>SP-501 STAMP UNIT</v>
          </cell>
          <cell r="E466">
            <v>25</v>
          </cell>
          <cell r="F466">
            <v>8.8589652728600001E-3</v>
          </cell>
          <cell r="G466" t="str">
            <v>Color</v>
          </cell>
        </row>
        <row r="467">
          <cell r="C467" t="str">
            <v>A3PMWY1</v>
          </cell>
          <cell r="D467" t="str">
            <v>OC-511 ORIGINAL COVER</v>
          </cell>
          <cell r="E467">
            <v>23</v>
          </cell>
          <cell r="F467">
            <v>8.1502480510300002E-3</v>
          </cell>
          <cell r="G467" t="str">
            <v>Color</v>
          </cell>
        </row>
        <row r="468">
          <cell r="C468" t="str">
            <v>A4MJWY1</v>
          </cell>
          <cell r="D468" t="str">
            <v>EK-606 USB HUB KIT</v>
          </cell>
          <cell r="E468">
            <v>23</v>
          </cell>
          <cell r="F468">
            <v>8.1502480510300002E-3</v>
          </cell>
          <cell r="G468" t="str">
            <v>Color</v>
          </cell>
        </row>
        <row r="469">
          <cell r="C469" t="str">
            <v>A4MKWY1</v>
          </cell>
          <cell r="D469" t="str">
            <v>EK-607 USB HUB KIT</v>
          </cell>
          <cell r="E469">
            <v>22</v>
          </cell>
          <cell r="F469">
            <v>7.79588944011E-3</v>
          </cell>
          <cell r="G469" t="str">
            <v>Color</v>
          </cell>
        </row>
        <row r="470">
          <cell r="C470">
            <v>7640013463</v>
          </cell>
          <cell r="D470" t="str">
            <v>CONVENIENCE STAPLER CS-1</v>
          </cell>
          <cell r="E470">
            <v>11</v>
          </cell>
          <cell r="F470">
            <v>3.8979447200599999E-3</v>
          </cell>
          <cell r="G470" t="str">
            <v>Color</v>
          </cell>
        </row>
        <row r="471">
          <cell r="C471" t="str">
            <v>A0PD016</v>
          </cell>
          <cell r="D471" t="str">
            <v>LK-102 v3 PDF ENCRYPTION IOPTION KIT</v>
          </cell>
          <cell r="E471">
            <v>5</v>
          </cell>
          <cell r="F471">
            <v>1.77179305457E-3</v>
          </cell>
          <cell r="G471" t="str">
            <v>Color</v>
          </cell>
        </row>
        <row r="472">
          <cell r="C472" t="str">
            <v>A0PD018</v>
          </cell>
          <cell r="D472" t="str">
            <v>LK-105 v3 SEARCHABLE PDF IOPTION KIT</v>
          </cell>
          <cell r="E472">
            <v>5</v>
          </cell>
          <cell r="F472">
            <v>1.77179305457E-3</v>
          </cell>
          <cell r="G472" t="str">
            <v>Color</v>
          </cell>
        </row>
        <row r="473">
          <cell r="C473">
            <v>4614511</v>
          </cell>
          <cell r="D473" t="str">
            <v>SPARE TX MARKER STAMP 2</v>
          </cell>
          <cell r="E473">
            <v>4</v>
          </cell>
          <cell r="F473">
            <v>1.41743444366E-3</v>
          </cell>
          <cell r="G473" t="str">
            <v>Color</v>
          </cell>
        </row>
        <row r="474">
          <cell r="C474">
            <v>7640005261</v>
          </cell>
          <cell r="D474" t="str">
            <v>HID PROXIMITY CARD 10 PACK</v>
          </cell>
          <cell r="E474">
            <v>3</v>
          </cell>
          <cell r="F474">
            <v>1.0630758327399999E-3</v>
          </cell>
          <cell r="G474" t="str">
            <v>Color</v>
          </cell>
        </row>
        <row r="475">
          <cell r="C475" t="str">
            <v>A0PD019</v>
          </cell>
          <cell r="D475" t="str">
            <v>LK-106 BAR CODE FONTS IOPTION KIT</v>
          </cell>
          <cell r="E475">
            <v>2</v>
          </cell>
          <cell r="F475">
            <v>7.0871722182999999E-4</v>
          </cell>
          <cell r="G475" t="str">
            <v>Color</v>
          </cell>
        </row>
        <row r="476">
          <cell r="C476" t="str">
            <v>A0PD01G</v>
          </cell>
          <cell r="D476" t="str">
            <v>LK-108 OCR FONT IOPTION KIT</v>
          </cell>
          <cell r="E476">
            <v>2</v>
          </cell>
          <cell r="F476">
            <v>7.0871722182999999E-4</v>
          </cell>
          <cell r="G476" t="str">
            <v>Color</v>
          </cell>
        </row>
        <row r="477">
          <cell r="C477" t="str">
            <v>A4MEWY1</v>
          </cell>
          <cell r="D477" t="str">
            <v>MK-730 BANNER TRAY</v>
          </cell>
          <cell r="E477">
            <v>2</v>
          </cell>
          <cell r="F477">
            <v>7.0871722182999999E-4</v>
          </cell>
          <cell r="G477" t="str">
            <v>Color</v>
          </cell>
        </row>
        <row r="478">
          <cell r="C478" t="str">
            <v>A4NMWY1</v>
          </cell>
          <cell r="D478" t="str">
            <v>MK-735 IC CARD MOUNT KIT</v>
          </cell>
          <cell r="E478">
            <v>2</v>
          </cell>
          <cell r="F478">
            <v>7.0871722182999999E-4</v>
          </cell>
          <cell r="G478" t="str">
            <v>Color</v>
          </cell>
        </row>
        <row r="479">
          <cell r="C479" t="str">
            <v>A4MMWY1</v>
          </cell>
          <cell r="D479" t="str">
            <v>SC-508 COPY GUARD KIT</v>
          </cell>
          <cell r="E479">
            <v>1</v>
          </cell>
          <cell r="F479">
            <v>3.5435861090999998E-4</v>
          </cell>
          <cell r="G479" t="str">
            <v>Color</v>
          </cell>
        </row>
        <row r="480">
          <cell r="C480">
            <v>4623474</v>
          </cell>
          <cell r="D480" t="str">
            <v>KEY COUNTER MOUNT KIT</v>
          </cell>
          <cell r="E480">
            <v>0</v>
          </cell>
          <cell r="F480">
            <v>0</v>
          </cell>
          <cell r="G480" t="str">
            <v>Color</v>
          </cell>
        </row>
        <row r="481">
          <cell r="C481">
            <v>7640013468</v>
          </cell>
          <cell r="D481" t="str">
            <v>AU-204H MagStripe card reader</v>
          </cell>
          <cell r="E481">
            <v>0</v>
          </cell>
          <cell r="F481">
            <v>0</v>
          </cell>
          <cell r="G481" t="str">
            <v>Color</v>
          </cell>
        </row>
        <row r="482">
          <cell r="C482">
            <v>7640016375</v>
          </cell>
          <cell r="D482" t="str">
            <v>BIZHUB SECURE</v>
          </cell>
          <cell r="E482">
            <v>0</v>
          </cell>
          <cell r="F482">
            <v>0</v>
          </cell>
          <cell r="G482" t="str">
            <v>Color</v>
          </cell>
        </row>
        <row r="483">
          <cell r="C483" t="str">
            <v>A0PD017</v>
          </cell>
          <cell r="D483" t="str">
            <v>LK-104 v3 VIDEO GUIDANCE IOPTION KIT</v>
          </cell>
          <cell r="E483">
            <v>0</v>
          </cell>
          <cell r="F483">
            <v>0</v>
          </cell>
          <cell r="G483" t="str">
            <v>Color</v>
          </cell>
        </row>
        <row r="484">
          <cell r="C484" t="str">
            <v>A0PD01F</v>
          </cell>
          <cell r="D484" t="str">
            <v>LK-107 UNICODE FONT IOPTION KIT</v>
          </cell>
          <cell r="E484">
            <v>0</v>
          </cell>
          <cell r="F484">
            <v>0</v>
          </cell>
          <cell r="G484" t="str">
            <v>Color</v>
          </cell>
        </row>
        <row r="485">
          <cell r="C485" t="str">
            <v>A2YF011</v>
          </cell>
          <cell r="D485" t="str">
            <v>BIZHUB C25</v>
          </cell>
          <cell r="E485">
            <v>139</v>
          </cell>
          <cell r="F485">
            <v>1</v>
          </cell>
        </row>
        <row r="486">
          <cell r="C486">
            <v>7640013773</v>
          </cell>
          <cell r="D486" t="str">
            <v>512MB MEMORY FOR MC4750/BH C35P</v>
          </cell>
          <cell r="E486">
            <v>25</v>
          </cell>
          <cell r="F486">
            <v>0.17985611510791</v>
          </cell>
        </row>
        <row r="487">
          <cell r="C487" t="str">
            <v>A0WJ022</v>
          </cell>
          <cell r="D487" t="str">
            <v>LOWER FEEDER BH C35P</v>
          </cell>
          <cell r="E487">
            <v>18</v>
          </cell>
          <cell r="F487">
            <v>0.12949640287770001</v>
          </cell>
        </row>
        <row r="488">
          <cell r="C488" t="str">
            <v>A14F0Y1</v>
          </cell>
          <cell r="D488" t="str">
            <v>*HDD KIT MC4750/BH C35P</v>
          </cell>
          <cell r="E488">
            <v>11</v>
          </cell>
          <cell r="F488">
            <v>7.9136690647479996E-2</v>
          </cell>
        </row>
        <row r="489">
          <cell r="C489">
            <v>4790100001</v>
          </cell>
          <cell r="D489" t="str">
            <v>1 YEAR EXTENDED WARRANTY BIZHUB C25</v>
          </cell>
          <cell r="E489">
            <v>0</v>
          </cell>
          <cell r="F489">
            <v>0</v>
          </cell>
        </row>
        <row r="490">
          <cell r="C490">
            <v>4790100002</v>
          </cell>
          <cell r="D490" t="str">
            <v>2 YEAR EXTENDED WARRANTY BIZHUB C25</v>
          </cell>
          <cell r="E490">
            <v>0</v>
          </cell>
          <cell r="F490">
            <v>0</v>
          </cell>
        </row>
        <row r="491">
          <cell r="C491">
            <v>4790100003</v>
          </cell>
          <cell r="D491" t="str">
            <v>3 YEAR EXTENDED WARRANTY BIZHUB C25</v>
          </cell>
          <cell r="E491">
            <v>0</v>
          </cell>
          <cell r="F491">
            <v>0</v>
          </cell>
        </row>
        <row r="492">
          <cell r="C492">
            <v>4790100004</v>
          </cell>
          <cell r="D492" t="str">
            <v>BIZHUBC25 ASP INSTALLATION</v>
          </cell>
          <cell r="E492">
            <v>0</v>
          </cell>
          <cell r="F492">
            <v>0</v>
          </cell>
        </row>
        <row r="493">
          <cell r="C493" t="str">
            <v>A0ED012</v>
          </cell>
          <cell r="D493" t="str">
            <v>BIZHUB C280 PRINTER/COPIER</v>
          </cell>
          <cell r="E493">
            <v>596</v>
          </cell>
          <cell r="F493">
            <v>1</v>
          </cell>
        </row>
        <row r="494">
          <cell r="C494" t="str">
            <v>A0HUWY1</v>
          </cell>
          <cell r="D494" t="str">
            <v>DF-617 REVERSING AUTOMATIC DOC FEEDER</v>
          </cell>
          <cell r="E494">
            <v>596</v>
          </cell>
          <cell r="F494">
            <v>1</v>
          </cell>
        </row>
        <row r="495">
          <cell r="C495" t="str">
            <v>15LB</v>
          </cell>
          <cell r="D495" t="str">
            <v>FK-502 FAX KIT</v>
          </cell>
          <cell r="E495">
            <v>378</v>
          </cell>
          <cell r="F495">
            <v>0.63422818791946001</v>
          </cell>
        </row>
        <row r="496">
          <cell r="C496" t="str">
            <v>A0XWWY4</v>
          </cell>
          <cell r="D496" t="str">
            <v>DK-507 COPY DESK</v>
          </cell>
          <cell r="E496">
            <v>302</v>
          </cell>
          <cell r="F496">
            <v>0.50671140939597004</v>
          </cell>
        </row>
        <row r="497">
          <cell r="C497" t="str">
            <v>A0XWWY2</v>
          </cell>
          <cell r="D497" t="str">
            <v>PC-207 PAPER FEED CABINET</v>
          </cell>
          <cell r="E497">
            <v>140</v>
          </cell>
          <cell r="F497">
            <v>0.23489932885906001</v>
          </cell>
        </row>
        <row r="498">
          <cell r="C498" t="str">
            <v>A0XWW13</v>
          </cell>
          <cell r="D498" t="str">
            <v>PC-408 LARGE CAPACITY CABINET</v>
          </cell>
          <cell r="E498">
            <v>117</v>
          </cell>
          <cell r="F498">
            <v>0.19630872483221001</v>
          </cell>
        </row>
        <row r="499">
          <cell r="C499" t="str">
            <v>A10EW11</v>
          </cell>
          <cell r="D499" t="str">
            <v>PK-517 2/3-HOLE PUNCH KIT FOR FS-527</v>
          </cell>
          <cell r="E499">
            <v>101</v>
          </cell>
          <cell r="F499">
            <v>0.16946308724831999</v>
          </cell>
        </row>
        <row r="500">
          <cell r="C500" t="str">
            <v>A10DWY1</v>
          </cell>
          <cell r="D500" t="str">
            <v>SD-509 SADDLE KIT</v>
          </cell>
          <cell r="E500">
            <v>44</v>
          </cell>
          <cell r="F500">
            <v>7.3825503355699998E-2</v>
          </cell>
        </row>
        <row r="501">
          <cell r="C501" t="str">
            <v>A0XWWY1</v>
          </cell>
          <cell r="D501" t="str">
            <v>PC-107 PAPER FEED CABINET</v>
          </cell>
          <cell r="E501">
            <v>41</v>
          </cell>
          <cell r="F501">
            <v>6.8791946308720001E-2</v>
          </cell>
        </row>
        <row r="502">
          <cell r="C502">
            <v>7640005064</v>
          </cell>
          <cell r="D502" t="str">
            <v>AU-201H HID CARD AUTHENTICATION UNIT</v>
          </cell>
          <cell r="E502">
            <v>37</v>
          </cell>
          <cell r="F502">
            <v>6.2080536912749999E-2</v>
          </cell>
        </row>
        <row r="503">
          <cell r="C503">
            <v>7640006869</v>
          </cell>
          <cell r="D503" t="str">
            <v>EXT KEYBRD(CHERRY KEYBD G84-4100LCAUS-2)</v>
          </cell>
          <cell r="E503">
            <v>17</v>
          </cell>
          <cell r="F503">
            <v>2.852348993289E-2</v>
          </cell>
        </row>
        <row r="504">
          <cell r="C504" t="str">
            <v>A165WY1</v>
          </cell>
          <cell r="D504" t="str">
            <v>KH-101 EXTERNAL KEYBOARD HOLDER</v>
          </cell>
          <cell r="E504">
            <v>17</v>
          </cell>
          <cell r="F504">
            <v>2.852348993289E-2</v>
          </cell>
        </row>
        <row r="505">
          <cell r="C505" t="str">
            <v>A10FWY1</v>
          </cell>
          <cell r="D505" t="str">
            <v>JS-603 JOB SEPARATOR TRAY</v>
          </cell>
          <cell r="E505">
            <v>15</v>
          </cell>
          <cell r="F505">
            <v>2.51677852349E-2</v>
          </cell>
        </row>
        <row r="506">
          <cell r="C506" t="str">
            <v>A0X9WY1</v>
          </cell>
          <cell r="D506" t="str">
            <v>AU-102 Biometric Authentication Unit</v>
          </cell>
          <cell r="E506">
            <v>12</v>
          </cell>
          <cell r="F506">
            <v>2.013422818792E-2</v>
          </cell>
        </row>
        <row r="507">
          <cell r="C507" t="str">
            <v>A0YDWY1</v>
          </cell>
          <cell r="D507" t="str">
            <v>*UK-203 i-Option Upgrade Kit (1 GB)</v>
          </cell>
          <cell r="E507">
            <v>10</v>
          </cell>
          <cell r="F507">
            <v>1.6778523489929999E-2</v>
          </cell>
        </row>
        <row r="508">
          <cell r="C508" t="str">
            <v>A0YEWY2</v>
          </cell>
          <cell r="D508" t="str">
            <v>VI-505 VIDEO INTERFACE CABLE</v>
          </cell>
          <cell r="E508">
            <v>7</v>
          </cell>
          <cell r="F508">
            <v>1.174496644295E-2</v>
          </cell>
        </row>
        <row r="509">
          <cell r="C509" t="str">
            <v>A127WY2</v>
          </cell>
          <cell r="D509" t="str">
            <v>IC-412 FIERY CONTROLLER</v>
          </cell>
          <cell r="E509">
            <v>7</v>
          </cell>
          <cell r="F509">
            <v>1.174496644295E-2</v>
          </cell>
        </row>
        <row r="510">
          <cell r="C510" t="str">
            <v>A0PD015</v>
          </cell>
          <cell r="D510" t="str">
            <v>LK-105 LICENSE KIT (SEARCHABLE PDF)</v>
          </cell>
          <cell r="E510">
            <v>6</v>
          </cell>
          <cell r="F510">
            <v>1.006711409396E-2</v>
          </cell>
        </row>
        <row r="511">
          <cell r="C511" t="str">
            <v>A0PD01A</v>
          </cell>
          <cell r="D511" t="str">
            <v>i-Option LK-101 v2</v>
          </cell>
          <cell r="E511">
            <v>6</v>
          </cell>
          <cell r="F511">
            <v>1.006711409396E-2</v>
          </cell>
        </row>
        <row r="512">
          <cell r="C512" t="str">
            <v>A0D9WY1</v>
          </cell>
          <cell r="D512" t="str">
            <v>MK-713 BANNER SET GUIDE</v>
          </cell>
          <cell r="E512">
            <v>3</v>
          </cell>
          <cell r="F512">
            <v>5.0335570469799999E-3</v>
          </cell>
        </row>
        <row r="513">
          <cell r="C513">
            <v>4614506</v>
          </cell>
          <cell r="D513" t="str">
            <v>SP-501 STAMP UNIT</v>
          </cell>
          <cell r="E513">
            <v>2</v>
          </cell>
          <cell r="F513">
            <v>3.3557046979900002E-3</v>
          </cell>
        </row>
        <row r="514">
          <cell r="C514">
            <v>7640004314</v>
          </cell>
          <cell r="D514" t="str">
            <v>**EFI SPECTROPHOTOMETER ES-1000 V.2.0</v>
          </cell>
          <cell r="E514">
            <v>2</v>
          </cell>
          <cell r="F514">
            <v>3.3557046979900002E-3</v>
          </cell>
        </row>
        <row r="515">
          <cell r="C515">
            <v>7640008394</v>
          </cell>
          <cell r="D515" t="str">
            <v>AU-202H ICLASS CARD READER</v>
          </cell>
          <cell r="E515">
            <v>2</v>
          </cell>
          <cell r="F515">
            <v>3.3557046979900002E-3</v>
          </cell>
        </row>
        <row r="516">
          <cell r="C516" t="str">
            <v>A0W4WY1</v>
          </cell>
          <cell r="D516" t="str">
            <v>*WT-506 Working Table</v>
          </cell>
          <cell r="E516">
            <v>2</v>
          </cell>
          <cell r="F516">
            <v>3.3557046979900002E-3</v>
          </cell>
        </row>
        <row r="517">
          <cell r="C517">
            <v>7640009478</v>
          </cell>
          <cell r="D517" t="str">
            <v>EFI FIERY SEEQUENCE IMPOSE+COMPOSE SUITE</v>
          </cell>
          <cell r="E517">
            <v>1</v>
          </cell>
          <cell r="F517">
            <v>1.67785234899E-3</v>
          </cell>
        </row>
        <row r="518">
          <cell r="C518" t="str">
            <v>A128WY2</v>
          </cell>
          <cell r="D518" t="str">
            <v>OC-509 ORIGINAL COVER</v>
          </cell>
          <cell r="E518">
            <v>1</v>
          </cell>
          <cell r="F518">
            <v>1.67785234899E-3</v>
          </cell>
        </row>
        <row r="519">
          <cell r="C519" t="str">
            <v>A163WY1</v>
          </cell>
          <cell r="D519" t="str">
            <v>WT-507 SIDE PANEL KIT</v>
          </cell>
          <cell r="E519">
            <v>1</v>
          </cell>
          <cell r="F519">
            <v>1.67785234899E-3</v>
          </cell>
        </row>
        <row r="520">
          <cell r="C520" t="str">
            <v>15LBX005</v>
          </cell>
          <cell r="D520" t="str">
            <v>C652/C552 FAX KIT [FK-502] + [MK-720]</v>
          </cell>
          <cell r="E520">
            <v>0</v>
          </cell>
          <cell r="F520">
            <v>0</v>
          </cell>
        </row>
        <row r="521">
          <cell r="C521">
            <v>4614511</v>
          </cell>
          <cell r="D521" t="str">
            <v>SPARE TX MARKER STAMP 2</v>
          </cell>
          <cell r="E521">
            <v>0</v>
          </cell>
          <cell r="F521">
            <v>0</v>
          </cell>
        </row>
        <row r="522">
          <cell r="C522">
            <v>4623472</v>
          </cell>
          <cell r="D522" t="str">
            <v>*KEY COUNTER ATTACHMENT KIT</v>
          </cell>
          <cell r="E522">
            <v>0</v>
          </cell>
          <cell r="F522">
            <v>0</v>
          </cell>
        </row>
        <row r="523">
          <cell r="C523">
            <v>7640004311</v>
          </cell>
          <cell r="D523" t="str">
            <v>EFI SECURE ERASE</v>
          </cell>
          <cell r="E523">
            <v>0</v>
          </cell>
          <cell r="F523">
            <v>0</v>
          </cell>
        </row>
        <row r="524">
          <cell r="C524">
            <v>7640004312</v>
          </cell>
          <cell r="D524" t="str">
            <v>EFI HOT FOLDERS</v>
          </cell>
          <cell r="E524">
            <v>0</v>
          </cell>
          <cell r="F524">
            <v>0</v>
          </cell>
        </row>
        <row r="525">
          <cell r="C525">
            <v>7640004313</v>
          </cell>
          <cell r="D525" t="str">
            <v>EFI AUTO TRAP</v>
          </cell>
          <cell r="E525">
            <v>0</v>
          </cell>
          <cell r="F525">
            <v>0</v>
          </cell>
        </row>
        <row r="526">
          <cell r="C526">
            <v>7640005261</v>
          </cell>
          <cell r="D526" t="str">
            <v>HID PROXIMITY CARD 10 PACK</v>
          </cell>
          <cell r="E526">
            <v>0</v>
          </cell>
          <cell r="F526">
            <v>0</v>
          </cell>
        </row>
        <row r="527">
          <cell r="C527">
            <v>7640009476</v>
          </cell>
          <cell r="D527" t="str">
            <v>EFI FIERY SEEQUENCE IMPOSE</v>
          </cell>
          <cell r="E527">
            <v>0</v>
          </cell>
          <cell r="F527">
            <v>0</v>
          </cell>
        </row>
        <row r="528">
          <cell r="C528">
            <v>7640009477</v>
          </cell>
          <cell r="D528" t="str">
            <v>EFI FIERY SEEQUENCE COMPOSE</v>
          </cell>
          <cell r="E528">
            <v>0</v>
          </cell>
          <cell r="F528">
            <v>0</v>
          </cell>
        </row>
        <row r="529">
          <cell r="C529">
            <v>7640012657</v>
          </cell>
          <cell r="D529" t="str">
            <v>**EFI FIERY CPS V3.0 UV ES-1000</v>
          </cell>
          <cell r="E529">
            <v>0</v>
          </cell>
          <cell r="F529">
            <v>0</v>
          </cell>
        </row>
        <row r="530">
          <cell r="C530">
            <v>7640012669</v>
          </cell>
          <cell r="D530" t="str">
            <v>**DELL 2330DN PRINTER OEM TONER 2K</v>
          </cell>
          <cell r="E530">
            <v>0</v>
          </cell>
          <cell r="F530">
            <v>0</v>
          </cell>
        </row>
        <row r="531">
          <cell r="C531" t="str">
            <v>A0830Y1</v>
          </cell>
          <cell r="D531" t="str">
            <v>*JS-505 INNER SEPARATOR TRAY</v>
          </cell>
          <cell r="E531">
            <v>0</v>
          </cell>
          <cell r="F531">
            <v>0</v>
          </cell>
        </row>
        <row r="532">
          <cell r="C532" t="str">
            <v>A0HRWY1</v>
          </cell>
          <cell r="D532" t="str">
            <v>*FS-527 FINISHER</v>
          </cell>
          <cell r="E532">
            <v>0</v>
          </cell>
          <cell r="F532">
            <v>0</v>
          </cell>
        </row>
        <row r="533">
          <cell r="C533" t="str">
            <v>A0PD012</v>
          </cell>
          <cell r="D533" t="str">
            <v>3LK-102 LICENSE KIT</v>
          </cell>
          <cell r="E533">
            <v>0</v>
          </cell>
          <cell r="F533">
            <v>0</v>
          </cell>
        </row>
        <row r="534">
          <cell r="C534" t="str">
            <v>A0U7WY1</v>
          </cell>
          <cell r="D534" t="str">
            <v>*FS-529 INNER STAPLE FINISHER</v>
          </cell>
          <cell r="E534">
            <v>0</v>
          </cell>
          <cell r="F534">
            <v>0</v>
          </cell>
        </row>
        <row r="535">
          <cell r="C535" t="str">
            <v>A0Y9WY1</v>
          </cell>
          <cell r="D535" t="str">
            <v>SC-507 Security Kit (Copy Guard Protecti</v>
          </cell>
          <cell r="E535">
            <v>0</v>
          </cell>
          <cell r="F535">
            <v>0</v>
          </cell>
        </row>
        <row r="536">
          <cell r="C536" t="str">
            <v>A0YCWY1</v>
          </cell>
          <cell r="D536" t="str">
            <v>*EK605 LOCALUSB INTERFACE KT W/BLUETOOTH</v>
          </cell>
          <cell r="E536">
            <v>0</v>
          </cell>
          <cell r="F536">
            <v>0</v>
          </cell>
        </row>
        <row r="537">
          <cell r="C537" t="str">
            <v>A0YCWY2</v>
          </cell>
          <cell r="D537" t="str">
            <v>*EK-604 LOCAL USB INTERFACE KIT</v>
          </cell>
          <cell r="E537">
            <v>0</v>
          </cell>
          <cell r="F537">
            <v>0</v>
          </cell>
        </row>
        <row r="538">
          <cell r="C538" t="str">
            <v>A4FK011</v>
          </cell>
          <cell r="D538" t="str">
            <v>BIZHUB C284 PRINTER/COPIER</v>
          </cell>
          <cell r="E538">
            <v>2011</v>
          </cell>
          <cell r="F538">
            <v>1</v>
          </cell>
        </row>
        <row r="539">
          <cell r="C539">
            <v>7640014723</v>
          </cell>
          <cell r="D539" t="str">
            <v>INNOVOLT POWER MANAGER 15AMP</v>
          </cell>
          <cell r="E539">
            <v>1639</v>
          </cell>
          <cell r="F539">
            <v>0.81501740427647995</v>
          </cell>
        </row>
        <row r="540">
          <cell r="C540" t="str">
            <v>A3CFWY1</v>
          </cell>
          <cell r="D540" t="str">
            <v>DF-624 REVERSE AUTO DOC FEEDER</v>
          </cell>
          <cell r="E540">
            <v>1534</v>
          </cell>
          <cell r="F540">
            <v>0.76280457483839004</v>
          </cell>
        </row>
        <row r="541">
          <cell r="C541" t="str">
            <v>A4MF011</v>
          </cell>
          <cell r="D541" t="str">
            <v>FK-511 FAX KIT</v>
          </cell>
          <cell r="E541">
            <v>1288</v>
          </cell>
          <cell r="F541">
            <v>0.64047737444057995</v>
          </cell>
        </row>
        <row r="542">
          <cell r="C542">
            <v>7640017610</v>
          </cell>
          <cell r="D542" t="str">
            <v>DK-510 COPY DESK</v>
          </cell>
          <cell r="E542">
            <v>1085</v>
          </cell>
          <cell r="F542">
            <v>0.53953257086026996</v>
          </cell>
        </row>
        <row r="543">
          <cell r="C543" t="str">
            <v>A3EPWY1</v>
          </cell>
          <cell r="D543" t="str">
            <v>FS-534 50-SHEET STAPLE FINISHER</v>
          </cell>
          <cell r="E543">
            <v>850</v>
          </cell>
          <cell r="F543">
            <v>0.4226752859274</v>
          </cell>
        </row>
        <row r="544">
          <cell r="C544" t="str">
            <v>A3CEWY1</v>
          </cell>
          <cell r="D544" t="str">
            <v>DF-701 DUAL SCAN AUTOMATIC DOC FEEDER</v>
          </cell>
          <cell r="E544">
            <v>453</v>
          </cell>
          <cell r="F544">
            <v>0.22526106414718999</v>
          </cell>
        </row>
        <row r="545">
          <cell r="C545" t="str">
            <v>A3ETW11</v>
          </cell>
          <cell r="D545" t="str">
            <v>PK-520 PUNCH KIT</v>
          </cell>
          <cell r="E545">
            <v>452</v>
          </cell>
          <cell r="F545">
            <v>0.22476379910492</v>
          </cell>
        </row>
        <row r="546">
          <cell r="C546" t="str">
            <v>A2XMWY2</v>
          </cell>
          <cell r="D546" t="str">
            <v>PC-210 PAPER FEED CABINET</v>
          </cell>
          <cell r="E546">
            <v>385</v>
          </cell>
          <cell r="F546">
            <v>0.191447041273</v>
          </cell>
        </row>
        <row r="547">
          <cell r="C547" t="str">
            <v>A2XM013</v>
          </cell>
          <cell r="D547" t="str">
            <v>PC-410 PAPER FEED CABINET</v>
          </cell>
          <cell r="E547">
            <v>360</v>
          </cell>
          <cell r="F547">
            <v>0.17901541521631001</v>
          </cell>
        </row>
        <row r="548">
          <cell r="C548" t="str">
            <v>A2YUWY1</v>
          </cell>
          <cell r="D548" t="str">
            <v>FS-533 INNER STAPLE FINISHER</v>
          </cell>
          <cell r="E548">
            <v>358</v>
          </cell>
          <cell r="F548">
            <v>0.17802088513177999</v>
          </cell>
        </row>
        <row r="549">
          <cell r="C549" t="str">
            <v>A0W4WY2</v>
          </cell>
          <cell r="D549" t="str">
            <v>WT-506 WORKING TABLE</v>
          </cell>
          <cell r="E549">
            <v>205</v>
          </cell>
          <cell r="F549">
            <v>0.10193933366484</v>
          </cell>
        </row>
        <row r="550">
          <cell r="C550" t="str">
            <v>A2XMWY1</v>
          </cell>
          <cell r="D550" t="str">
            <v>PC-110 PAPER FEED CABINET</v>
          </cell>
          <cell r="E550">
            <v>178</v>
          </cell>
          <cell r="F550">
            <v>8.8513177523620007E-2</v>
          </cell>
        </row>
        <row r="551">
          <cell r="C551" t="str">
            <v>A3ERWY1</v>
          </cell>
          <cell r="D551" t="str">
            <v>SD-511 SADDLE STITCH KIT</v>
          </cell>
          <cell r="E551">
            <v>123</v>
          </cell>
          <cell r="F551">
            <v>6.1163600198909998E-2</v>
          </cell>
        </row>
        <row r="552">
          <cell r="C552" t="str">
            <v>A2YVWY1</v>
          </cell>
          <cell r="D552" t="str">
            <v>JS-506 JOB SEPARATOR</v>
          </cell>
          <cell r="E552">
            <v>95</v>
          </cell>
          <cell r="F552">
            <v>4.7240179015419999E-2</v>
          </cell>
        </row>
        <row r="553">
          <cell r="C553" t="str">
            <v>A3EUW11</v>
          </cell>
          <cell r="D553" t="str">
            <v>PK-519 PUNCH KIT</v>
          </cell>
          <cell r="E553">
            <v>79</v>
          </cell>
          <cell r="F553">
            <v>3.9283938339129999E-2</v>
          </cell>
        </row>
        <row r="554">
          <cell r="C554">
            <v>7640006869</v>
          </cell>
          <cell r="D554" t="str">
            <v>EXT KEYBRD(CHERRY KEYBD G84-4100LCAUS-2)</v>
          </cell>
          <cell r="E554">
            <v>62</v>
          </cell>
          <cell r="F554">
            <v>3.0830432620590001E-2</v>
          </cell>
        </row>
        <row r="555">
          <cell r="C555" t="str">
            <v>A4NRWY1</v>
          </cell>
          <cell r="D555" t="str">
            <v>KH-102 KEYBOARD HOLDER</v>
          </cell>
          <cell r="E555">
            <v>59</v>
          </cell>
          <cell r="F555">
            <v>2.933863749378E-2</v>
          </cell>
        </row>
        <row r="556">
          <cell r="C556" t="str">
            <v>A4MHWY1</v>
          </cell>
          <cell r="D556" t="str">
            <v>*UK-204 MEMORY UPGRADE KIT</v>
          </cell>
          <cell r="E556">
            <v>44</v>
          </cell>
          <cell r="F556">
            <v>2.187966185977E-2</v>
          </cell>
        </row>
        <row r="557">
          <cell r="C557" t="str">
            <v>A4MGWY1</v>
          </cell>
          <cell r="D557" t="str">
            <v>VI-506 VIDEO INTERFACE FOR IC-414</v>
          </cell>
          <cell r="E557">
            <v>39</v>
          </cell>
          <cell r="F557">
            <v>1.9393336648430001E-2</v>
          </cell>
        </row>
        <row r="558">
          <cell r="C558" t="str">
            <v>A0PD01H</v>
          </cell>
          <cell r="D558" t="str">
            <v>LK-101 v3 WEB BROWSER/IMAGE PNL IOPTN KT</v>
          </cell>
          <cell r="E558">
            <v>38</v>
          </cell>
          <cell r="F558">
            <v>1.889607160617E-2</v>
          </cell>
        </row>
        <row r="559">
          <cell r="C559">
            <v>7640005064</v>
          </cell>
          <cell r="D559" t="str">
            <v>AU-201H HID CARD AUTHENTICATION UNIT</v>
          </cell>
          <cell r="E559">
            <v>32</v>
          </cell>
          <cell r="F559">
            <v>1.5912481352560001E-2</v>
          </cell>
        </row>
        <row r="560">
          <cell r="C560">
            <v>7640005261</v>
          </cell>
          <cell r="D560" t="str">
            <v>HID PROXIMITY CARD 10 PACK</v>
          </cell>
          <cell r="E560">
            <v>23</v>
          </cell>
          <cell r="F560">
            <v>1.1437095972150001E-2</v>
          </cell>
        </row>
        <row r="561">
          <cell r="C561">
            <v>7640013463</v>
          </cell>
          <cell r="D561" t="str">
            <v>CONVENIENCE STAPLER CS-1</v>
          </cell>
          <cell r="E561">
            <v>21</v>
          </cell>
          <cell r="F561">
            <v>1.0442565887619999E-2</v>
          </cell>
        </row>
        <row r="562">
          <cell r="C562" t="str">
            <v>A4MJWY1</v>
          </cell>
          <cell r="D562" t="str">
            <v>EK-606 USB HUB KIT</v>
          </cell>
          <cell r="E562">
            <v>21</v>
          </cell>
          <cell r="F562">
            <v>1.0442565887619999E-2</v>
          </cell>
        </row>
        <row r="563">
          <cell r="C563">
            <v>7640004314</v>
          </cell>
          <cell r="D563" t="str">
            <v>**EFI SPECTROPHOTOMETER ES-1000 V.2.0</v>
          </cell>
          <cell r="E563">
            <v>18</v>
          </cell>
          <cell r="F563">
            <v>8.9507707608199993E-3</v>
          </cell>
        </row>
        <row r="564">
          <cell r="C564" t="str">
            <v>A0X9WY1</v>
          </cell>
          <cell r="D564" t="str">
            <v>AU-102 Biometric Authentication Unit</v>
          </cell>
          <cell r="E564">
            <v>16</v>
          </cell>
          <cell r="F564">
            <v>7.9562406762800006E-3</v>
          </cell>
        </row>
        <row r="565">
          <cell r="C565" t="str">
            <v>A3PMWY1</v>
          </cell>
          <cell r="D565" t="str">
            <v>OC-511 ORIGINAL COVER</v>
          </cell>
          <cell r="E565">
            <v>13</v>
          </cell>
          <cell r="F565">
            <v>6.4644455494799998E-3</v>
          </cell>
        </row>
        <row r="566">
          <cell r="C566" t="str">
            <v>A4MKWY1</v>
          </cell>
          <cell r="D566" t="str">
            <v>EK-607 USB HUB KIT</v>
          </cell>
          <cell r="E566">
            <v>13</v>
          </cell>
          <cell r="F566">
            <v>6.4644455494799998E-3</v>
          </cell>
        </row>
        <row r="567">
          <cell r="C567">
            <v>4614506</v>
          </cell>
          <cell r="D567" t="str">
            <v>SP-501 STAMP UNIT</v>
          </cell>
          <cell r="E567">
            <v>12</v>
          </cell>
          <cell r="F567">
            <v>5.9671805072099996E-3</v>
          </cell>
        </row>
        <row r="568">
          <cell r="C568" t="str">
            <v>A0PD01G</v>
          </cell>
          <cell r="D568" t="str">
            <v>LK-108 OCR FONT IOPTION KIT</v>
          </cell>
          <cell r="E568">
            <v>12</v>
          </cell>
          <cell r="F568">
            <v>5.9671805072099996E-3</v>
          </cell>
        </row>
        <row r="569">
          <cell r="C569" t="str">
            <v>A0PD018</v>
          </cell>
          <cell r="D569" t="str">
            <v>LK-105 v3 SEARCHABLE PDF IOPTION KIT</v>
          </cell>
          <cell r="E569">
            <v>11</v>
          </cell>
          <cell r="F569">
            <v>5.4699154649400002E-3</v>
          </cell>
        </row>
        <row r="570">
          <cell r="C570" t="str">
            <v>A4MEWY1</v>
          </cell>
          <cell r="D570" t="str">
            <v>MK-730 BANNER TRAY</v>
          </cell>
          <cell r="E570">
            <v>7</v>
          </cell>
          <cell r="F570">
            <v>3.4808552958700001E-3</v>
          </cell>
        </row>
        <row r="571">
          <cell r="C571" t="str">
            <v>A4NMWY1</v>
          </cell>
          <cell r="D571" t="str">
            <v>MK-735 IC CARD MOUNT KIT</v>
          </cell>
          <cell r="E571">
            <v>7</v>
          </cell>
          <cell r="F571">
            <v>3.4808552958700001E-3</v>
          </cell>
        </row>
        <row r="572">
          <cell r="C572">
            <v>7640013468</v>
          </cell>
          <cell r="D572" t="str">
            <v>AU-204H MagStripe card reader</v>
          </cell>
          <cell r="E572">
            <v>6</v>
          </cell>
          <cell r="F572">
            <v>2.9835902536100001E-3</v>
          </cell>
        </row>
        <row r="573">
          <cell r="C573">
            <v>7640008394</v>
          </cell>
          <cell r="D573" t="str">
            <v>AU-202H ICLASS CARD READER</v>
          </cell>
          <cell r="E573">
            <v>5</v>
          </cell>
          <cell r="F573">
            <v>2.4863252113399999E-3</v>
          </cell>
        </row>
        <row r="574">
          <cell r="C574" t="str">
            <v>A0PD016</v>
          </cell>
          <cell r="D574" t="str">
            <v>LK-102 v3 PDF ENCRYPTION IOPTION KIT</v>
          </cell>
          <cell r="E574">
            <v>5</v>
          </cell>
          <cell r="F574">
            <v>2.4863252113399999E-3</v>
          </cell>
        </row>
        <row r="575">
          <cell r="C575" t="str">
            <v>A4MMWY1</v>
          </cell>
          <cell r="D575" t="str">
            <v>SC-508 COPY GUARD KIT</v>
          </cell>
          <cell r="E575">
            <v>2</v>
          </cell>
          <cell r="F575">
            <v>9.9453008453999998E-4</v>
          </cell>
        </row>
        <row r="576">
          <cell r="C576">
            <v>4614511</v>
          </cell>
          <cell r="D576" t="str">
            <v>SPARE TX MARKER STAMP 2</v>
          </cell>
          <cell r="E576">
            <v>1</v>
          </cell>
          <cell r="F576">
            <v>4.9726504226999999E-4</v>
          </cell>
        </row>
        <row r="577">
          <cell r="C577">
            <v>4623474</v>
          </cell>
          <cell r="D577" t="str">
            <v>KEY COUNTER MOUNT KIT</v>
          </cell>
          <cell r="E577">
            <v>1</v>
          </cell>
          <cell r="F577">
            <v>4.9726504226999999E-4</v>
          </cell>
        </row>
        <row r="578">
          <cell r="C578">
            <v>7640009476</v>
          </cell>
          <cell r="D578" t="str">
            <v>EFI FIERY SEEQUENCE IMPOSE</v>
          </cell>
          <cell r="E578">
            <v>1</v>
          </cell>
          <cell r="F578">
            <v>4.9726504226999999E-4</v>
          </cell>
        </row>
        <row r="579">
          <cell r="C579">
            <v>7640012657</v>
          </cell>
          <cell r="D579" t="str">
            <v>**EFI FIERY CPS V3.0 UV ES-1000</v>
          </cell>
          <cell r="E579">
            <v>1</v>
          </cell>
          <cell r="F579">
            <v>4.9726504226999999E-4</v>
          </cell>
        </row>
        <row r="580">
          <cell r="C580">
            <v>7640004312</v>
          </cell>
          <cell r="D580" t="str">
            <v>EFI HOT FOLDERS</v>
          </cell>
          <cell r="E580">
            <v>0</v>
          </cell>
          <cell r="F580">
            <v>0</v>
          </cell>
        </row>
        <row r="581">
          <cell r="C581">
            <v>7640004313</v>
          </cell>
          <cell r="D581" t="str">
            <v>EFI AUTO TRAP</v>
          </cell>
          <cell r="E581">
            <v>0</v>
          </cell>
          <cell r="F581">
            <v>0</v>
          </cell>
        </row>
        <row r="582">
          <cell r="C582">
            <v>7640009477</v>
          </cell>
          <cell r="D582" t="str">
            <v>EFI FIERY SEEQUENCE COMPOSE</v>
          </cell>
          <cell r="E582">
            <v>0</v>
          </cell>
          <cell r="F582">
            <v>0</v>
          </cell>
        </row>
        <row r="583">
          <cell r="C583">
            <v>7640009478</v>
          </cell>
          <cell r="D583" t="str">
            <v>EFI FIERY SEEQUENCE IMPOSE+COMPOSE SUITE</v>
          </cell>
          <cell r="E583">
            <v>0</v>
          </cell>
          <cell r="F583">
            <v>0</v>
          </cell>
        </row>
        <row r="584">
          <cell r="C584">
            <v>7640016375</v>
          </cell>
          <cell r="D584" t="str">
            <v>BIZHUB SECURE</v>
          </cell>
          <cell r="E584">
            <v>0</v>
          </cell>
          <cell r="F584">
            <v>0</v>
          </cell>
        </row>
        <row r="585">
          <cell r="C585">
            <v>7640017030</v>
          </cell>
          <cell r="D585" t="str">
            <v>IC-414 PRODUCTIVITY PACKAGE</v>
          </cell>
          <cell r="E585">
            <v>0</v>
          </cell>
          <cell r="F585">
            <v>0</v>
          </cell>
        </row>
        <row r="586">
          <cell r="C586" t="str">
            <v>A0PD017</v>
          </cell>
          <cell r="D586" t="str">
            <v>LK-104 v3 VIDEO GUIDANCE IOPTION KIT</v>
          </cell>
          <cell r="E586">
            <v>0</v>
          </cell>
          <cell r="F586">
            <v>0</v>
          </cell>
        </row>
        <row r="587">
          <cell r="C587" t="str">
            <v>A0PD019</v>
          </cell>
          <cell r="D587" t="str">
            <v>LK-106 BAR CODE FONTS IOPTION KIT</v>
          </cell>
          <cell r="E587">
            <v>0</v>
          </cell>
          <cell r="F587">
            <v>0</v>
          </cell>
        </row>
        <row r="588">
          <cell r="C588" t="str">
            <v>A0PD01F</v>
          </cell>
          <cell r="D588" t="str">
            <v>LK-107 UNICODE FONT IOPTION KIT</v>
          </cell>
          <cell r="E588">
            <v>0</v>
          </cell>
          <cell r="F588">
            <v>0</v>
          </cell>
        </row>
        <row r="589">
          <cell r="C589" t="str">
            <v>A4FRWY1</v>
          </cell>
          <cell r="D589" t="str">
            <v>*IC-414 FIERY CONTROLLER</v>
          </cell>
          <cell r="E589">
            <v>0</v>
          </cell>
          <cell r="F589">
            <v>0</v>
          </cell>
        </row>
        <row r="590">
          <cell r="C590" t="str">
            <v>A121011</v>
          </cell>
          <cell r="D590" t="str">
            <v>BIZHUB C35 120V</v>
          </cell>
          <cell r="E590">
            <v>3183</v>
          </cell>
          <cell r="F590">
            <v>1</v>
          </cell>
        </row>
        <row r="591">
          <cell r="C591" t="str">
            <v>A0WJWY3</v>
          </cell>
          <cell r="D591" t="str">
            <v>LOWER FEEDER UNIT 120V  BH C35</v>
          </cell>
          <cell r="E591">
            <v>1617</v>
          </cell>
          <cell r="F591">
            <v>0.50801131008483003</v>
          </cell>
        </row>
        <row r="592">
          <cell r="C592">
            <v>7640013434</v>
          </cell>
          <cell r="D592" t="str">
            <v>DK-P01 COPY DESK BH C35</v>
          </cell>
          <cell r="E592">
            <v>1275</v>
          </cell>
          <cell r="F592">
            <v>0.40056550424128001</v>
          </cell>
        </row>
        <row r="593">
          <cell r="C593" t="str">
            <v>9J06311</v>
          </cell>
          <cell r="D593" t="str">
            <v>**BIZHUB C352</v>
          </cell>
          <cell r="E593">
            <v>2</v>
          </cell>
          <cell r="F593">
            <v>1</v>
          </cell>
        </row>
        <row r="594">
          <cell r="C594" t="str">
            <v>15LB</v>
          </cell>
          <cell r="D594" t="str">
            <v>FK-502 FAX KIT</v>
          </cell>
          <cell r="E594">
            <v>0</v>
          </cell>
          <cell r="F594">
            <v>0</v>
          </cell>
        </row>
        <row r="595">
          <cell r="C595">
            <v>4061412</v>
          </cell>
          <cell r="D595" t="str">
            <v>PC-203 PAPER FEED CABINET</v>
          </cell>
          <cell r="E595">
            <v>0</v>
          </cell>
          <cell r="F595">
            <v>0</v>
          </cell>
        </row>
        <row r="596">
          <cell r="C596">
            <v>4061512</v>
          </cell>
          <cell r="D596" t="str">
            <v>PC-103 PAPER FEED CABINET</v>
          </cell>
          <cell r="E596">
            <v>0</v>
          </cell>
          <cell r="F596">
            <v>0</v>
          </cell>
        </row>
        <row r="597">
          <cell r="C597">
            <v>4061713</v>
          </cell>
          <cell r="D597" t="str">
            <v>PC-403 PAPER FEED CABINET</v>
          </cell>
          <cell r="E597">
            <v>0</v>
          </cell>
          <cell r="F597">
            <v>0</v>
          </cell>
        </row>
        <row r="598">
          <cell r="C598">
            <v>4061811</v>
          </cell>
          <cell r="D598" t="str">
            <v>DK-502 DESK</v>
          </cell>
          <cell r="E598">
            <v>0</v>
          </cell>
          <cell r="F598">
            <v>0</v>
          </cell>
        </row>
        <row r="599">
          <cell r="C599">
            <v>4510716</v>
          </cell>
          <cell r="D599" t="str">
            <v>MT-501 MAILBIN FOR FS-510/FS-508</v>
          </cell>
          <cell r="E599">
            <v>0</v>
          </cell>
          <cell r="F599">
            <v>0</v>
          </cell>
        </row>
        <row r="600">
          <cell r="C600">
            <v>4511711</v>
          </cell>
          <cell r="D600" t="str">
            <v>**SD-503 SADDLE STITCHER</v>
          </cell>
          <cell r="E600">
            <v>0</v>
          </cell>
          <cell r="F600">
            <v>0</v>
          </cell>
        </row>
        <row r="601">
          <cell r="C601">
            <v>4512712</v>
          </cell>
          <cell r="D601" t="str">
            <v>**PK-510 PUNCH KIT</v>
          </cell>
          <cell r="E601">
            <v>0</v>
          </cell>
          <cell r="F601">
            <v>0</v>
          </cell>
        </row>
        <row r="602">
          <cell r="C602">
            <v>4599234</v>
          </cell>
          <cell r="D602" t="str">
            <v>**VK-501 VENDOR KIT</v>
          </cell>
          <cell r="E602">
            <v>0</v>
          </cell>
          <cell r="F602">
            <v>0</v>
          </cell>
        </row>
        <row r="603">
          <cell r="C603">
            <v>4599308</v>
          </cell>
          <cell r="D603" t="str">
            <v>*HD-501 HD DRIVE</v>
          </cell>
          <cell r="E603">
            <v>0</v>
          </cell>
          <cell r="F603">
            <v>0</v>
          </cell>
        </row>
        <row r="604">
          <cell r="C604">
            <v>4599321</v>
          </cell>
          <cell r="D604" t="str">
            <v>**OC-501 ORIGINAL COVER</v>
          </cell>
          <cell r="E604">
            <v>0</v>
          </cell>
          <cell r="F604">
            <v>0</v>
          </cell>
        </row>
        <row r="605">
          <cell r="C605">
            <v>4599372</v>
          </cell>
          <cell r="D605" t="str">
            <v>**EK-702 LOCAL INTERFACE KIT</v>
          </cell>
          <cell r="E605">
            <v>0</v>
          </cell>
          <cell r="F605">
            <v>0</v>
          </cell>
        </row>
        <row r="606">
          <cell r="C606">
            <v>4599381</v>
          </cell>
          <cell r="D606" t="str">
            <v>*SA-501 SCAN ACCELRTR KIT</v>
          </cell>
          <cell r="E606">
            <v>0</v>
          </cell>
          <cell r="F606">
            <v>0</v>
          </cell>
        </row>
        <row r="607">
          <cell r="C607">
            <v>4599401</v>
          </cell>
          <cell r="D607" t="str">
            <v>**MK-704 MOUNT KIT FOR FAX</v>
          </cell>
          <cell r="E607">
            <v>0</v>
          </cell>
          <cell r="F607">
            <v>0</v>
          </cell>
        </row>
        <row r="608">
          <cell r="C608">
            <v>4599411</v>
          </cell>
          <cell r="D608" t="str">
            <v>*ML-501 2ND FAX PORT CONN KIT</v>
          </cell>
          <cell r="E608">
            <v>0</v>
          </cell>
          <cell r="F608">
            <v>0</v>
          </cell>
        </row>
        <row r="609">
          <cell r="C609">
            <v>4599441</v>
          </cell>
          <cell r="D609" t="str">
            <v>SC-503 SECURITY KIT</v>
          </cell>
          <cell r="E609">
            <v>0</v>
          </cell>
          <cell r="F609">
            <v>0</v>
          </cell>
        </row>
        <row r="610">
          <cell r="C610">
            <v>4599471</v>
          </cell>
          <cell r="D610" t="str">
            <v>**MK-706 OPTION CONNECTION KIT</v>
          </cell>
          <cell r="E610">
            <v>0</v>
          </cell>
          <cell r="F610">
            <v>0</v>
          </cell>
        </row>
        <row r="611">
          <cell r="C611" t="str">
            <v>4599X001</v>
          </cell>
          <cell r="D611" t="str">
            <v>**ML-501 FAX MULTILINE KI(DUAL LN+FX BD)</v>
          </cell>
          <cell r="E611">
            <v>0</v>
          </cell>
          <cell r="F611">
            <v>0</v>
          </cell>
        </row>
        <row r="612">
          <cell r="C612">
            <v>4614506</v>
          </cell>
          <cell r="D612" t="str">
            <v>SP-501 STAMP UNIT</v>
          </cell>
          <cell r="E612">
            <v>0</v>
          </cell>
          <cell r="F612">
            <v>0</v>
          </cell>
        </row>
        <row r="613">
          <cell r="C613">
            <v>4614511</v>
          </cell>
          <cell r="D613" t="str">
            <v>SPARE TX MARKER STAMP 2</v>
          </cell>
          <cell r="E613">
            <v>0</v>
          </cell>
          <cell r="F613">
            <v>0</v>
          </cell>
        </row>
        <row r="614">
          <cell r="C614">
            <v>4623471</v>
          </cell>
          <cell r="D614" t="str">
            <v>KEY COUNTER MOUNTING KIT</v>
          </cell>
          <cell r="E614">
            <v>0</v>
          </cell>
          <cell r="F614">
            <v>0</v>
          </cell>
        </row>
        <row r="615">
          <cell r="C615">
            <v>4623472</v>
          </cell>
          <cell r="D615" t="str">
            <v>*KEY COUNTER ATTACHMENT KIT</v>
          </cell>
          <cell r="E615">
            <v>0</v>
          </cell>
          <cell r="F615">
            <v>0</v>
          </cell>
        </row>
        <row r="616">
          <cell r="C616">
            <v>4625241</v>
          </cell>
          <cell r="D616" t="str">
            <v>**OT-601 OUTPUT TRAY</v>
          </cell>
          <cell r="E616">
            <v>0</v>
          </cell>
          <cell r="F616">
            <v>0</v>
          </cell>
        </row>
        <row r="617">
          <cell r="C617">
            <v>7640000186</v>
          </cell>
          <cell r="D617" t="str">
            <v>DENSITOMETER FOR CN3102E</v>
          </cell>
          <cell r="E617">
            <v>0</v>
          </cell>
          <cell r="F617">
            <v>0</v>
          </cell>
        </row>
        <row r="618">
          <cell r="C618">
            <v>7640000747</v>
          </cell>
          <cell r="D618" t="str">
            <v>**EFI COLOR PROFILER W/MNTR PROFILING SW</v>
          </cell>
          <cell r="E618">
            <v>0</v>
          </cell>
          <cell r="F618">
            <v>0</v>
          </cell>
        </row>
        <row r="619">
          <cell r="C619">
            <v>7640001281</v>
          </cell>
          <cell r="D619" t="str">
            <v>*256MB UPGRADE FOR IC-402 CONTROLLER</v>
          </cell>
          <cell r="E619">
            <v>0</v>
          </cell>
          <cell r="F619">
            <v>0</v>
          </cell>
        </row>
        <row r="620">
          <cell r="C620">
            <v>7640002234</v>
          </cell>
          <cell r="D620" t="str">
            <v>*EFI SECURE ERASE</v>
          </cell>
          <cell r="E620">
            <v>0</v>
          </cell>
          <cell r="F620">
            <v>0</v>
          </cell>
        </row>
        <row r="621">
          <cell r="C621">
            <v>7640002235</v>
          </cell>
          <cell r="D621" t="str">
            <v>*EFI HOT FOLDERS</v>
          </cell>
          <cell r="E621">
            <v>0</v>
          </cell>
          <cell r="F621">
            <v>0</v>
          </cell>
        </row>
        <row r="622">
          <cell r="C622">
            <v>7640002236</v>
          </cell>
          <cell r="D622" t="str">
            <v>*EFI AUTO TRAP</v>
          </cell>
          <cell r="E622">
            <v>0</v>
          </cell>
          <cell r="F622">
            <v>0</v>
          </cell>
        </row>
        <row r="623">
          <cell r="C623">
            <v>7640002237</v>
          </cell>
          <cell r="D623" t="str">
            <v>*EFI IMPOSE V2.6</v>
          </cell>
          <cell r="E623">
            <v>0</v>
          </cell>
          <cell r="F623">
            <v>0</v>
          </cell>
        </row>
        <row r="624">
          <cell r="C624" t="str">
            <v>7640X023</v>
          </cell>
          <cell r="D624" t="str">
            <v>**C352 FAX KIT FOR C352</v>
          </cell>
          <cell r="E624">
            <v>0</v>
          </cell>
          <cell r="F624">
            <v>0</v>
          </cell>
        </row>
        <row r="625">
          <cell r="C625" t="str">
            <v>9J05142</v>
          </cell>
          <cell r="D625" t="str">
            <v>VI-503 VIDEO INTERFACE KIT FIERY IC-406</v>
          </cell>
          <cell r="E625">
            <v>0</v>
          </cell>
          <cell r="F625">
            <v>0</v>
          </cell>
        </row>
        <row r="626">
          <cell r="C626" t="str">
            <v>9J07611</v>
          </cell>
          <cell r="D626" t="str">
            <v>DF-608 REVERSING AUTOMATIC DOCUMENT FEED</v>
          </cell>
          <cell r="E626">
            <v>0</v>
          </cell>
          <cell r="F626">
            <v>0</v>
          </cell>
        </row>
        <row r="627">
          <cell r="C627" t="str">
            <v>9J08611</v>
          </cell>
          <cell r="D627" t="str">
            <v>*FS-514 FINISHER</v>
          </cell>
          <cell r="E627">
            <v>0</v>
          </cell>
          <cell r="F627">
            <v>0</v>
          </cell>
        </row>
        <row r="628">
          <cell r="C628" t="str">
            <v>9J08621</v>
          </cell>
          <cell r="D628" t="str">
            <v>**FS-514</v>
          </cell>
          <cell r="E628">
            <v>0</v>
          </cell>
          <cell r="F628">
            <v>0</v>
          </cell>
        </row>
        <row r="629">
          <cell r="C629" t="str">
            <v>A006212</v>
          </cell>
          <cell r="D629" t="str">
            <v>IC-406 FIERY CONTROLLER</v>
          </cell>
          <cell r="E629">
            <v>0</v>
          </cell>
          <cell r="F629">
            <v>0</v>
          </cell>
        </row>
        <row r="630">
          <cell r="C630" t="str">
            <v>A0VD013</v>
          </cell>
          <cell r="D630" t="str">
            <v>BIZHUB C35P 120V</v>
          </cell>
          <cell r="E630">
            <v>58</v>
          </cell>
          <cell r="F630">
            <v>1</v>
          </cell>
        </row>
        <row r="631">
          <cell r="C631" t="str">
            <v>A0WJ022</v>
          </cell>
          <cell r="D631" t="str">
            <v>LOWER FEEDER BH C35P</v>
          </cell>
          <cell r="E631">
            <v>9</v>
          </cell>
          <cell r="F631">
            <v>0.15517241379310001</v>
          </cell>
        </row>
        <row r="632">
          <cell r="C632" t="str">
            <v>A0HUWY1</v>
          </cell>
          <cell r="D632" t="str">
            <v>DF-617 REVERSING AUTOMATIC DOC FEEDER</v>
          </cell>
          <cell r="E632">
            <v>1129</v>
          </cell>
          <cell r="F632">
            <v>1.0180342651037</v>
          </cell>
        </row>
        <row r="633">
          <cell r="C633" t="str">
            <v>A0ED011</v>
          </cell>
          <cell r="D633" t="str">
            <v>**BIZHUB C360 PRINTER/COPIER</v>
          </cell>
          <cell r="E633">
            <v>1109</v>
          </cell>
          <cell r="F633">
            <v>1</v>
          </cell>
        </row>
        <row r="634">
          <cell r="C634" t="str">
            <v>15LB</v>
          </cell>
          <cell r="D634" t="str">
            <v>FK-502 FAX KIT</v>
          </cell>
          <cell r="E634">
            <v>872</v>
          </cell>
          <cell r="F634">
            <v>0.78629395852119</v>
          </cell>
        </row>
        <row r="635">
          <cell r="C635" t="str">
            <v>A0XWW13</v>
          </cell>
          <cell r="D635" t="str">
            <v>PC-408 LARGE CAPACITY CABINET</v>
          </cell>
          <cell r="E635">
            <v>428</v>
          </cell>
          <cell r="F635">
            <v>0.38593327321912002</v>
          </cell>
        </row>
        <row r="636">
          <cell r="C636" t="str">
            <v>A10EW11</v>
          </cell>
          <cell r="D636" t="str">
            <v>PK-517 2/3-HOLE PUNCH KIT FOR FS-527</v>
          </cell>
          <cell r="E636">
            <v>376</v>
          </cell>
          <cell r="F636">
            <v>0.33904418394949998</v>
          </cell>
        </row>
        <row r="637">
          <cell r="C637" t="str">
            <v>A0XWWY4</v>
          </cell>
          <cell r="D637" t="str">
            <v>DK-507 COPY DESK</v>
          </cell>
          <cell r="E637">
            <v>316</v>
          </cell>
          <cell r="F637">
            <v>0.28494138863841001</v>
          </cell>
        </row>
        <row r="638">
          <cell r="C638" t="str">
            <v>A0XWWY2</v>
          </cell>
          <cell r="D638" t="str">
            <v>PC-207 PAPER FEED CABINET</v>
          </cell>
          <cell r="E638">
            <v>233</v>
          </cell>
          <cell r="F638">
            <v>0.21009918845806999</v>
          </cell>
        </row>
        <row r="639">
          <cell r="C639">
            <v>7640005064</v>
          </cell>
          <cell r="D639" t="str">
            <v>AU-201H HID CARD AUTHENTICATION UNIT</v>
          </cell>
          <cell r="E639">
            <v>157</v>
          </cell>
          <cell r="F639">
            <v>0.14156898106401999</v>
          </cell>
        </row>
        <row r="640">
          <cell r="C640" t="str">
            <v>A0XWWY1</v>
          </cell>
          <cell r="D640" t="str">
            <v>PC-107 PAPER FEED CABINET</v>
          </cell>
          <cell r="E640">
            <v>157</v>
          </cell>
          <cell r="F640">
            <v>0.14156898106401999</v>
          </cell>
        </row>
        <row r="641">
          <cell r="C641" t="str">
            <v>A10FWY1</v>
          </cell>
          <cell r="D641" t="str">
            <v>JS-603 JOB SEPARATOR TRAY</v>
          </cell>
          <cell r="E641">
            <v>150</v>
          </cell>
          <cell r="F641">
            <v>0.13525698827773</v>
          </cell>
        </row>
        <row r="642">
          <cell r="C642" t="str">
            <v>A10DWY1</v>
          </cell>
          <cell r="D642" t="str">
            <v>SD-509 SADDLE KIT</v>
          </cell>
          <cell r="E642">
            <v>97</v>
          </cell>
          <cell r="F642">
            <v>8.7466185752929998E-2</v>
          </cell>
        </row>
        <row r="643">
          <cell r="C643">
            <v>7640006869</v>
          </cell>
          <cell r="D643" t="str">
            <v>EXT KEYBRD(CHERRY KEYBD G84-4100LCAUS-2)</v>
          </cell>
          <cell r="E643">
            <v>89</v>
          </cell>
          <cell r="F643">
            <v>8.0252479711449998E-2</v>
          </cell>
        </row>
        <row r="644">
          <cell r="C644" t="str">
            <v>A165WY1</v>
          </cell>
          <cell r="D644" t="str">
            <v>KH-101 EXTERNAL KEYBOARD HOLDER</v>
          </cell>
          <cell r="E644">
            <v>86</v>
          </cell>
          <cell r="F644">
            <v>7.7547339945900004E-2</v>
          </cell>
        </row>
        <row r="645">
          <cell r="C645" t="str">
            <v>A0YDWY1</v>
          </cell>
          <cell r="D645" t="str">
            <v>*UK-203 i-Option Upgrade Kit (1 GB)</v>
          </cell>
          <cell r="E645">
            <v>52</v>
          </cell>
          <cell r="F645">
            <v>4.6889089269610003E-2</v>
          </cell>
        </row>
        <row r="646">
          <cell r="C646" t="str">
            <v>A127WY2</v>
          </cell>
          <cell r="D646" t="str">
            <v>IC-412 FIERY CONTROLLER</v>
          </cell>
          <cell r="E646">
            <v>36</v>
          </cell>
          <cell r="F646">
            <v>3.2461677186650002E-2</v>
          </cell>
        </row>
        <row r="647">
          <cell r="C647" t="str">
            <v>A0PD015</v>
          </cell>
          <cell r="D647" t="str">
            <v>LK-105 LICENSE KIT (SEARCHABLE PDF)</v>
          </cell>
          <cell r="E647">
            <v>34</v>
          </cell>
          <cell r="F647">
            <v>3.0658250676279999E-2</v>
          </cell>
        </row>
        <row r="648">
          <cell r="C648" t="str">
            <v>A0YEWY2</v>
          </cell>
          <cell r="D648" t="str">
            <v>VI-505 VIDEO INTERFACE CABLE</v>
          </cell>
          <cell r="E648">
            <v>34</v>
          </cell>
          <cell r="F648">
            <v>3.0658250676279999E-2</v>
          </cell>
        </row>
        <row r="649">
          <cell r="C649" t="str">
            <v>A0W4WY1</v>
          </cell>
          <cell r="D649" t="str">
            <v>*WT-506 Working Table</v>
          </cell>
          <cell r="E649">
            <v>18</v>
          </cell>
          <cell r="F649">
            <v>1.6230838593330001E-2</v>
          </cell>
        </row>
        <row r="650">
          <cell r="C650" t="str">
            <v>A0X9WY1</v>
          </cell>
          <cell r="D650" t="str">
            <v>AU-102 Biometric Authentication Unit</v>
          </cell>
          <cell r="E650">
            <v>17</v>
          </cell>
          <cell r="F650">
            <v>1.5329125338139999E-2</v>
          </cell>
        </row>
        <row r="651">
          <cell r="C651" t="str">
            <v>A0PD01A</v>
          </cell>
          <cell r="D651" t="str">
            <v>i-Option LK-101 v2</v>
          </cell>
          <cell r="E651">
            <v>15</v>
          </cell>
          <cell r="F651">
            <v>1.3525698827769999E-2</v>
          </cell>
        </row>
        <row r="652">
          <cell r="C652">
            <v>7640005261</v>
          </cell>
          <cell r="D652" t="str">
            <v>HID PROXIMITY CARD 10 PACK</v>
          </cell>
          <cell r="E652">
            <v>13</v>
          </cell>
          <cell r="F652">
            <v>1.1722272317399999E-2</v>
          </cell>
        </row>
        <row r="653">
          <cell r="C653">
            <v>7640004314</v>
          </cell>
          <cell r="D653" t="str">
            <v>**EFI SPECTROPHOTOMETER ES-1000 V.2.0</v>
          </cell>
          <cell r="E653">
            <v>8</v>
          </cell>
          <cell r="F653">
            <v>7.2137060414800003E-3</v>
          </cell>
        </row>
        <row r="654">
          <cell r="C654" t="str">
            <v>A0D9WY1</v>
          </cell>
          <cell r="D654" t="str">
            <v>MK-713 BANNER SET GUIDE</v>
          </cell>
          <cell r="E654">
            <v>6</v>
          </cell>
          <cell r="F654">
            <v>5.4102795311100002E-3</v>
          </cell>
        </row>
        <row r="655">
          <cell r="C655" t="str">
            <v>A0Y9WY1</v>
          </cell>
          <cell r="D655" t="str">
            <v>SC-507 Security Kit (Copy Guard Protecti</v>
          </cell>
          <cell r="E655">
            <v>6</v>
          </cell>
          <cell r="F655">
            <v>5.4102795311100002E-3</v>
          </cell>
        </row>
        <row r="656">
          <cell r="C656">
            <v>7640008394</v>
          </cell>
          <cell r="D656" t="str">
            <v>AU-202H ICLASS CARD READER</v>
          </cell>
          <cell r="E656">
            <v>4</v>
          </cell>
          <cell r="F656">
            <v>3.6068530207400001E-3</v>
          </cell>
        </row>
        <row r="657">
          <cell r="C657">
            <v>4614506</v>
          </cell>
          <cell r="D657" t="str">
            <v>SP-501 STAMP UNIT</v>
          </cell>
          <cell r="E657">
            <v>3</v>
          </cell>
          <cell r="F657">
            <v>2.7051397655500002E-3</v>
          </cell>
        </row>
        <row r="658">
          <cell r="C658" t="str">
            <v>A128WY2</v>
          </cell>
          <cell r="D658" t="str">
            <v>OC-509 ORIGINAL COVER</v>
          </cell>
          <cell r="E658">
            <v>3</v>
          </cell>
          <cell r="F658">
            <v>2.7051397655500002E-3</v>
          </cell>
        </row>
        <row r="659">
          <cell r="C659" t="str">
            <v>A163WY1</v>
          </cell>
          <cell r="D659" t="str">
            <v>WT-507 SIDE PANEL KIT</v>
          </cell>
          <cell r="E659">
            <v>3</v>
          </cell>
          <cell r="F659">
            <v>2.7051397655500002E-3</v>
          </cell>
        </row>
        <row r="660">
          <cell r="C660">
            <v>4614511</v>
          </cell>
          <cell r="D660" t="str">
            <v>SPARE TX MARKER STAMP 2</v>
          </cell>
          <cell r="E660">
            <v>1</v>
          </cell>
          <cell r="F660">
            <v>9.0171325518000002E-4</v>
          </cell>
        </row>
        <row r="661">
          <cell r="C661" t="str">
            <v>A0HRWY1</v>
          </cell>
          <cell r="D661" t="str">
            <v>*FS-527 FINISHER</v>
          </cell>
          <cell r="E661">
            <v>1</v>
          </cell>
          <cell r="F661">
            <v>9.0171325518000002E-4</v>
          </cell>
        </row>
        <row r="662">
          <cell r="C662" t="str">
            <v>A0PD012</v>
          </cell>
          <cell r="D662" t="str">
            <v>3LK-102 LICENSE KIT</v>
          </cell>
          <cell r="E662">
            <v>1</v>
          </cell>
          <cell r="F662">
            <v>9.0171325518000002E-4</v>
          </cell>
        </row>
        <row r="663">
          <cell r="C663" t="str">
            <v>15LBX005</v>
          </cell>
          <cell r="D663" t="str">
            <v>C652/C552 FAX KIT [FK-502] + [MK-720]</v>
          </cell>
          <cell r="E663">
            <v>0</v>
          </cell>
          <cell r="F663">
            <v>0</v>
          </cell>
        </row>
        <row r="664">
          <cell r="C664">
            <v>4623472</v>
          </cell>
          <cell r="D664" t="str">
            <v>*KEY COUNTER ATTACHMENT KIT</v>
          </cell>
          <cell r="E664">
            <v>0</v>
          </cell>
          <cell r="F664">
            <v>0</v>
          </cell>
        </row>
        <row r="665">
          <cell r="C665">
            <v>7640004311</v>
          </cell>
          <cell r="D665" t="str">
            <v>EFI SECURE ERASE</v>
          </cell>
          <cell r="E665">
            <v>0</v>
          </cell>
          <cell r="F665">
            <v>0</v>
          </cell>
        </row>
        <row r="666">
          <cell r="C666">
            <v>7640004312</v>
          </cell>
          <cell r="D666" t="str">
            <v>EFI HOT FOLDERS</v>
          </cell>
          <cell r="E666">
            <v>0</v>
          </cell>
          <cell r="F666">
            <v>0</v>
          </cell>
        </row>
        <row r="667">
          <cell r="C667">
            <v>7640004313</v>
          </cell>
          <cell r="D667" t="str">
            <v>EFI AUTO TRAP</v>
          </cell>
          <cell r="E667">
            <v>0</v>
          </cell>
          <cell r="F667">
            <v>0</v>
          </cell>
        </row>
        <row r="668">
          <cell r="C668">
            <v>7640009476</v>
          </cell>
          <cell r="D668" t="str">
            <v>EFI FIERY SEEQUENCE IMPOSE</v>
          </cell>
          <cell r="E668">
            <v>0</v>
          </cell>
          <cell r="F668">
            <v>0</v>
          </cell>
        </row>
        <row r="669">
          <cell r="C669">
            <v>7640009477</v>
          </cell>
          <cell r="D669" t="str">
            <v>EFI FIERY SEEQUENCE COMPOSE</v>
          </cell>
          <cell r="E669">
            <v>0</v>
          </cell>
          <cell r="F669">
            <v>0</v>
          </cell>
        </row>
        <row r="670">
          <cell r="C670">
            <v>7640009478</v>
          </cell>
          <cell r="D670" t="str">
            <v>EFI FIERY SEEQUENCE IMPOSE+COMPOSE SUITE</v>
          </cell>
          <cell r="E670">
            <v>0</v>
          </cell>
          <cell r="F670">
            <v>0</v>
          </cell>
        </row>
        <row r="671">
          <cell r="C671">
            <v>7640012659</v>
          </cell>
          <cell r="D671" t="str">
            <v>CPS V3 UV ES-1000 W/I1IO SCAN TABLE</v>
          </cell>
          <cell r="E671">
            <v>0</v>
          </cell>
          <cell r="F671">
            <v>0</v>
          </cell>
        </row>
        <row r="672">
          <cell r="C672">
            <v>7640012669</v>
          </cell>
          <cell r="D672" t="str">
            <v>**DELL 2330DN PRINTER OEM TONER 2K</v>
          </cell>
          <cell r="E672">
            <v>0</v>
          </cell>
          <cell r="F672">
            <v>0</v>
          </cell>
        </row>
        <row r="673">
          <cell r="C673" t="str">
            <v>A0830Y1</v>
          </cell>
          <cell r="D673" t="str">
            <v>*JS-505 INNER SEPARATOR TRAY</v>
          </cell>
          <cell r="E673">
            <v>0</v>
          </cell>
          <cell r="F673">
            <v>0</v>
          </cell>
        </row>
        <row r="674">
          <cell r="C674" t="str">
            <v>A0U7WY1</v>
          </cell>
          <cell r="D674" t="str">
            <v>*FS-529 INNER STAPLE FINISHER</v>
          </cell>
          <cell r="E674">
            <v>0</v>
          </cell>
          <cell r="F674">
            <v>0</v>
          </cell>
        </row>
        <row r="675">
          <cell r="C675" t="str">
            <v>A0YCWY1</v>
          </cell>
          <cell r="D675" t="str">
            <v>*EK605 LOCALUSB INTERFACE KT W/BLUETOOTH</v>
          </cell>
          <cell r="E675">
            <v>0</v>
          </cell>
          <cell r="F675">
            <v>0</v>
          </cell>
        </row>
        <row r="676">
          <cell r="C676" t="str">
            <v>A0YCWY2</v>
          </cell>
          <cell r="D676" t="str">
            <v>*EK-604 LOCAL USB INTERFACE KIT</v>
          </cell>
          <cell r="E676">
            <v>0</v>
          </cell>
          <cell r="F676">
            <v>0</v>
          </cell>
        </row>
        <row r="677">
          <cell r="C677" t="str">
            <v>A161011</v>
          </cell>
          <cell r="D677" t="str">
            <v>BIZHUB C364 PRINTER/COPIER</v>
          </cell>
          <cell r="E677">
            <v>3682</v>
          </cell>
          <cell r="F677">
            <v>1</v>
          </cell>
        </row>
        <row r="678">
          <cell r="C678" t="str">
            <v>A3CFWY1</v>
          </cell>
          <cell r="D678" t="str">
            <v>DF-624 REVERSE AUTO DOC FEEDER</v>
          </cell>
          <cell r="E678">
            <v>2765</v>
          </cell>
          <cell r="F678">
            <v>0.75095057034221002</v>
          </cell>
        </row>
        <row r="679">
          <cell r="C679">
            <v>7640014723</v>
          </cell>
          <cell r="D679" t="str">
            <v>INNOVOLT POWER MANAGER 15AMP</v>
          </cell>
          <cell r="E679">
            <v>2705</v>
          </cell>
          <cell r="F679">
            <v>0.73465507876154001</v>
          </cell>
        </row>
        <row r="680">
          <cell r="C680" t="str">
            <v>A4MF011</v>
          </cell>
          <cell r="D680" t="str">
            <v>FK-511 FAX KIT</v>
          </cell>
          <cell r="E680">
            <v>2592</v>
          </cell>
          <cell r="F680">
            <v>0.70396523628463004</v>
          </cell>
        </row>
        <row r="681">
          <cell r="C681" t="str">
            <v>A3EPWY1</v>
          </cell>
          <cell r="D681" t="str">
            <v>FS-534 50-SHEET STAPLE FINISHER</v>
          </cell>
          <cell r="E681">
            <v>2122</v>
          </cell>
          <cell r="F681">
            <v>0.57631721890276999</v>
          </cell>
        </row>
        <row r="682">
          <cell r="C682" t="str">
            <v>A2XM013</v>
          </cell>
          <cell r="D682" t="str">
            <v>PC-410 PAPER FEED CABINET</v>
          </cell>
          <cell r="E682">
            <v>1319</v>
          </cell>
          <cell r="F682">
            <v>0.35822922324822998</v>
          </cell>
        </row>
        <row r="683">
          <cell r="C683">
            <v>7640017610</v>
          </cell>
          <cell r="D683" t="str">
            <v>DK-510 COPY DESK</v>
          </cell>
          <cell r="E683">
            <v>1190</v>
          </cell>
          <cell r="F683">
            <v>0.32319391634980998</v>
          </cell>
        </row>
        <row r="684">
          <cell r="C684" t="str">
            <v>A3ETW11</v>
          </cell>
          <cell r="D684" t="str">
            <v>PK-520 PUNCH KIT</v>
          </cell>
          <cell r="E684">
            <v>926</v>
          </cell>
          <cell r="F684">
            <v>0.25149375339489</v>
          </cell>
        </row>
        <row r="685">
          <cell r="C685" t="str">
            <v>A2XMWY2</v>
          </cell>
          <cell r="D685" t="str">
            <v>PC-210 PAPER FEED CABINET</v>
          </cell>
          <cell r="E685">
            <v>910</v>
          </cell>
          <cell r="F685">
            <v>0.24714828897338001</v>
          </cell>
        </row>
        <row r="686">
          <cell r="C686" t="str">
            <v>A3CEWY1</v>
          </cell>
          <cell r="D686" t="str">
            <v>DF-701 DUAL SCAN AUTOMATIC DOC FEEDER</v>
          </cell>
          <cell r="E686">
            <v>889</v>
          </cell>
          <cell r="F686">
            <v>0.24144486692014999</v>
          </cell>
        </row>
        <row r="687">
          <cell r="C687" t="str">
            <v>A2YUWY1</v>
          </cell>
          <cell r="D687" t="str">
            <v>FS-533 INNER STAPLE FINISHER</v>
          </cell>
          <cell r="E687">
            <v>825</v>
          </cell>
          <cell r="F687">
            <v>0.22406300923410999</v>
          </cell>
        </row>
        <row r="688">
          <cell r="C688" t="str">
            <v>A0W4WY2</v>
          </cell>
          <cell r="D688" t="str">
            <v>WT-506 WORKING TABLE</v>
          </cell>
          <cell r="E688">
            <v>669</v>
          </cell>
          <cell r="F688">
            <v>0.18169473112439</v>
          </cell>
        </row>
        <row r="689">
          <cell r="C689" t="str">
            <v>A3ERWY1</v>
          </cell>
          <cell r="D689" t="str">
            <v>SD-511 SADDLE STITCH KIT</v>
          </cell>
          <cell r="E689">
            <v>334</v>
          </cell>
          <cell r="F689">
            <v>9.0711569799019995E-2</v>
          </cell>
        </row>
        <row r="690">
          <cell r="C690" t="str">
            <v>A2YVWY1</v>
          </cell>
          <cell r="D690" t="str">
            <v>JS-506 JOB SEPARATOR</v>
          </cell>
          <cell r="E690">
            <v>279</v>
          </cell>
          <cell r="F690">
            <v>7.5774035850079996E-2</v>
          </cell>
        </row>
        <row r="691">
          <cell r="C691" t="str">
            <v>A2XMWY1</v>
          </cell>
          <cell r="D691" t="str">
            <v>PC-110 PAPER FEED CABINET</v>
          </cell>
          <cell r="E691">
            <v>269</v>
          </cell>
          <cell r="F691">
            <v>7.3058120586640005E-2</v>
          </cell>
        </row>
        <row r="692">
          <cell r="C692">
            <v>7640006869</v>
          </cell>
          <cell r="D692" t="str">
            <v>EXT KEYBRD(CHERRY KEYBD G84-4100LCAUS-2)</v>
          </cell>
          <cell r="E692">
            <v>188</v>
          </cell>
          <cell r="F692">
            <v>5.1059206952740001E-2</v>
          </cell>
        </row>
        <row r="693">
          <cell r="C693" t="str">
            <v>A4NRWY1</v>
          </cell>
          <cell r="D693" t="str">
            <v>KH-102 KEYBOARD HOLDER</v>
          </cell>
          <cell r="E693">
            <v>180</v>
          </cell>
          <cell r="F693">
            <v>4.8886474741990003E-2</v>
          </cell>
        </row>
        <row r="694">
          <cell r="C694" t="str">
            <v>A3EUW11</v>
          </cell>
          <cell r="D694" t="str">
            <v>PK-519 PUNCH KIT</v>
          </cell>
          <cell r="E694">
            <v>177</v>
          </cell>
          <cell r="F694">
            <v>4.8071700162950003E-2</v>
          </cell>
        </row>
        <row r="695">
          <cell r="C695">
            <v>7640005064</v>
          </cell>
          <cell r="D695" t="str">
            <v>AU-201H HID CARD AUTHENTICATION UNIT</v>
          </cell>
          <cell r="E695">
            <v>156</v>
          </cell>
          <cell r="F695">
            <v>4.2368278109719999E-2</v>
          </cell>
        </row>
        <row r="696">
          <cell r="C696" t="str">
            <v>A4MGWY1</v>
          </cell>
          <cell r="D696" t="str">
            <v>VI-506 VIDEO INTERFACE FOR IC-414</v>
          </cell>
          <cell r="E696">
            <v>142</v>
          </cell>
          <cell r="F696">
            <v>3.8565996740899999E-2</v>
          </cell>
        </row>
        <row r="697">
          <cell r="C697" t="str">
            <v>A4FRWY2</v>
          </cell>
          <cell r="D697" t="str">
            <v>IC-414 v 1.1 FIERY CONTROLLER</v>
          </cell>
          <cell r="E697">
            <v>141</v>
          </cell>
          <cell r="F697">
            <v>3.8294405214559998E-2</v>
          </cell>
        </row>
        <row r="698">
          <cell r="C698" t="str">
            <v>A4MHWY1</v>
          </cell>
          <cell r="D698" t="str">
            <v>*UK-204 MEMORY UPGRADE KIT</v>
          </cell>
          <cell r="E698">
            <v>113</v>
          </cell>
          <cell r="F698">
            <v>3.068984247691E-2</v>
          </cell>
        </row>
        <row r="699">
          <cell r="C699" t="str">
            <v>A4MJWY1</v>
          </cell>
          <cell r="D699" t="str">
            <v>EK-606 USB HUB KIT</v>
          </cell>
          <cell r="E699">
            <v>106</v>
          </cell>
          <cell r="F699">
            <v>2.87887017925E-2</v>
          </cell>
        </row>
        <row r="700">
          <cell r="C700" t="str">
            <v>A4MKWY1</v>
          </cell>
          <cell r="D700" t="str">
            <v>EK-607 USB HUB KIT</v>
          </cell>
          <cell r="E700">
            <v>93</v>
          </cell>
          <cell r="F700">
            <v>2.5258011950029999E-2</v>
          </cell>
        </row>
        <row r="701">
          <cell r="C701" t="str">
            <v>A0PD01H</v>
          </cell>
          <cell r="D701" t="str">
            <v>LK-101 v3 WEB BROWSER/IMAGE PNL IOPTN KT</v>
          </cell>
          <cell r="E701">
            <v>68</v>
          </cell>
          <cell r="F701">
            <v>1.8468223791420001E-2</v>
          </cell>
        </row>
        <row r="702">
          <cell r="C702">
            <v>7640013463</v>
          </cell>
          <cell r="D702" t="str">
            <v>CONVENIENCE STAPLER CS-1</v>
          </cell>
          <cell r="E702">
            <v>64</v>
          </cell>
          <cell r="F702">
            <v>1.738185768604E-2</v>
          </cell>
        </row>
        <row r="703">
          <cell r="C703">
            <v>7640008394</v>
          </cell>
          <cell r="D703" t="str">
            <v>AU-202H ICLASS CARD READER</v>
          </cell>
          <cell r="E703">
            <v>55</v>
          </cell>
          <cell r="F703">
            <v>1.4937533948940001E-2</v>
          </cell>
        </row>
        <row r="704">
          <cell r="C704">
            <v>7640013468</v>
          </cell>
          <cell r="D704" t="str">
            <v>AU-204H MagStripe card reader</v>
          </cell>
          <cell r="E704">
            <v>46</v>
          </cell>
          <cell r="F704">
            <v>1.249321021184E-2</v>
          </cell>
        </row>
        <row r="705">
          <cell r="C705" t="str">
            <v>A0X9WY1</v>
          </cell>
          <cell r="D705" t="str">
            <v>AU-102 Biometric Authentication Unit</v>
          </cell>
          <cell r="E705">
            <v>46</v>
          </cell>
          <cell r="F705">
            <v>1.249321021184E-2</v>
          </cell>
        </row>
        <row r="706">
          <cell r="C706" t="str">
            <v>A0PD018</v>
          </cell>
          <cell r="D706" t="str">
            <v>LK-105 v3 SEARCHABLE PDF IOPTION KIT</v>
          </cell>
          <cell r="E706">
            <v>33</v>
          </cell>
          <cell r="F706">
            <v>8.9625203693600008E-3</v>
          </cell>
        </row>
        <row r="707">
          <cell r="C707">
            <v>4614506</v>
          </cell>
          <cell r="D707" t="str">
            <v>SP-501 STAMP UNIT</v>
          </cell>
          <cell r="E707">
            <v>32</v>
          </cell>
          <cell r="F707">
            <v>8.6909288430199998E-3</v>
          </cell>
        </row>
        <row r="708">
          <cell r="C708" t="str">
            <v>A4MEWY1</v>
          </cell>
          <cell r="D708" t="str">
            <v>MK-730 BANNER TRAY</v>
          </cell>
          <cell r="E708">
            <v>22</v>
          </cell>
          <cell r="F708">
            <v>5.9750135795799998E-3</v>
          </cell>
        </row>
        <row r="709">
          <cell r="C709" t="str">
            <v>A0PD017</v>
          </cell>
          <cell r="D709" t="str">
            <v>LK-104 v3 VIDEO GUIDANCE IOPTION KIT</v>
          </cell>
          <cell r="E709">
            <v>21</v>
          </cell>
          <cell r="F709">
            <v>5.7034220532299999E-3</v>
          </cell>
        </row>
        <row r="710">
          <cell r="C710" t="str">
            <v>A3PMWY1</v>
          </cell>
          <cell r="D710" t="str">
            <v>OC-511 ORIGINAL COVER</v>
          </cell>
          <cell r="E710">
            <v>20</v>
          </cell>
          <cell r="F710">
            <v>5.4318305268899999E-3</v>
          </cell>
        </row>
        <row r="711">
          <cell r="C711">
            <v>7640004314</v>
          </cell>
          <cell r="D711" t="str">
            <v>**EFI SPECTROPHOTOMETER ES-1000 V.2.0</v>
          </cell>
          <cell r="E711">
            <v>19</v>
          </cell>
          <cell r="F711">
            <v>5.16023900054E-3</v>
          </cell>
        </row>
        <row r="712">
          <cell r="C712">
            <v>7640005261</v>
          </cell>
          <cell r="D712" t="str">
            <v>HID PROXIMITY CARD 10 PACK</v>
          </cell>
          <cell r="E712">
            <v>18</v>
          </cell>
          <cell r="F712">
            <v>4.8886474741999999E-3</v>
          </cell>
        </row>
        <row r="713">
          <cell r="C713">
            <v>4623474</v>
          </cell>
          <cell r="D713" t="str">
            <v>KEY COUNTER MOUNT KIT</v>
          </cell>
          <cell r="E713">
            <v>17</v>
          </cell>
          <cell r="F713">
            <v>4.61705594785E-3</v>
          </cell>
        </row>
        <row r="714">
          <cell r="C714" t="str">
            <v>A4MMWY1</v>
          </cell>
          <cell r="D714" t="str">
            <v>SC-508 COPY GUARD KIT</v>
          </cell>
          <cell r="E714">
            <v>16</v>
          </cell>
          <cell r="F714">
            <v>4.3454644215099999E-3</v>
          </cell>
        </row>
        <row r="715">
          <cell r="C715">
            <v>4614511</v>
          </cell>
          <cell r="D715" t="str">
            <v>SPARE TX MARKER STAMP 2</v>
          </cell>
          <cell r="E715">
            <v>13</v>
          </cell>
          <cell r="F715">
            <v>3.5306898424799999E-3</v>
          </cell>
        </row>
        <row r="716">
          <cell r="C716" t="str">
            <v>A0PD016</v>
          </cell>
          <cell r="D716" t="str">
            <v>LK-102 v3 PDF ENCRYPTION IOPTION KIT</v>
          </cell>
          <cell r="E716">
            <v>8</v>
          </cell>
          <cell r="F716">
            <v>2.1727322107599999E-3</v>
          </cell>
        </row>
        <row r="717">
          <cell r="C717" t="str">
            <v>A4NMWY1</v>
          </cell>
          <cell r="D717" t="str">
            <v>MK-735 IC CARD MOUNT KIT</v>
          </cell>
          <cell r="E717">
            <v>6</v>
          </cell>
          <cell r="F717">
            <v>1.6295491580699999E-3</v>
          </cell>
        </row>
        <row r="718">
          <cell r="C718">
            <v>7640009476</v>
          </cell>
          <cell r="D718" t="str">
            <v>EFI FIERY SEEQUENCE IMPOSE</v>
          </cell>
          <cell r="E718">
            <v>4</v>
          </cell>
          <cell r="F718">
            <v>1.0863661053799999E-3</v>
          </cell>
        </row>
        <row r="719">
          <cell r="C719">
            <v>7640012657</v>
          </cell>
          <cell r="D719" t="str">
            <v>**EFI FIERY CPS V3.0 UV ES-1000</v>
          </cell>
          <cell r="E719">
            <v>3</v>
          </cell>
          <cell r="F719">
            <v>8.1477457903000004E-4</v>
          </cell>
        </row>
        <row r="720">
          <cell r="C720" t="str">
            <v>A0PD019</v>
          </cell>
          <cell r="D720" t="str">
            <v>LK-106 BAR CODE FONTS IOPTION KIT</v>
          </cell>
          <cell r="E720">
            <v>3</v>
          </cell>
          <cell r="F720">
            <v>8.1477457903000004E-4</v>
          </cell>
        </row>
        <row r="721">
          <cell r="C721">
            <v>7640009478</v>
          </cell>
          <cell r="D721" t="str">
            <v>EFI FIERY SEEQUENCE IMPOSE+COMPOSE SUITE</v>
          </cell>
          <cell r="E721">
            <v>2</v>
          </cell>
          <cell r="F721">
            <v>5.4318305268999997E-4</v>
          </cell>
        </row>
        <row r="722">
          <cell r="C722" t="str">
            <v>A0PD01F</v>
          </cell>
          <cell r="D722" t="str">
            <v>LK-107 UNICODE FONT IOPTION KIT</v>
          </cell>
          <cell r="E722">
            <v>2</v>
          </cell>
          <cell r="F722">
            <v>5.4318305268999997E-4</v>
          </cell>
        </row>
        <row r="723">
          <cell r="C723">
            <v>7640009477</v>
          </cell>
          <cell r="D723" t="str">
            <v>EFI FIERY SEEQUENCE COMPOSE</v>
          </cell>
          <cell r="E723">
            <v>1</v>
          </cell>
          <cell r="F723">
            <v>2.7159152634000002E-4</v>
          </cell>
        </row>
        <row r="724">
          <cell r="C724">
            <v>7640017030</v>
          </cell>
          <cell r="D724" t="str">
            <v>IC-414 PRODUCTIVITY PACKAGE</v>
          </cell>
          <cell r="E724">
            <v>1</v>
          </cell>
          <cell r="F724">
            <v>2.7159152634000002E-4</v>
          </cell>
        </row>
        <row r="725">
          <cell r="C725">
            <v>7640004312</v>
          </cell>
          <cell r="D725" t="str">
            <v>EFI HOT FOLDERS</v>
          </cell>
          <cell r="E725">
            <v>0</v>
          </cell>
          <cell r="F725">
            <v>0</v>
          </cell>
        </row>
        <row r="726">
          <cell r="C726">
            <v>7640004313</v>
          </cell>
          <cell r="D726" t="str">
            <v>EFI AUTO TRAP</v>
          </cell>
          <cell r="E726">
            <v>0</v>
          </cell>
          <cell r="F726">
            <v>0</v>
          </cell>
        </row>
        <row r="727">
          <cell r="C727">
            <v>7640016375</v>
          </cell>
          <cell r="D727" t="str">
            <v>BIZHUB SECURE</v>
          </cell>
          <cell r="E727">
            <v>0</v>
          </cell>
          <cell r="F727">
            <v>0</v>
          </cell>
        </row>
        <row r="728">
          <cell r="C728" t="str">
            <v>A0PD01G</v>
          </cell>
          <cell r="D728" t="str">
            <v>LK-108 OCR FONT IOPTION KIT</v>
          </cell>
          <cell r="E728">
            <v>0</v>
          </cell>
          <cell r="F728">
            <v>0</v>
          </cell>
        </row>
        <row r="729">
          <cell r="C729" t="str">
            <v>A0P2011</v>
          </cell>
          <cell r="D729" t="str">
            <v>BIZHUB C452</v>
          </cell>
          <cell r="E729">
            <v>1068</v>
          </cell>
          <cell r="F729">
            <v>1</v>
          </cell>
        </row>
        <row r="730">
          <cell r="C730" t="str">
            <v>15LB</v>
          </cell>
          <cell r="D730" t="str">
            <v>FK-502 FAX KIT</v>
          </cell>
          <cell r="E730">
            <v>783</v>
          </cell>
          <cell r="F730">
            <v>0.73314606741572996</v>
          </cell>
        </row>
        <row r="731">
          <cell r="C731" t="str">
            <v>A0YAWY1</v>
          </cell>
          <cell r="D731" t="str">
            <v>MK-720 Fax Connection (PCI)</v>
          </cell>
          <cell r="E731">
            <v>760</v>
          </cell>
          <cell r="F731">
            <v>0.71161048689138995</v>
          </cell>
        </row>
        <row r="732">
          <cell r="C732" t="str">
            <v>A10EW11</v>
          </cell>
          <cell r="D732" t="str">
            <v>PK-517 2/3-HOLE PUNCH KIT FOR FS-527</v>
          </cell>
          <cell r="E732">
            <v>559</v>
          </cell>
          <cell r="F732">
            <v>0.52340823970036998</v>
          </cell>
        </row>
        <row r="733">
          <cell r="C733" t="str">
            <v>A10DWY1</v>
          </cell>
          <cell r="D733" t="str">
            <v>SD-509 SADDLE KIT</v>
          </cell>
          <cell r="E733">
            <v>200</v>
          </cell>
          <cell r="F733">
            <v>0.18726591760299999</v>
          </cell>
        </row>
        <row r="734">
          <cell r="C734">
            <v>7640006869</v>
          </cell>
          <cell r="D734" t="str">
            <v>EXT KEYBRD(CHERRY KEYBD G84-4100LCAUS-2)</v>
          </cell>
          <cell r="E734">
            <v>84</v>
          </cell>
          <cell r="F734">
            <v>7.8651685393260007E-2</v>
          </cell>
        </row>
        <row r="735">
          <cell r="C735" t="str">
            <v>A165WY1</v>
          </cell>
          <cell r="D735" t="str">
            <v>KH-101 EXTERNAL KEYBOARD HOLDER</v>
          </cell>
          <cell r="E735">
            <v>79</v>
          </cell>
          <cell r="F735">
            <v>7.3970037453179996E-2</v>
          </cell>
        </row>
        <row r="736">
          <cell r="C736" t="str">
            <v>A10FWY1</v>
          </cell>
          <cell r="D736" t="str">
            <v>JS-603 JOB SEPARATOR TRAY</v>
          </cell>
          <cell r="E736">
            <v>74</v>
          </cell>
          <cell r="F736">
            <v>6.9288389513110005E-2</v>
          </cell>
        </row>
        <row r="737">
          <cell r="C737" t="str">
            <v>A0YDWY1</v>
          </cell>
          <cell r="D737" t="str">
            <v>*UK-203 i-Option Upgrade Kit (1 GB)</v>
          </cell>
          <cell r="E737">
            <v>45</v>
          </cell>
          <cell r="F737">
            <v>4.213483146067E-2</v>
          </cell>
        </row>
        <row r="738">
          <cell r="C738">
            <v>7640005064</v>
          </cell>
          <cell r="D738" t="str">
            <v>AU-201H HID CARD AUTHENTICATION UNIT</v>
          </cell>
          <cell r="E738">
            <v>44</v>
          </cell>
          <cell r="F738">
            <v>4.1198501872659998E-2</v>
          </cell>
        </row>
        <row r="739">
          <cell r="C739" t="str">
            <v>A0PD015</v>
          </cell>
          <cell r="D739" t="str">
            <v>LK-105 LICENSE KIT (SEARCHABLE PDF)</v>
          </cell>
          <cell r="E739">
            <v>44</v>
          </cell>
          <cell r="F739">
            <v>4.1198501872659998E-2</v>
          </cell>
        </row>
        <row r="740">
          <cell r="C740" t="str">
            <v>A0YEWY2</v>
          </cell>
          <cell r="D740" t="str">
            <v>VI-505 VIDEO INTERFACE CABLE</v>
          </cell>
          <cell r="E740">
            <v>41</v>
          </cell>
          <cell r="F740">
            <v>3.8389513108610003E-2</v>
          </cell>
        </row>
        <row r="741">
          <cell r="C741" t="str">
            <v>A127WY2</v>
          </cell>
          <cell r="D741" t="str">
            <v>IC-412 FIERY CONTROLLER</v>
          </cell>
          <cell r="E741">
            <v>41</v>
          </cell>
          <cell r="F741">
            <v>3.8389513108610003E-2</v>
          </cell>
        </row>
        <row r="742">
          <cell r="C742" t="str">
            <v>A0X9WY1</v>
          </cell>
          <cell r="D742" t="str">
            <v>AU-102 Biometric Authentication Unit</v>
          </cell>
          <cell r="E742">
            <v>31</v>
          </cell>
          <cell r="F742">
            <v>2.9026217228460001E-2</v>
          </cell>
        </row>
        <row r="743">
          <cell r="C743" t="str">
            <v>A0PD01A</v>
          </cell>
          <cell r="D743" t="str">
            <v>i-Option LK-101 v2</v>
          </cell>
          <cell r="E743">
            <v>12</v>
          </cell>
          <cell r="F743">
            <v>1.123595505618E-2</v>
          </cell>
        </row>
        <row r="744">
          <cell r="C744" t="str">
            <v>A1MUWY1</v>
          </cell>
          <cell r="D744" t="str">
            <v>SA-502 SCAN ACCELERATOR KIT</v>
          </cell>
          <cell r="E744">
            <v>12</v>
          </cell>
          <cell r="F744">
            <v>1.123595505618E-2</v>
          </cell>
        </row>
        <row r="745">
          <cell r="C745" t="str">
            <v>A0D5WY1</v>
          </cell>
          <cell r="D745" t="str">
            <v>JS-504 JOB SEPARATOR TRAY</v>
          </cell>
          <cell r="E745">
            <v>10</v>
          </cell>
          <cell r="F745">
            <v>9.3632958801500004E-3</v>
          </cell>
        </row>
        <row r="746">
          <cell r="C746">
            <v>7640004314</v>
          </cell>
          <cell r="D746" t="str">
            <v>**EFI SPECTROPHOTOMETER ES-1000 V.2.0</v>
          </cell>
          <cell r="E746">
            <v>9</v>
          </cell>
          <cell r="F746">
            <v>8.42696629213E-3</v>
          </cell>
        </row>
        <row r="747">
          <cell r="C747" t="str">
            <v>A0PD012</v>
          </cell>
          <cell r="D747" t="str">
            <v>3LK-102 LICENSE KIT</v>
          </cell>
          <cell r="E747">
            <v>4</v>
          </cell>
          <cell r="F747">
            <v>3.7453183520600002E-3</v>
          </cell>
        </row>
        <row r="748">
          <cell r="C748" t="str">
            <v>A0PD160200</v>
          </cell>
          <cell r="D748" t="str">
            <v>INFO LINE Palette Stylus Pen</v>
          </cell>
          <cell r="E748">
            <v>4</v>
          </cell>
          <cell r="F748">
            <v>3.7453183520600002E-3</v>
          </cell>
        </row>
        <row r="749">
          <cell r="C749" t="str">
            <v>A0TJWY2</v>
          </cell>
          <cell r="D749" t="str">
            <v>*LU-204 Large Capacity Unit</v>
          </cell>
          <cell r="E749">
            <v>4</v>
          </cell>
          <cell r="F749">
            <v>3.7453183520600002E-3</v>
          </cell>
        </row>
        <row r="750">
          <cell r="C750">
            <v>4614506</v>
          </cell>
          <cell r="D750" t="str">
            <v>SP-501 STAMP UNIT</v>
          </cell>
          <cell r="E750">
            <v>3</v>
          </cell>
          <cell r="F750">
            <v>2.8089887640400002E-3</v>
          </cell>
        </row>
        <row r="751">
          <cell r="C751" t="str">
            <v>A0W4WY1</v>
          </cell>
          <cell r="D751" t="str">
            <v>*WT-506 Working Table</v>
          </cell>
          <cell r="E751">
            <v>3</v>
          </cell>
          <cell r="F751">
            <v>2.8089887640400002E-3</v>
          </cell>
        </row>
        <row r="752">
          <cell r="C752">
            <v>7640005261</v>
          </cell>
          <cell r="D752" t="str">
            <v>HID PROXIMITY CARD 10 PACK</v>
          </cell>
          <cell r="E752">
            <v>2</v>
          </cell>
          <cell r="F752">
            <v>1.8726591760300001E-3</v>
          </cell>
        </row>
        <row r="753">
          <cell r="C753">
            <v>4614511</v>
          </cell>
          <cell r="D753" t="str">
            <v>SPARE TX MARKER STAMP 2</v>
          </cell>
          <cell r="E753">
            <v>1</v>
          </cell>
          <cell r="F753">
            <v>9.3632958801000003E-4</v>
          </cell>
        </row>
        <row r="754">
          <cell r="C754">
            <v>7640008394</v>
          </cell>
          <cell r="D754" t="str">
            <v>AU-202H ICLASS CARD READER</v>
          </cell>
          <cell r="E754">
            <v>1</v>
          </cell>
          <cell r="F754">
            <v>9.3632958801000003E-4</v>
          </cell>
        </row>
        <row r="755">
          <cell r="C755">
            <v>7640009476</v>
          </cell>
          <cell r="D755" t="str">
            <v>EFI FIERY SEEQUENCE IMPOSE</v>
          </cell>
          <cell r="E755">
            <v>1</v>
          </cell>
          <cell r="F755">
            <v>9.3632958801000003E-4</v>
          </cell>
        </row>
        <row r="756">
          <cell r="C756" t="str">
            <v>A03N0Y1</v>
          </cell>
          <cell r="D756" t="str">
            <v>*LU-301 LCT (3000 SHEETS)</v>
          </cell>
          <cell r="E756">
            <v>1</v>
          </cell>
          <cell r="F756">
            <v>9.3632958801000003E-4</v>
          </cell>
        </row>
        <row r="757">
          <cell r="C757" t="str">
            <v>15LBX005</v>
          </cell>
          <cell r="D757" t="str">
            <v>C652/C552 FAX KIT [FK-502] + [MK-720]</v>
          </cell>
          <cell r="E757">
            <v>0</v>
          </cell>
          <cell r="F757">
            <v>0</v>
          </cell>
        </row>
        <row r="758">
          <cell r="C758">
            <v>4623472</v>
          </cell>
          <cell r="D758" t="str">
            <v>*KEY COUNTER ATTACHMENT KIT</v>
          </cell>
          <cell r="E758">
            <v>0</v>
          </cell>
          <cell r="F758">
            <v>0</v>
          </cell>
        </row>
        <row r="759">
          <cell r="C759">
            <v>7640004311</v>
          </cell>
          <cell r="D759" t="str">
            <v>EFI SECURE ERASE</v>
          </cell>
          <cell r="E759">
            <v>0</v>
          </cell>
          <cell r="F759">
            <v>0</v>
          </cell>
        </row>
        <row r="760">
          <cell r="C760">
            <v>7640004312</v>
          </cell>
          <cell r="D760" t="str">
            <v>EFI HOT FOLDERS</v>
          </cell>
          <cell r="E760">
            <v>0</v>
          </cell>
          <cell r="F760">
            <v>0</v>
          </cell>
        </row>
        <row r="761">
          <cell r="C761">
            <v>7640004313</v>
          </cell>
          <cell r="D761" t="str">
            <v>EFI AUTO TRAP</v>
          </cell>
          <cell r="E761">
            <v>0</v>
          </cell>
          <cell r="F761">
            <v>0</v>
          </cell>
        </row>
        <row r="762">
          <cell r="C762">
            <v>7640009477</v>
          </cell>
          <cell r="D762" t="str">
            <v>EFI FIERY SEEQUENCE COMPOSE</v>
          </cell>
          <cell r="E762">
            <v>0</v>
          </cell>
          <cell r="F762">
            <v>0</v>
          </cell>
        </row>
        <row r="763">
          <cell r="C763">
            <v>7640009478</v>
          </cell>
          <cell r="D763" t="str">
            <v>EFI FIERY SEEQUENCE IMPOSE+COMPOSE SUITE</v>
          </cell>
          <cell r="E763">
            <v>0</v>
          </cell>
          <cell r="F763">
            <v>0</v>
          </cell>
        </row>
        <row r="764">
          <cell r="C764">
            <v>7640012657</v>
          </cell>
          <cell r="D764" t="str">
            <v>**EFI FIERY CPS V3.0 UV ES-1000</v>
          </cell>
          <cell r="E764">
            <v>0</v>
          </cell>
          <cell r="F764">
            <v>0</v>
          </cell>
        </row>
        <row r="765">
          <cell r="C765">
            <v>7640012669</v>
          </cell>
          <cell r="D765" t="str">
            <v>**DELL 2330DN PRINTER OEM TONER 2K</v>
          </cell>
          <cell r="E765">
            <v>0</v>
          </cell>
          <cell r="F765">
            <v>0</v>
          </cell>
        </row>
        <row r="766">
          <cell r="C766" t="str">
            <v>A092WW0</v>
          </cell>
          <cell r="D766" t="str">
            <v>*OT-503 OUTPUT TRAY KIT</v>
          </cell>
          <cell r="E766">
            <v>0</v>
          </cell>
          <cell r="F766">
            <v>0</v>
          </cell>
        </row>
        <row r="767">
          <cell r="C767" t="str">
            <v>A0HRWY1</v>
          </cell>
          <cell r="D767" t="str">
            <v>*FS-527 FINISHER</v>
          </cell>
          <cell r="E767">
            <v>0</v>
          </cell>
          <cell r="F767">
            <v>0</v>
          </cell>
        </row>
        <row r="768">
          <cell r="C768" t="str">
            <v>A0Y9WY1</v>
          </cell>
          <cell r="D768" t="str">
            <v>SC-507 Security Kit (Copy Guard Protecti</v>
          </cell>
          <cell r="E768">
            <v>0</v>
          </cell>
          <cell r="F768">
            <v>0</v>
          </cell>
        </row>
        <row r="769">
          <cell r="C769" t="str">
            <v>A0YCWY1</v>
          </cell>
          <cell r="D769" t="str">
            <v>*EK605 LOCALUSB INTERFACE KT W/BLUETOOTH</v>
          </cell>
          <cell r="E769">
            <v>0</v>
          </cell>
          <cell r="F769">
            <v>0</v>
          </cell>
        </row>
        <row r="770">
          <cell r="C770" t="str">
            <v>A0YCWY2</v>
          </cell>
          <cell r="D770" t="str">
            <v>*EK-604 LOCAL USB INTERFACE KIT</v>
          </cell>
          <cell r="E770">
            <v>0</v>
          </cell>
          <cell r="F770">
            <v>0</v>
          </cell>
        </row>
        <row r="771">
          <cell r="C771" t="str">
            <v>A4FJ011</v>
          </cell>
          <cell r="D771" t="str">
            <v>BIZHUB C454 PRINTER/COPIER</v>
          </cell>
          <cell r="E771">
            <v>2499</v>
          </cell>
          <cell r="F771">
            <v>1</v>
          </cell>
          <cell r="G771" t="str">
            <v>Color</v>
          </cell>
        </row>
        <row r="772">
          <cell r="C772" t="str">
            <v>A3EPWY1</v>
          </cell>
          <cell r="D772" t="str">
            <v>FS-534 50-SHEET STAPLE FINISHER</v>
          </cell>
          <cell r="E772">
            <v>1992</v>
          </cell>
          <cell r="F772">
            <v>0.79711884753901996</v>
          </cell>
          <cell r="G772" t="str">
            <v>Color</v>
          </cell>
        </row>
        <row r="773">
          <cell r="C773">
            <v>7640014724</v>
          </cell>
          <cell r="D773" t="str">
            <v>INNOVOLT POWER MANAGER 20AMP</v>
          </cell>
          <cell r="E773">
            <v>1790</v>
          </cell>
          <cell r="F773">
            <v>0.71628651460584003</v>
          </cell>
          <cell r="G773" t="str">
            <v>Color</v>
          </cell>
        </row>
        <row r="774">
          <cell r="C774" t="str">
            <v>A4MF011</v>
          </cell>
          <cell r="D774" t="str">
            <v>FK-511 FAX KIT</v>
          </cell>
          <cell r="E774">
            <v>1693</v>
          </cell>
          <cell r="F774">
            <v>0.67747098839536002</v>
          </cell>
          <cell r="G774" t="str">
            <v>Color</v>
          </cell>
        </row>
        <row r="775">
          <cell r="C775" t="str">
            <v>A2XM013</v>
          </cell>
          <cell r="D775" t="str">
            <v>PC-410 PAPER FEED CABINET</v>
          </cell>
          <cell r="E775">
            <v>1571</v>
          </cell>
          <cell r="F775">
            <v>0.62865146058423005</v>
          </cell>
          <cell r="G775" t="str">
            <v>Color</v>
          </cell>
        </row>
        <row r="776">
          <cell r="C776" t="str">
            <v>A3ETW11</v>
          </cell>
          <cell r="D776" t="str">
            <v>PK-520 PUNCH KIT</v>
          </cell>
          <cell r="E776">
            <v>1149</v>
          </cell>
          <cell r="F776">
            <v>0.45978391356543002</v>
          </cell>
          <cell r="G776" t="str">
            <v>Color</v>
          </cell>
        </row>
        <row r="777">
          <cell r="C777" t="str">
            <v>A2XMWY2</v>
          </cell>
          <cell r="D777" t="str">
            <v>PC-210 PAPER FEED CABINET</v>
          </cell>
          <cell r="E777">
            <v>616</v>
          </cell>
          <cell r="F777">
            <v>0.24649859943978</v>
          </cell>
          <cell r="G777" t="str">
            <v>Color</v>
          </cell>
        </row>
        <row r="778">
          <cell r="C778" t="str">
            <v>A3ERWY1</v>
          </cell>
          <cell r="D778" t="str">
            <v>SD-511 SADDLE STITCH KIT</v>
          </cell>
          <cell r="E778">
            <v>493</v>
          </cell>
          <cell r="F778">
            <v>0.19727891156463001</v>
          </cell>
          <cell r="G778" t="str">
            <v>Color</v>
          </cell>
        </row>
        <row r="779">
          <cell r="C779" t="str">
            <v>A0W4WY2</v>
          </cell>
          <cell r="D779" t="str">
            <v>WT-506 WORKING TABLE</v>
          </cell>
          <cell r="E779">
            <v>396</v>
          </cell>
          <cell r="F779">
            <v>0.15846338535414001</v>
          </cell>
          <cell r="G779" t="str">
            <v>Color</v>
          </cell>
        </row>
        <row r="780">
          <cell r="C780" t="str">
            <v>A2YUWY1</v>
          </cell>
          <cell r="D780" t="str">
            <v>FS-533 INNER STAPLE FINISHER</v>
          </cell>
          <cell r="E780">
            <v>283</v>
          </cell>
          <cell r="F780">
            <v>0.11324529811925001</v>
          </cell>
          <cell r="G780" t="str">
            <v>Color</v>
          </cell>
        </row>
        <row r="781">
          <cell r="C781">
            <v>7640017610</v>
          </cell>
          <cell r="D781" t="str">
            <v>DK-510 COPY DESK</v>
          </cell>
          <cell r="E781">
            <v>212</v>
          </cell>
          <cell r="F781">
            <v>8.4833933573429998E-2</v>
          </cell>
          <cell r="G781" t="str">
            <v>Color</v>
          </cell>
        </row>
        <row r="782">
          <cell r="C782" t="str">
            <v>A4MGWY1</v>
          </cell>
          <cell r="D782" t="str">
            <v>VI-506 VIDEO INTERFACE FOR IC-414</v>
          </cell>
          <cell r="E782">
            <v>211</v>
          </cell>
          <cell r="F782">
            <v>8.4433773509399998E-2</v>
          </cell>
          <cell r="G782" t="str">
            <v>Color</v>
          </cell>
        </row>
        <row r="783">
          <cell r="C783">
            <v>7640006869</v>
          </cell>
          <cell r="D783" t="str">
            <v>EXT KEYBRD(CHERRY KEYBD G84-4100LCAUS-2)</v>
          </cell>
          <cell r="E783">
            <v>173</v>
          </cell>
          <cell r="F783">
            <v>6.9227691076429995E-2</v>
          </cell>
          <cell r="G783" t="str">
            <v>Color</v>
          </cell>
        </row>
        <row r="784">
          <cell r="C784" t="str">
            <v>A4NRWY1</v>
          </cell>
          <cell r="D784" t="str">
            <v>KH-102 KEYBOARD HOLDER</v>
          </cell>
          <cell r="E784">
            <v>166</v>
          </cell>
          <cell r="F784">
            <v>6.6426570628249998E-2</v>
          </cell>
          <cell r="G784" t="str">
            <v>Color</v>
          </cell>
        </row>
        <row r="785">
          <cell r="C785" t="str">
            <v>A4MDWY1</v>
          </cell>
          <cell r="D785" t="str">
            <v>OT-506 OUTPUT TRAY</v>
          </cell>
          <cell r="E785">
            <v>121</v>
          </cell>
          <cell r="F785">
            <v>4.8419367747099998E-2</v>
          </cell>
          <cell r="G785" t="str">
            <v>Color</v>
          </cell>
        </row>
        <row r="786">
          <cell r="C786" t="str">
            <v>A3EUW11</v>
          </cell>
          <cell r="D786" t="str">
            <v>PK-519 PUNCH KIT</v>
          </cell>
          <cell r="E786">
            <v>100</v>
          </cell>
          <cell r="F786">
            <v>4.0016006402559999E-2</v>
          </cell>
          <cell r="G786" t="str">
            <v>Color</v>
          </cell>
        </row>
        <row r="787">
          <cell r="C787" t="str">
            <v>A4MHWY1</v>
          </cell>
          <cell r="D787" t="str">
            <v>*UK-204 MEMORY UPGRADE KIT</v>
          </cell>
          <cell r="E787">
            <v>92</v>
          </cell>
          <cell r="F787">
            <v>3.6814725890360001E-2</v>
          </cell>
          <cell r="G787" t="str">
            <v>Color</v>
          </cell>
        </row>
        <row r="788">
          <cell r="C788" t="str">
            <v>A2XMWY1</v>
          </cell>
          <cell r="D788" t="str">
            <v>PC-110 PAPER FEED CABINET</v>
          </cell>
          <cell r="E788">
            <v>91</v>
          </cell>
          <cell r="F788">
            <v>3.641456582633E-2</v>
          </cell>
          <cell r="G788" t="str">
            <v>Color</v>
          </cell>
        </row>
        <row r="789">
          <cell r="C789" t="str">
            <v>A4MJWY1</v>
          </cell>
          <cell r="D789" t="str">
            <v>EK-606 USB HUB KIT</v>
          </cell>
          <cell r="E789">
            <v>76</v>
          </cell>
          <cell r="F789">
            <v>3.0412164865950001E-2</v>
          </cell>
          <cell r="G789" t="str">
            <v>Color</v>
          </cell>
        </row>
        <row r="790">
          <cell r="C790">
            <v>7640005064</v>
          </cell>
          <cell r="D790" t="str">
            <v>AU-201H HID CARD AUTHENTICATION UNIT</v>
          </cell>
          <cell r="E790">
            <v>71</v>
          </cell>
          <cell r="F790">
            <v>2.8411364545819998E-2</v>
          </cell>
          <cell r="G790" t="str">
            <v>Color</v>
          </cell>
        </row>
        <row r="791">
          <cell r="C791" t="str">
            <v>A0PD01H</v>
          </cell>
          <cell r="D791" t="str">
            <v>LK-101 v3 WEB BROWSER/IMAGE PNL IOPTN KT</v>
          </cell>
          <cell r="E791">
            <v>68</v>
          </cell>
          <cell r="F791">
            <v>2.721088435374E-2</v>
          </cell>
          <cell r="G791" t="str">
            <v>Color</v>
          </cell>
        </row>
        <row r="792">
          <cell r="C792" t="str">
            <v>A2YVWY1</v>
          </cell>
          <cell r="D792" t="str">
            <v>JS-506 JOB SEPARATOR</v>
          </cell>
          <cell r="E792">
            <v>58</v>
          </cell>
          <cell r="F792">
            <v>2.320928371349E-2</v>
          </cell>
          <cell r="G792" t="str">
            <v>Color</v>
          </cell>
        </row>
        <row r="793">
          <cell r="C793" t="str">
            <v>A03NWY2</v>
          </cell>
          <cell r="D793" t="str">
            <v>LU-301 LARGE CAPACITY UNIT</v>
          </cell>
          <cell r="E793">
            <v>52</v>
          </cell>
          <cell r="F793">
            <v>2.0808323329330001E-2</v>
          </cell>
          <cell r="G793" t="str">
            <v>Color</v>
          </cell>
        </row>
        <row r="794">
          <cell r="C794">
            <v>7640008394</v>
          </cell>
          <cell r="D794" t="str">
            <v>AU-202H ICLASS CARD READER</v>
          </cell>
          <cell r="E794">
            <v>51</v>
          </cell>
          <cell r="F794">
            <v>2.040816326531E-2</v>
          </cell>
          <cell r="G794" t="str">
            <v>Color</v>
          </cell>
        </row>
        <row r="795">
          <cell r="C795">
            <v>7640005261</v>
          </cell>
          <cell r="D795" t="str">
            <v>HID PROXIMITY CARD 10 PACK</v>
          </cell>
          <cell r="E795">
            <v>30</v>
          </cell>
          <cell r="F795">
            <v>1.2004801920769999E-2</v>
          </cell>
          <cell r="G795" t="str">
            <v>Color</v>
          </cell>
        </row>
        <row r="796">
          <cell r="C796" t="str">
            <v>A0PD018</v>
          </cell>
          <cell r="D796" t="str">
            <v>LK-105 v3 SEARCHABLE PDF IOPTION KIT</v>
          </cell>
          <cell r="E796">
            <v>30</v>
          </cell>
          <cell r="F796">
            <v>1.2004801920769999E-2</v>
          </cell>
          <cell r="G796" t="str">
            <v>Color</v>
          </cell>
        </row>
        <row r="797">
          <cell r="C797" t="str">
            <v>A0X9WY1</v>
          </cell>
          <cell r="D797" t="str">
            <v>AU-102 Biometric Authentication Unit</v>
          </cell>
          <cell r="E797">
            <v>30</v>
          </cell>
          <cell r="F797">
            <v>1.2004801920769999E-2</v>
          </cell>
          <cell r="G797" t="str">
            <v>Color</v>
          </cell>
        </row>
        <row r="798">
          <cell r="C798">
            <v>7640013463</v>
          </cell>
          <cell r="D798" t="str">
            <v>CONVENIENCE STAPLER CS-1</v>
          </cell>
          <cell r="E798">
            <v>27</v>
          </cell>
          <cell r="F798">
            <v>1.0804321728689999E-2</v>
          </cell>
          <cell r="G798" t="str">
            <v>Color</v>
          </cell>
        </row>
        <row r="799">
          <cell r="C799" t="str">
            <v>A4MKWY1</v>
          </cell>
          <cell r="D799" t="str">
            <v>EK-607 USB HUB KIT</v>
          </cell>
          <cell r="E799">
            <v>26</v>
          </cell>
          <cell r="F799">
            <v>1.040416166467E-2</v>
          </cell>
          <cell r="G799" t="str">
            <v>Color</v>
          </cell>
        </row>
        <row r="800">
          <cell r="C800" t="str">
            <v>A4NMWY1</v>
          </cell>
          <cell r="D800" t="str">
            <v>MK-735 IC CARD MOUNT KIT</v>
          </cell>
          <cell r="E800">
            <v>25</v>
          </cell>
          <cell r="F800">
            <v>1.000400160064E-2</v>
          </cell>
          <cell r="G800" t="str">
            <v>Color</v>
          </cell>
        </row>
        <row r="801">
          <cell r="C801">
            <v>7640004314</v>
          </cell>
          <cell r="D801" t="str">
            <v>**EFI SPECTROPHOTOMETER ES-1000 V.2.0</v>
          </cell>
          <cell r="E801">
            <v>24</v>
          </cell>
          <cell r="F801">
            <v>9.6038415366099996E-3</v>
          </cell>
          <cell r="G801" t="str">
            <v>Color</v>
          </cell>
        </row>
        <row r="802">
          <cell r="C802">
            <v>4623474</v>
          </cell>
          <cell r="D802" t="str">
            <v>KEY COUNTER MOUNT KIT</v>
          </cell>
          <cell r="E802">
            <v>20</v>
          </cell>
          <cell r="F802">
            <v>8.0032012805100004E-3</v>
          </cell>
          <cell r="G802" t="str">
            <v>Color</v>
          </cell>
        </row>
        <row r="803">
          <cell r="C803">
            <v>4614506</v>
          </cell>
          <cell r="D803" t="str">
            <v>SP-501 STAMP UNIT</v>
          </cell>
          <cell r="E803">
            <v>18</v>
          </cell>
          <cell r="F803">
            <v>7.2028811524599999E-3</v>
          </cell>
          <cell r="G803" t="str">
            <v>Color</v>
          </cell>
        </row>
        <row r="804">
          <cell r="C804" t="str">
            <v>A0TJWY4</v>
          </cell>
          <cell r="D804" t="str">
            <v>LU-204 LARGE CAPACITY UNIT</v>
          </cell>
          <cell r="E804">
            <v>15</v>
          </cell>
          <cell r="F804">
            <v>6.0024009603800001E-3</v>
          </cell>
          <cell r="G804" t="str">
            <v>Color</v>
          </cell>
        </row>
        <row r="805">
          <cell r="C805" t="str">
            <v>A4MEWY1</v>
          </cell>
          <cell r="D805" t="str">
            <v>MK-730 BANNER TRAY</v>
          </cell>
          <cell r="E805">
            <v>15</v>
          </cell>
          <cell r="F805">
            <v>6.0024009603800001E-3</v>
          </cell>
          <cell r="G805" t="str">
            <v>Color</v>
          </cell>
        </row>
        <row r="806">
          <cell r="C806" t="str">
            <v>A0PD016</v>
          </cell>
          <cell r="D806" t="str">
            <v>LK-102 v3 PDF ENCRYPTION IOPTION KIT</v>
          </cell>
          <cell r="E806">
            <v>9</v>
          </cell>
          <cell r="F806">
            <v>3.6014405762299999E-3</v>
          </cell>
          <cell r="G806" t="str">
            <v>Color</v>
          </cell>
        </row>
        <row r="807">
          <cell r="C807">
            <v>7640009476</v>
          </cell>
          <cell r="D807" t="str">
            <v>EFI FIERY SEEQUENCE IMPOSE</v>
          </cell>
          <cell r="E807">
            <v>5</v>
          </cell>
          <cell r="F807">
            <v>2.0008003201299998E-3</v>
          </cell>
          <cell r="G807" t="str">
            <v>Color</v>
          </cell>
        </row>
        <row r="808">
          <cell r="C808">
            <v>4614511</v>
          </cell>
          <cell r="D808" t="str">
            <v>SPARE TX MARKER STAMP 2</v>
          </cell>
          <cell r="E808">
            <v>4</v>
          </cell>
          <cell r="F808">
            <v>1.6006402560999999E-3</v>
          </cell>
          <cell r="G808" t="str">
            <v>Color</v>
          </cell>
        </row>
        <row r="809">
          <cell r="C809">
            <v>7640013468</v>
          </cell>
          <cell r="D809" t="str">
            <v>AU-204H MagStripe card reader</v>
          </cell>
          <cell r="E809">
            <v>4</v>
          </cell>
          <cell r="F809">
            <v>1.6006402560999999E-3</v>
          </cell>
          <cell r="G809" t="str">
            <v>Color</v>
          </cell>
        </row>
        <row r="810">
          <cell r="C810">
            <v>7640017030</v>
          </cell>
          <cell r="D810" t="str">
            <v>IC-414 PRODUCTIVITY PACKAGE</v>
          </cell>
          <cell r="E810">
            <v>4</v>
          </cell>
          <cell r="F810">
            <v>1.6006402560999999E-3</v>
          </cell>
          <cell r="G810" t="str">
            <v>Color</v>
          </cell>
        </row>
        <row r="811">
          <cell r="C811" t="str">
            <v>A0PD019</v>
          </cell>
          <cell r="D811" t="str">
            <v>LK-106 BAR CODE FONTS IOPTION KIT</v>
          </cell>
          <cell r="E811">
            <v>3</v>
          </cell>
          <cell r="F811">
            <v>1.20048019208E-3</v>
          </cell>
          <cell r="G811" t="str">
            <v>Color</v>
          </cell>
        </row>
        <row r="812">
          <cell r="C812" t="str">
            <v>A0PD01F</v>
          </cell>
          <cell r="D812" t="str">
            <v>LK-107 UNICODE FONT IOPTION KIT</v>
          </cell>
          <cell r="E812">
            <v>3</v>
          </cell>
          <cell r="F812">
            <v>1.20048019208E-3</v>
          </cell>
          <cell r="G812" t="str">
            <v>Color</v>
          </cell>
        </row>
        <row r="813">
          <cell r="C813" t="str">
            <v>A0PD01G</v>
          </cell>
          <cell r="D813" t="str">
            <v>LK-108 OCR FONT IOPTION KIT</v>
          </cell>
          <cell r="E813">
            <v>3</v>
          </cell>
          <cell r="F813">
            <v>1.20048019208E-3</v>
          </cell>
          <cell r="G813" t="str">
            <v>Color</v>
          </cell>
        </row>
        <row r="814">
          <cell r="C814" t="str">
            <v>A4MMWY1</v>
          </cell>
          <cell r="D814" t="str">
            <v>SC-508 COPY GUARD KIT</v>
          </cell>
          <cell r="E814">
            <v>3</v>
          </cell>
          <cell r="F814">
            <v>1.20048019208E-3</v>
          </cell>
          <cell r="G814" t="str">
            <v>Color</v>
          </cell>
        </row>
        <row r="815">
          <cell r="C815">
            <v>7640004313</v>
          </cell>
          <cell r="D815" t="str">
            <v>EFI AUTO TRAP</v>
          </cell>
          <cell r="E815">
            <v>1</v>
          </cell>
          <cell r="F815">
            <v>4.0016006402999999E-4</v>
          </cell>
          <cell r="G815" t="str">
            <v>Color</v>
          </cell>
        </row>
        <row r="816">
          <cell r="C816">
            <v>7640009478</v>
          </cell>
          <cell r="D816" t="str">
            <v>EFI FIERY SEEQUENCE IMPOSE+COMPOSE SUITE</v>
          </cell>
          <cell r="E816">
            <v>1</v>
          </cell>
          <cell r="F816">
            <v>4.0016006402999999E-4</v>
          </cell>
          <cell r="G816" t="str">
            <v>Color</v>
          </cell>
        </row>
        <row r="817">
          <cell r="C817" t="str">
            <v>A0PD017</v>
          </cell>
          <cell r="D817" t="str">
            <v>LK-104 v3 VIDEO GUIDANCE IOPTION KIT</v>
          </cell>
          <cell r="E817">
            <v>1</v>
          </cell>
          <cell r="F817">
            <v>4.0016006402999999E-4</v>
          </cell>
          <cell r="G817" t="str">
            <v>Color</v>
          </cell>
        </row>
        <row r="818">
          <cell r="C818">
            <v>7640004312</v>
          </cell>
          <cell r="D818" t="str">
            <v>EFI HOT FOLDERS</v>
          </cell>
          <cell r="E818">
            <v>0</v>
          </cell>
          <cell r="F818">
            <v>0</v>
          </cell>
          <cell r="G818" t="str">
            <v>Color</v>
          </cell>
        </row>
        <row r="819">
          <cell r="C819">
            <v>7640009477</v>
          </cell>
          <cell r="D819" t="str">
            <v>EFI FIERY SEEQUENCE COMPOSE</v>
          </cell>
          <cell r="E819">
            <v>0</v>
          </cell>
          <cell r="F819">
            <v>0</v>
          </cell>
          <cell r="G819" t="str">
            <v>Color</v>
          </cell>
        </row>
        <row r="820">
          <cell r="C820">
            <v>7640012657</v>
          </cell>
          <cell r="D820" t="str">
            <v>**EFI FIERY CPS V3.0 UV ES-1000</v>
          </cell>
          <cell r="E820">
            <v>0</v>
          </cell>
          <cell r="F820">
            <v>0</v>
          </cell>
          <cell r="G820" t="str">
            <v>Color</v>
          </cell>
        </row>
        <row r="821">
          <cell r="C821">
            <v>7640016375</v>
          </cell>
          <cell r="D821" t="str">
            <v>BIZHUB SECURE</v>
          </cell>
          <cell r="E821">
            <v>0</v>
          </cell>
          <cell r="F821">
            <v>0</v>
          </cell>
          <cell r="G821" t="str">
            <v>Color</v>
          </cell>
        </row>
        <row r="822">
          <cell r="C822" t="str">
            <v>A4FRWY1</v>
          </cell>
          <cell r="D822" t="str">
            <v>*IC-414 FIERY CONTROLLER</v>
          </cell>
          <cell r="E822">
            <v>0</v>
          </cell>
          <cell r="F822">
            <v>0</v>
          </cell>
          <cell r="G822" t="str">
            <v>Color</v>
          </cell>
        </row>
        <row r="823">
          <cell r="C823" t="str">
            <v>A0P1011</v>
          </cell>
          <cell r="D823" t="str">
            <v>**bizhub C552 Printer/Copier</v>
          </cell>
          <cell r="E823">
            <v>567</v>
          </cell>
          <cell r="F823">
            <v>1</v>
          </cell>
        </row>
        <row r="824">
          <cell r="C824" t="str">
            <v>15LB</v>
          </cell>
          <cell r="D824" t="str">
            <v>FK-502 FAX KIT</v>
          </cell>
          <cell r="E824">
            <v>407</v>
          </cell>
          <cell r="F824">
            <v>0.71781305114638005</v>
          </cell>
        </row>
        <row r="825">
          <cell r="C825" t="str">
            <v>A0YAWY1</v>
          </cell>
          <cell r="D825" t="str">
            <v>MK-720 Fax Connection (PCI)</v>
          </cell>
          <cell r="E825">
            <v>402</v>
          </cell>
          <cell r="F825">
            <v>0.70899470899470995</v>
          </cell>
        </row>
        <row r="826">
          <cell r="C826" t="str">
            <v>A10EW11</v>
          </cell>
          <cell r="D826" t="str">
            <v>PK-517 2/3-HOLE PUNCH KIT FOR FS-527</v>
          </cell>
          <cell r="E826">
            <v>220</v>
          </cell>
          <cell r="F826">
            <v>0.38800705467371999</v>
          </cell>
        </row>
        <row r="827">
          <cell r="C827" t="str">
            <v>A11PWY1</v>
          </cell>
          <cell r="D827" t="str">
            <v>FS-526 100-SHEET FINISHER</v>
          </cell>
          <cell r="E827">
            <v>199</v>
          </cell>
          <cell r="F827">
            <v>0.35097001763668001</v>
          </cell>
        </row>
        <row r="828">
          <cell r="C828" t="str">
            <v>A11TW11</v>
          </cell>
          <cell r="D828" t="str">
            <v>PK-516 2/3-Hole Punch Kit for FS-526</v>
          </cell>
          <cell r="E828">
            <v>156</v>
          </cell>
          <cell r="F828">
            <v>0.27513227513228</v>
          </cell>
        </row>
        <row r="829">
          <cell r="C829" t="str">
            <v>A10DWY1</v>
          </cell>
          <cell r="D829" t="str">
            <v>SD-509 SADDLE KIT</v>
          </cell>
          <cell r="E829">
            <v>87</v>
          </cell>
          <cell r="F829">
            <v>0.15343915343914999</v>
          </cell>
        </row>
        <row r="830">
          <cell r="C830" t="str">
            <v>A11RWY1</v>
          </cell>
          <cell r="D830" t="str">
            <v>SD-508 Saddle Stitcher Kit for FS-526</v>
          </cell>
          <cell r="E830">
            <v>66</v>
          </cell>
          <cell r="F830">
            <v>0.11640211640212</v>
          </cell>
        </row>
        <row r="831">
          <cell r="C831" t="str">
            <v>A0YEWY2</v>
          </cell>
          <cell r="D831" t="str">
            <v>VI-505 VIDEO INTERFACE CABLE</v>
          </cell>
          <cell r="E831">
            <v>65</v>
          </cell>
          <cell r="F831">
            <v>0.11463844797177999</v>
          </cell>
        </row>
        <row r="832">
          <cell r="C832" t="str">
            <v>A127WY2</v>
          </cell>
          <cell r="D832" t="str">
            <v>IC-412 FIERY CONTROLLER</v>
          </cell>
          <cell r="E832">
            <v>64</v>
          </cell>
          <cell r="F832">
            <v>0.11287477954145</v>
          </cell>
        </row>
        <row r="833">
          <cell r="C833">
            <v>7640006869</v>
          </cell>
          <cell r="D833" t="str">
            <v>EXT KEYBRD(CHERRY KEYBD G84-4100LCAUS-2)</v>
          </cell>
          <cell r="E833">
            <v>45</v>
          </cell>
          <cell r="F833">
            <v>7.9365079365079999E-2</v>
          </cell>
        </row>
        <row r="834">
          <cell r="C834" t="str">
            <v>A165WY1</v>
          </cell>
          <cell r="D834" t="str">
            <v>KH-101 EXTERNAL KEYBOARD HOLDER</v>
          </cell>
          <cell r="E834">
            <v>45</v>
          </cell>
          <cell r="F834">
            <v>7.9365079365079999E-2</v>
          </cell>
        </row>
        <row r="835">
          <cell r="C835">
            <v>7640005064</v>
          </cell>
          <cell r="D835" t="str">
            <v>AU-201H HID CARD AUTHENTICATION UNIT</v>
          </cell>
          <cell r="E835">
            <v>38</v>
          </cell>
          <cell r="F835">
            <v>6.7019400352730005E-2</v>
          </cell>
        </row>
        <row r="836">
          <cell r="C836" t="str">
            <v>A10FWY1</v>
          </cell>
          <cell r="D836" t="str">
            <v>JS-603 JOB SEPARATOR TRAY</v>
          </cell>
          <cell r="E836">
            <v>36</v>
          </cell>
          <cell r="F836">
            <v>6.3492063492060005E-2</v>
          </cell>
        </row>
        <row r="837">
          <cell r="C837" t="str">
            <v>A0PD01A</v>
          </cell>
          <cell r="D837" t="str">
            <v>i-Option LK-101 v2</v>
          </cell>
          <cell r="E837">
            <v>35</v>
          </cell>
          <cell r="F837">
            <v>6.1728395061730001E-2</v>
          </cell>
        </row>
        <row r="838">
          <cell r="C838">
            <v>7640005261</v>
          </cell>
          <cell r="D838" t="str">
            <v>HID PROXIMITY CARD 10 PACK</v>
          </cell>
          <cell r="E838">
            <v>31</v>
          </cell>
          <cell r="F838">
            <v>5.4673721340390002E-2</v>
          </cell>
        </row>
        <row r="839">
          <cell r="C839" t="str">
            <v>A0X9WY1</v>
          </cell>
          <cell r="D839" t="str">
            <v>AU-102 Biometric Authentication Unit</v>
          </cell>
          <cell r="E839">
            <v>22</v>
          </cell>
          <cell r="F839">
            <v>3.8800705467370002E-2</v>
          </cell>
        </row>
        <row r="840">
          <cell r="C840" t="str">
            <v>A0YDWY1</v>
          </cell>
          <cell r="D840" t="str">
            <v>*UK-203 i-Option Upgrade Kit (1 GB)</v>
          </cell>
          <cell r="E840">
            <v>16</v>
          </cell>
          <cell r="F840">
            <v>2.821869488536E-2</v>
          </cell>
        </row>
        <row r="841">
          <cell r="C841" t="str">
            <v>A0PD015</v>
          </cell>
          <cell r="D841" t="str">
            <v>LK-105 LICENSE KIT (SEARCHABLE PDF)</v>
          </cell>
          <cell r="E841">
            <v>12</v>
          </cell>
          <cell r="F841">
            <v>2.1164021164020001E-2</v>
          </cell>
        </row>
        <row r="842">
          <cell r="C842" t="str">
            <v>A03N0Y1</v>
          </cell>
          <cell r="D842" t="str">
            <v>*LU-301 LCT (3000 SHEETS)</v>
          </cell>
          <cell r="E842">
            <v>6</v>
          </cell>
          <cell r="F842">
            <v>1.058201058201E-2</v>
          </cell>
        </row>
        <row r="843">
          <cell r="C843" t="str">
            <v>A0PD160200</v>
          </cell>
          <cell r="D843" t="str">
            <v>INFO LINE Palette Stylus Pen</v>
          </cell>
          <cell r="E843">
            <v>6</v>
          </cell>
          <cell r="F843">
            <v>1.058201058201E-2</v>
          </cell>
        </row>
        <row r="844">
          <cell r="C844" t="str">
            <v>A10CWY1</v>
          </cell>
          <cell r="D844" t="str">
            <v>JS-602 Job Separator</v>
          </cell>
          <cell r="E844">
            <v>6</v>
          </cell>
          <cell r="F844">
            <v>1.058201058201E-2</v>
          </cell>
        </row>
        <row r="845">
          <cell r="C845" t="str">
            <v>A1MUWY1</v>
          </cell>
          <cell r="D845" t="str">
            <v>SA-502 SCAN ACCELERATOR KIT</v>
          </cell>
          <cell r="E845">
            <v>6</v>
          </cell>
          <cell r="F845">
            <v>1.058201058201E-2</v>
          </cell>
        </row>
        <row r="846">
          <cell r="C846" t="str">
            <v>A0PD012</v>
          </cell>
          <cell r="D846" t="str">
            <v>3LK-102 LICENSE KIT</v>
          </cell>
          <cell r="E846">
            <v>5</v>
          </cell>
          <cell r="F846">
            <v>8.81834215168E-3</v>
          </cell>
        </row>
        <row r="847">
          <cell r="C847">
            <v>7640004314</v>
          </cell>
          <cell r="D847" t="str">
            <v>**EFI SPECTROPHOTOMETER ES-1000 V.2.0</v>
          </cell>
          <cell r="E847">
            <v>4</v>
          </cell>
          <cell r="F847">
            <v>7.0546737213399999E-3</v>
          </cell>
        </row>
        <row r="848">
          <cell r="C848" t="str">
            <v>A10AWY1</v>
          </cell>
          <cell r="D848" t="str">
            <v>PI-505 Post Inserter</v>
          </cell>
          <cell r="E848">
            <v>4</v>
          </cell>
          <cell r="F848">
            <v>7.0546737213399999E-3</v>
          </cell>
        </row>
        <row r="849">
          <cell r="C849" t="str">
            <v>A0W4WY1</v>
          </cell>
          <cell r="D849" t="str">
            <v>*WT-506 Working Table</v>
          </cell>
          <cell r="E849">
            <v>3</v>
          </cell>
          <cell r="F849">
            <v>5.2910052910099996E-3</v>
          </cell>
        </row>
        <row r="850">
          <cell r="C850" t="str">
            <v>A0TJWY2</v>
          </cell>
          <cell r="D850" t="str">
            <v>*LU-204 Large Capacity Unit</v>
          </cell>
          <cell r="E850">
            <v>1</v>
          </cell>
          <cell r="F850">
            <v>1.7636684303400001E-3</v>
          </cell>
        </row>
        <row r="851">
          <cell r="C851" t="str">
            <v>A0YCWY1</v>
          </cell>
          <cell r="D851" t="str">
            <v>*EK605 LOCALUSB INTERFACE KT W/BLUETOOTH</v>
          </cell>
          <cell r="E851">
            <v>1</v>
          </cell>
          <cell r="F851">
            <v>1.7636684303400001E-3</v>
          </cell>
        </row>
        <row r="852">
          <cell r="C852" t="str">
            <v>15LBX005</v>
          </cell>
          <cell r="D852" t="str">
            <v>C652/C552 FAX KIT [FK-502] + [MK-720]</v>
          </cell>
          <cell r="E852">
            <v>0</v>
          </cell>
          <cell r="F852">
            <v>0</v>
          </cell>
        </row>
        <row r="853">
          <cell r="C853">
            <v>4614506</v>
          </cell>
          <cell r="D853" t="str">
            <v>SP-501 STAMP UNIT</v>
          </cell>
          <cell r="E853">
            <v>0</v>
          </cell>
          <cell r="F853">
            <v>0</v>
          </cell>
        </row>
        <row r="854">
          <cell r="C854">
            <v>4614511</v>
          </cell>
          <cell r="D854" t="str">
            <v>SPARE TX MARKER STAMP 2</v>
          </cell>
          <cell r="E854">
            <v>0</v>
          </cell>
          <cell r="F854">
            <v>0</v>
          </cell>
        </row>
        <row r="855">
          <cell r="C855">
            <v>4623472</v>
          </cell>
          <cell r="D855" t="str">
            <v>*KEY COUNTER ATTACHMENT KIT</v>
          </cell>
          <cell r="E855">
            <v>0</v>
          </cell>
          <cell r="F855">
            <v>0</v>
          </cell>
        </row>
        <row r="856">
          <cell r="C856">
            <v>7640004311</v>
          </cell>
          <cell r="D856" t="str">
            <v>EFI SECURE ERASE</v>
          </cell>
          <cell r="E856">
            <v>0</v>
          </cell>
          <cell r="F856">
            <v>0</v>
          </cell>
        </row>
        <row r="857">
          <cell r="C857">
            <v>7640004312</v>
          </cell>
          <cell r="D857" t="str">
            <v>EFI HOT FOLDERS</v>
          </cell>
          <cell r="E857">
            <v>0</v>
          </cell>
          <cell r="F857">
            <v>0</v>
          </cell>
        </row>
        <row r="858">
          <cell r="C858">
            <v>7640004313</v>
          </cell>
          <cell r="D858" t="str">
            <v>EFI AUTO TRAP</v>
          </cell>
          <cell r="E858">
            <v>0</v>
          </cell>
          <cell r="F858">
            <v>0</v>
          </cell>
        </row>
        <row r="859">
          <cell r="C859">
            <v>7640008394</v>
          </cell>
          <cell r="D859" t="str">
            <v>AU-202H ICLASS CARD READER</v>
          </cell>
          <cell r="E859">
            <v>0</v>
          </cell>
          <cell r="F859">
            <v>0</v>
          </cell>
        </row>
        <row r="860">
          <cell r="C860">
            <v>7640009476</v>
          </cell>
          <cell r="D860" t="str">
            <v>EFI FIERY SEEQUENCE IMPOSE</v>
          </cell>
          <cell r="E860">
            <v>0</v>
          </cell>
          <cell r="F860">
            <v>0</v>
          </cell>
        </row>
        <row r="861">
          <cell r="C861">
            <v>7640009477</v>
          </cell>
          <cell r="D861" t="str">
            <v>EFI FIERY SEEQUENCE COMPOSE</v>
          </cell>
          <cell r="E861">
            <v>0</v>
          </cell>
          <cell r="F861">
            <v>0</v>
          </cell>
        </row>
        <row r="862">
          <cell r="C862">
            <v>7640009478</v>
          </cell>
          <cell r="D862" t="str">
            <v>EFI FIERY SEEQUENCE IMPOSE+COMPOSE SUITE</v>
          </cell>
          <cell r="E862">
            <v>0</v>
          </cell>
          <cell r="F862">
            <v>0</v>
          </cell>
        </row>
        <row r="863">
          <cell r="C863">
            <v>7640012657</v>
          </cell>
          <cell r="D863" t="str">
            <v>**EFI FIERY CPS V3.0 UV ES-1000</v>
          </cell>
          <cell r="E863">
            <v>0</v>
          </cell>
          <cell r="F863">
            <v>0</v>
          </cell>
        </row>
        <row r="864">
          <cell r="C864">
            <v>7640012669</v>
          </cell>
          <cell r="D864" t="str">
            <v>**DELL 2330DN PRINTER OEM TONER 2K</v>
          </cell>
          <cell r="E864">
            <v>0</v>
          </cell>
          <cell r="F864">
            <v>0</v>
          </cell>
        </row>
        <row r="865">
          <cell r="C865" t="str">
            <v>A092WW0</v>
          </cell>
          <cell r="D865" t="str">
            <v>*OT-503 OUTPUT TRAY KIT</v>
          </cell>
          <cell r="E865">
            <v>0</v>
          </cell>
          <cell r="F865">
            <v>0</v>
          </cell>
        </row>
        <row r="866">
          <cell r="C866" t="str">
            <v>A0HRWY1</v>
          </cell>
          <cell r="D866" t="str">
            <v>*FS-527 FINISHER</v>
          </cell>
          <cell r="E866">
            <v>0</v>
          </cell>
          <cell r="F866">
            <v>0</v>
          </cell>
        </row>
        <row r="867">
          <cell r="C867" t="str">
            <v>A0Y9WY1</v>
          </cell>
          <cell r="D867" t="str">
            <v>SC-507 Security Kit (Copy Guard Protecti</v>
          </cell>
          <cell r="E867">
            <v>0</v>
          </cell>
          <cell r="F867">
            <v>0</v>
          </cell>
        </row>
        <row r="868">
          <cell r="C868" t="str">
            <v>A0YCWY2</v>
          </cell>
          <cell r="D868" t="str">
            <v>*EK-604 LOCAL USB INTERFACE KIT</v>
          </cell>
          <cell r="E868">
            <v>0</v>
          </cell>
          <cell r="F868">
            <v>0</v>
          </cell>
        </row>
        <row r="869">
          <cell r="C869" t="str">
            <v>A109W11</v>
          </cell>
          <cell r="D869" t="str">
            <v>*ZU-606 Z-Fold Unit</v>
          </cell>
          <cell r="E869">
            <v>0</v>
          </cell>
          <cell r="F869">
            <v>0</v>
          </cell>
        </row>
        <row r="870">
          <cell r="C870" t="str">
            <v>A1DN011</v>
          </cell>
          <cell r="D870" t="str">
            <v>**BIZHUB C552DS PRINTER/COPIER</v>
          </cell>
          <cell r="E870">
            <v>182</v>
          </cell>
          <cell r="F870">
            <v>1</v>
          </cell>
        </row>
        <row r="871">
          <cell r="C871" t="str">
            <v>15LB</v>
          </cell>
          <cell r="D871" t="str">
            <v>FK-502 FAX KIT</v>
          </cell>
          <cell r="E871">
            <v>114</v>
          </cell>
          <cell r="F871">
            <v>0.62637362637363003</v>
          </cell>
        </row>
        <row r="872">
          <cell r="C872" t="str">
            <v>A0YAWY1</v>
          </cell>
          <cell r="D872" t="str">
            <v>MK-720 Fax Connection (PCI)</v>
          </cell>
          <cell r="E872">
            <v>113</v>
          </cell>
          <cell r="F872">
            <v>0.62087912087912001</v>
          </cell>
        </row>
        <row r="873">
          <cell r="C873" t="str">
            <v>A10EW11</v>
          </cell>
          <cell r="D873" t="str">
            <v>PK-517 2/3-HOLE PUNCH KIT FOR FS-527</v>
          </cell>
          <cell r="E873">
            <v>86</v>
          </cell>
          <cell r="F873">
            <v>0.47252747252747002</v>
          </cell>
        </row>
        <row r="874">
          <cell r="C874" t="str">
            <v>A11PWY1</v>
          </cell>
          <cell r="D874" t="str">
            <v>FS-526 100-SHEET FINISHER</v>
          </cell>
          <cell r="E874">
            <v>43</v>
          </cell>
          <cell r="F874">
            <v>0.23626373626374</v>
          </cell>
        </row>
        <row r="875">
          <cell r="C875" t="str">
            <v>A11TW11</v>
          </cell>
          <cell r="D875" t="str">
            <v>PK-516 2/3-Hole Punch Kit for FS-526</v>
          </cell>
          <cell r="E875">
            <v>33</v>
          </cell>
          <cell r="F875">
            <v>0.18131868131868001</v>
          </cell>
        </row>
        <row r="876">
          <cell r="C876">
            <v>7640006869</v>
          </cell>
          <cell r="D876" t="str">
            <v>EXT KEYBRD(CHERRY KEYBD G84-4100LCAUS-2)</v>
          </cell>
          <cell r="E876">
            <v>22</v>
          </cell>
          <cell r="F876">
            <v>0.12087912087912001</v>
          </cell>
        </row>
        <row r="877">
          <cell r="C877" t="str">
            <v>A10DWY1</v>
          </cell>
          <cell r="D877" t="str">
            <v>SD-509 SADDLE KIT</v>
          </cell>
          <cell r="E877">
            <v>22</v>
          </cell>
          <cell r="F877">
            <v>0.12087912087912001</v>
          </cell>
        </row>
        <row r="878">
          <cell r="C878" t="str">
            <v>A10FWY1</v>
          </cell>
          <cell r="D878" t="str">
            <v>JS-603 JOB SEPARATOR TRAY</v>
          </cell>
          <cell r="E878">
            <v>22</v>
          </cell>
          <cell r="F878">
            <v>0.12087912087912001</v>
          </cell>
        </row>
        <row r="879">
          <cell r="C879" t="str">
            <v>A165WY1</v>
          </cell>
          <cell r="D879" t="str">
            <v>KH-101 EXTERNAL KEYBOARD HOLDER</v>
          </cell>
          <cell r="E879">
            <v>22</v>
          </cell>
          <cell r="F879">
            <v>0.12087912087912001</v>
          </cell>
        </row>
        <row r="880">
          <cell r="C880" t="str">
            <v>A11RWY1</v>
          </cell>
          <cell r="D880" t="str">
            <v>SD-508 Saddle Stitcher Kit for FS-526</v>
          </cell>
          <cell r="E880">
            <v>20</v>
          </cell>
          <cell r="F880">
            <v>0.10989010989011</v>
          </cell>
        </row>
        <row r="881">
          <cell r="C881" t="str">
            <v>A0YDWY1</v>
          </cell>
          <cell r="D881" t="str">
            <v>*UK-203 i-Option Upgrade Kit (1 GB)</v>
          </cell>
          <cell r="E881">
            <v>9</v>
          </cell>
          <cell r="F881">
            <v>4.9450549450550003E-2</v>
          </cell>
        </row>
        <row r="882">
          <cell r="C882" t="str">
            <v>A0YEWY2</v>
          </cell>
          <cell r="D882" t="str">
            <v>VI-505 VIDEO INTERFACE CABLE</v>
          </cell>
          <cell r="E882">
            <v>8</v>
          </cell>
          <cell r="F882">
            <v>4.3956043956039997E-2</v>
          </cell>
        </row>
        <row r="883">
          <cell r="C883">
            <v>7640005064</v>
          </cell>
          <cell r="D883" t="str">
            <v>AU-201H HID CARD AUTHENTICATION UNIT</v>
          </cell>
          <cell r="E883">
            <v>7</v>
          </cell>
          <cell r="F883">
            <v>3.8461538461539997E-2</v>
          </cell>
        </row>
        <row r="884">
          <cell r="C884" t="str">
            <v>A0PD012</v>
          </cell>
          <cell r="D884" t="str">
            <v>3LK-102 LICENSE KIT</v>
          </cell>
          <cell r="E884">
            <v>7</v>
          </cell>
          <cell r="F884">
            <v>3.8461538461539997E-2</v>
          </cell>
        </row>
        <row r="885">
          <cell r="C885" t="str">
            <v>A1MUWY1</v>
          </cell>
          <cell r="D885" t="str">
            <v>SA-502 SCAN ACCELERATOR KIT</v>
          </cell>
          <cell r="E885">
            <v>5</v>
          </cell>
          <cell r="F885">
            <v>2.7472527472530001E-2</v>
          </cell>
        </row>
        <row r="886">
          <cell r="C886" t="str">
            <v>A10AWY1</v>
          </cell>
          <cell r="D886" t="str">
            <v>PI-505 Post Inserter</v>
          </cell>
          <cell r="E886">
            <v>4</v>
          </cell>
          <cell r="F886">
            <v>2.1978021978019999E-2</v>
          </cell>
        </row>
        <row r="887">
          <cell r="C887">
            <v>7640004314</v>
          </cell>
          <cell r="D887" t="str">
            <v>**EFI SPECTROPHOTOMETER ES-1000 V.2.0</v>
          </cell>
          <cell r="E887">
            <v>3</v>
          </cell>
          <cell r="F887">
            <v>1.6483516483519998E-2</v>
          </cell>
        </row>
        <row r="888">
          <cell r="C888">
            <v>7640008394</v>
          </cell>
          <cell r="D888" t="str">
            <v>AU-202H ICLASS CARD READER</v>
          </cell>
          <cell r="E888">
            <v>3</v>
          </cell>
          <cell r="F888">
            <v>1.6483516483519998E-2</v>
          </cell>
        </row>
        <row r="889">
          <cell r="C889" t="str">
            <v>A0Y9WY1</v>
          </cell>
          <cell r="D889" t="str">
            <v>SC-507 Security Kit (Copy Guard Protecti</v>
          </cell>
          <cell r="E889">
            <v>3</v>
          </cell>
          <cell r="F889">
            <v>1.6483516483519998E-2</v>
          </cell>
        </row>
        <row r="890">
          <cell r="C890" t="str">
            <v>A10CWY1</v>
          </cell>
          <cell r="D890" t="str">
            <v>JS-602 Job Separator</v>
          </cell>
          <cell r="E890">
            <v>3</v>
          </cell>
          <cell r="F890">
            <v>1.6483516483519998E-2</v>
          </cell>
        </row>
        <row r="891">
          <cell r="C891" t="str">
            <v>A0PD015</v>
          </cell>
          <cell r="D891" t="str">
            <v>LK-105 LICENSE KIT (SEARCHABLE PDF)</v>
          </cell>
          <cell r="E891">
            <v>2</v>
          </cell>
          <cell r="F891">
            <v>1.0989010989009999E-2</v>
          </cell>
        </row>
        <row r="892">
          <cell r="C892" t="str">
            <v>A0TJWY2</v>
          </cell>
          <cell r="D892" t="str">
            <v>*LU-204 Large Capacity Unit</v>
          </cell>
          <cell r="E892">
            <v>2</v>
          </cell>
          <cell r="F892">
            <v>1.0989010989009999E-2</v>
          </cell>
        </row>
        <row r="893">
          <cell r="C893" t="str">
            <v>A0PD01A</v>
          </cell>
          <cell r="D893" t="str">
            <v>i-Option LK-101 v2</v>
          </cell>
          <cell r="E893">
            <v>1</v>
          </cell>
          <cell r="F893">
            <v>5.49450549451E-3</v>
          </cell>
        </row>
        <row r="894">
          <cell r="C894" t="str">
            <v>A0PD160200</v>
          </cell>
          <cell r="D894" t="str">
            <v>INFO LINE Palette Stylus Pen</v>
          </cell>
          <cell r="E894">
            <v>1</v>
          </cell>
          <cell r="F894">
            <v>5.49450549451E-3</v>
          </cell>
        </row>
        <row r="895">
          <cell r="C895" t="str">
            <v>A0W4WY1</v>
          </cell>
          <cell r="D895" t="str">
            <v>*WT-506 Working Table</v>
          </cell>
          <cell r="E895">
            <v>1</v>
          </cell>
          <cell r="F895">
            <v>5.49450549451E-3</v>
          </cell>
        </row>
        <row r="896">
          <cell r="C896" t="str">
            <v>15LBX005</v>
          </cell>
          <cell r="D896" t="str">
            <v>C652/C552 FAX KIT [FK-502] + [MK-720]</v>
          </cell>
          <cell r="E896">
            <v>0</v>
          </cell>
          <cell r="F896">
            <v>0</v>
          </cell>
        </row>
        <row r="897">
          <cell r="C897">
            <v>4614506</v>
          </cell>
          <cell r="D897" t="str">
            <v>SP-501 STAMP UNIT</v>
          </cell>
          <cell r="E897">
            <v>0</v>
          </cell>
          <cell r="F897">
            <v>0</v>
          </cell>
        </row>
        <row r="898">
          <cell r="C898">
            <v>4614511</v>
          </cell>
          <cell r="D898" t="str">
            <v>SPARE TX MARKER STAMP 2</v>
          </cell>
          <cell r="E898">
            <v>0</v>
          </cell>
          <cell r="F898">
            <v>0</v>
          </cell>
        </row>
        <row r="899">
          <cell r="C899">
            <v>4623472</v>
          </cell>
          <cell r="D899" t="str">
            <v>*KEY COUNTER ATTACHMENT KIT</v>
          </cell>
          <cell r="E899">
            <v>0</v>
          </cell>
          <cell r="F899">
            <v>0</v>
          </cell>
        </row>
        <row r="900">
          <cell r="C900">
            <v>7640004311</v>
          </cell>
          <cell r="D900" t="str">
            <v>EFI SECURE ERASE</v>
          </cell>
          <cell r="E900">
            <v>0</v>
          </cell>
          <cell r="F900">
            <v>0</v>
          </cell>
        </row>
        <row r="901">
          <cell r="C901">
            <v>7640004312</v>
          </cell>
          <cell r="D901" t="str">
            <v>EFI HOT FOLDERS</v>
          </cell>
          <cell r="E901">
            <v>0</v>
          </cell>
          <cell r="F901">
            <v>0</v>
          </cell>
        </row>
        <row r="902">
          <cell r="C902">
            <v>7640004313</v>
          </cell>
          <cell r="D902" t="str">
            <v>EFI AUTO TRAP</v>
          </cell>
          <cell r="E902">
            <v>0</v>
          </cell>
          <cell r="F902">
            <v>0</v>
          </cell>
        </row>
        <row r="903">
          <cell r="C903">
            <v>7640005261</v>
          </cell>
          <cell r="D903" t="str">
            <v>HID PROXIMITY CARD 10 PACK</v>
          </cell>
          <cell r="E903">
            <v>0</v>
          </cell>
          <cell r="F903">
            <v>0</v>
          </cell>
        </row>
        <row r="904">
          <cell r="C904">
            <v>7640009476</v>
          </cell>
          <cell r="D904" t="str">
            <v>EFI FIERY SEEQUENCE IMPOSE</v>
          </cell>
          <cell r="E904">
            <v>0</v>
          </cell>
          <cell r="F904">
            <v>0</v>
          </cell>
        </row>
        <row r="905">
          <cell r="C905">
            <v>7640009477</v>
          </cell>
          <cell r="D905" t="str">
            <v>EFI FIERY SEEQUENCE COMPOSE</v>
          </cell>
          <cell r="E905">
            <v>0</v>
          </cell>
          <cell r="F905">
            <v>0</v>
          </cell>
        </row>
        <row r="906">
          <cell r="C906">
            <v>7640009478</v>
          </cell>
          <cell r="D906" t="str">
            <v>EFI FIERY SEEQUENCE IMPOSE+COMPOSE SUITE</v>
          </cell>
          <cell r="E906">
            <v>0</v>
          </cell>
          <cell r="F906">
            <v>0</v>
          </cell>
        </row>
        <row r="907">
          <cell r="C907">
            <v>7640012657</v>
          </cell>
          <cell r="D907" t="str">
            <v>**EFI FIERY CPS V3.0 UV ES-1000</v>
          </cell>
          <cell r="E907">
            <v>0</v>
          </cell>
          <cell r="F907">
            <v>0</v>
          </cell>
        </row>
        <row r="908">
          <cell r="C908">
            <v>7640012669</v>
          </cell>
          <cell r="D908" t="str">
            <v>**DELL 2330DN PRINTER OEM TONER 2K</v>
          </cell>
          <cell r="E908">
            <v>0</v>
          </cell>
          <cell r="F908">
            <v>0</v>
          </cell>
        </row>
        <row r="909">
          <cell r="C909" t="str">
            <v>A03N0Y1</v>
          </cell>
          <cell r="D909" t="str">
            <v>*LU-301 LCT (3000 SHEETS)</v>
          </cell>
          <cell r="E909">
            <v>0</v>
          </cell>
          <cell r="F909">
            <v>0</v>
          </cell>
        </row>
        <row r="910">
          <cell r="C910" t="str">
            <v>A092WW0</v>
          </cell>
          <cell r="D910" t="str">
            <v>*OT-503 OUTPUT TRAY KIT</v>
          </cell>
          <cell r="E910">
            <v>0</v>
          </cell>
          <cell r="F910">
            <v>0</v>
          </cell>
        </row>
        <row r="911">
          <cell r="C911" t="str">
            <v>A0HRWY1</v>
          </cell>
          <cell r="D911" t="str">
            <v>*FS-527 FINISHER</v>
          </cell>
          <cell r="E911">
            <v>0</v>
          </cell>
          <cell r="F911">
            <v>0</v>
          </cell>
        </row>
        <row r="912">
          <cell r="C912" t="str">
            <v>A0X9WY1</v>
          </cell>
          <cell r="D912" t="str">
            <v>AU-102 Biometric Authentication Unit</v>
          </cell>
          <cell r="E912">
            <v>0</v>
          </cell>
          <cell r="F912">
            <v>0</v>
          </cell>
        </row>
        <row r="913">
          <cell r="C913" t="str">
            <v>A0YCWY1</v>
          </cell>
          <cell r="D913" t="str">
            <v>*EK605 LOCALUSB INTERFACE KT W/BLUETOOTH</v>
          </cell>
          <cell r="E913">
            <v>0</v>
          </cell>
          <cell r="F913">
            <v>0</v>
          </cell>
        </row>
        <row r="914">
          <cell r="C914" t="str">
            <v>A0YCWY2</v>
          </cell>
          <cell r="D914" t="str">
            <v>*EK-604 LOCAL USB INTERFACE KIT</v>
          </cell>
          <cell r="E914">
            <v>0</v>
          </cell>
          <cell r="F914">
            <v>0</v>
          </cell>
        </row>
        <row r="915">
          <cell r="C915" t="str">
            <v>A109W11</v>
          </cell>
          <cell r="D915" t="str">
            <v>*ZU-606 Z-Fold Unit</v>
          </cell>
          <cell r="E915">
            <v>0</v>
          </cell>
          <cell r="F915">
            <v>0</v>
          </cell>
        </row>
        <row r="916">
          <cell r="C916" t="str">
            <v>A127WY1</v>
          </cell>
          <cell r="D916" t="str">
            <v>*IC-412 Fiery Controller</v>
          </cell>
          <cell r="E916">
            <v>0</v>
          </cell>
          <cell r="F916">
            <v>0</v>
          </cell>
        </row>
        <row r="917">
          <cell r="C917" t="str">
            <v>A2XK011</v>
          </cell>
          <cell r="D917" t="str">
            <v>BIZHUB C554 PRINTER/COPIER</v>
          </cell>
          <cell r="E917">
            <v>890</v>
          </cell>
          <cell r="F917">
            <v>1</v>
          </cell>
        </row>
        <row r="918">
          <cell r="C918">
            <v>7640014724</v>
          </cell>
          <cell r="D918" t="str">
            <v>INNOVOLT POWER MANAGER 20AMP</v>
          </cell>
          <cell r="E918">
            <v>637</v>
          </cell>
          <cell r="F918">
            <v>0.71573033707864997</v>
          </cell>
        </row>
        <row r="919">
          <cell r="C919" t="str">
            <v>A3EPWY1</v>
          </cell>
          <cell r="D919" t="str">
            <v>FS-534 50-SHEET STAPLE FINISHER</v>
          </cell>
          <cell r="E919">
            <v>622</v>
          </cell>
          <cell r="F919">
            <v>0.69887640449438004</v>
          </cell>
        </row>
        <row r="920">
          <cell r="C920" t="str">
            <v>A2XM013</v>
          </cell>
          <cell r="D920" t="str">
            <v>PC-410 PAPER FEED CABINET</v>
          </cell>
          <cell r="E920">
            <v>592</v>
          </cell>
          <cell r="F920">
            <v>0.66516853932583997</v>
          </cell>
        </row>
        <row r="921">
          <cell r="C921" t="str">
            <v>A4MF011</v>
          </cell>
          <cell r="D921" t="str">
            <v>FK-511 FAX KIT</v>
          </cell>
          <cell r="E921">
            <v>566</v>
          </cell>
          <cell r="F921">
            <v>0.63595505617977999</v>
          </cell>
        </row>
        <row r="922">
          <cell r="C922" t="str">
            <v>A3ETW11</v>
          </cell>
          <cell r="D922" t="str">
            <v>PK-520 PUNCH KIT</v>
          </cell>
          <cell r="E922">
            <v>379</v>
          </cell>
          <cell r="F922">
            <v>0.42584269662920998</v>
          </cell>
        </row>
        <row r="923">
          <cell r="C923" t="str">
            <v>A2XMWY2</v>
          </cell>
          <cell r="D923" t="str">
            <v>PC-210 PAPER FEED CABINET</v>
          </cell>
          <cell r="E923">
            <v>243</v>
          </cell>
          <cell r="F923">
            <v>0.27303370786517001</v>
          </cell>
        </row>
        <row r="924">
          <cell r="C924" t="str">
            <v>A0W4WY2</v>
          </cell>
          <cell r="D924" t="str">
            <v>WT-506 WORKING TABLE</v>
          </cell>
          <cell r="E924">
            <v>208</v>
          </cell>
          <cell r="F924">
            <v>0.23370786516854</v>
          </cell>
        </row>
        <row r="925">
          <cell r="C925" t="str">
            <v>A2Y1WY1</v>
          </cell>
          <cell r="D925" t="str">
            <v>FS-535 100-SHEET STAPLING FINISHER</v>
          </cell>
          <cell r="E925">
            <v>189</v>
          </cell>
          <cell r="F925">
            <v>0.2123595505618</v>
          </cell>
        </row>
        <row r="926">
          <cell r="C926" t="str">
            <v>A3ERWY1</v>
          </cell>
          <cell r="D926" t="str">
            <v>SD-511 SADDLE STITCH KIT</v>
          </cell>
          <cell r="E926">
            <v>150</v>
          </cell>
          <cell r="F926">
            <v>0.16853932584270001</v>
          </cell>
        </row>
        <row r="927">
          <cell r="C927" t="str">
            <v>A2YRW11</v>
          </cell>
          <cell r="D927" t="str">
            <v>PK-521 2/3-HOLE PUNCH KIT</v>
          </cell>
          <cell r="E927">
            <v>131</v>
          </cell>
          <cell r="F927">
            <v>0.14719101123596001</v>
          </cell>
        </row>
        <row r="928">
          <cell r="C928" t="str">
            <v>A4MHWY1</v>
          </cell>
          <cell r="D928" t="str">
            <v>*UK-204 MEMORY UPGRADE KIT</v>
          </cell>
          <cell r="E928">
            <v>101</v>
          </cell>
          <cell r="F928">
            <v>0.11348314606741999</v>
          </cell>
        </row>
        <row r="929">
          <cell r="C929">
            <v>7640006869</v>
          </cell>
          <cell r="D929" t="str">
            <v>EXT KEYBRD(CHERRY KEYBD G84-4100LCAUS-2)</v>
          </cell>
          <cell r="E929">
            <v>87</v>
          </cell>
          <cell r="F929">
            <v>9.7752808988760001E-2</v>
          </cell>
        </row>
        <row r="930">
          <cell r="C930" t="str">
            <v>A4NRWY1</v>
          </cell>
          <cell r="D930" t="str">
            <v>KH-102 KEYBOARD HOLDER</v>
          </cell>
          <cell r="E930">
            <v>82</v>
          </cell>
          <cell r="F930">
            <v>9.2134831460670003E-2</v>
          </cell>
        </row>
        <row r="931">
          <cell r="C931" t="str">
            <v>A0PD01H</v>
          </cell>
          <cell r="D931" t="str">
            <v>LK-101 v3 WEB BROWSER/IMAGE PNL IOPTN KT</v>
          </cell>
          <cell r="E931">
            <v>75</v>
          </cell>
          <cell r="F931">
            <v>8.4269662921350005E-2</v>
          </cell>
        </row>
        <row r="932">
          <cell r="C932">
            <v>7640005064</v>
          </cell>
          <cell r="D932" t="str">
            <v>AU-201H HID CARD AUTHENTICATION UNIT</v>
          </cell>
          <cell r="E932">
            <v>64</v>
          </cell>
          <cell r="F932">
            <v>7.1910112359549999E-2</v>
          </cell>
        </row>
        <row r="933">
          <cell r="C933" t="str">
            <v>A2Y2WY1</v>
          </cell>
          <cell r="D933" t="str">
            <v>SD-512 SADDLE STITCHER</v>
          </cell>
          <cell r="E933">
            <v>62</v>
          </cell>
          <cell r="F933">
            <v>6.9662921348309995E-2</v>
          </cell>
        </row>
        <row r="934">
          <cell r="C934" t="str">
            <v>A4MJWY1</v>
          </cell>
          <cell r="D934" t="str">
            <v>EK-606 USB HUB KIT</v>
          </cell>
          <cell r="E934">
            <v>60</v>
          </cell>
          <cell r="F934">
            <v>6.7415730337079996E-2</v>
          </cell>
        </row>
        <row r="935">
          <cell r="C935" t="str">
            <v>A2YUWY1</v>
          </cell>
          <cell r="D935" t="str">
            <v>FS-533 INNER STAPLE FINISHER</v>
          </cell>
          <cell r="E935">
            <v>48</v>
          </cell>
          <cell r="F935">
            <v>5.3932584269660001E-2</v>
          </cell>
        </row>
        <row r="936">
          <cell r="C936" t="str">
            <v>A4FRWY2</v>
          </cell>
          <cell r="D936" t="str">
            <v>IC-414 v 1.1 FIERY CONTROLLER</v>
          </cell>
          <cell r="E936">
            <v>44</v>
          </cell>
          <cell r="F936">
            <v>4.9438202247189998E-2</v>
          </cell>
        </row>
        <row r="937">
          <cell r="C937" t="str">
            <v>A4MGWY1</v>
          </cell>
          <cell r="D937" t="str">
            <v>VI-506 VIDEO INTERFACE FOR IC-414</v>
          </cell>
          <cell r="E937">
            <v>40</v>
          </cell>
          <cell r="F937">
            <v>4.4943820224720002E-2</v>
          </cell>
        </row>
        <row r="938">
          <cell r="C938" t="str">
            <v>A03NWY2</v>
          </cell>
          <cell r="D938" t="str">
            <v>LU-301 LARGE CAPACITY UNIT</v>
          </cell>
          <cell r="E938">
            <v>39</v>
          </cell>
          <cell r="F938">
            <v>4.38202247191E-2</v>
          </cell>
        </row>
        <row r="939">
          <cell r="C939">
            <v>7640013468</v>
          </cell>
          <cell r="D939" t="str">
            <v>AU-204H MagStripe card reader</v>
          </cell>
          <cell r="E939">
            <v>37</v>
          </cell>
          <cell r="F939">
            <v>4.1573033707870001E-2</v>
          </cell>
        </row>
        <row r="940">
          <cell r="C940">
            <v>7640017610</v>
          </cell>
          <cell r="D940" t="str">
            <v>DK-510 COPY DESK</v>
          </cell>
          <cell r="E940">
            <v>37</v>
          </cell>
          <cell r="F940">
            <v>4.1573033707870001E-2</v>
          </cell>
        </row>
        <row r="941">
          <cell r="C941">
            <v>7640008394</v>
          </cell>
          <cell r="D941" t="str">
            <v>AU-202H ICLASS CARD READER</v>
          </cell>
          <cell r="E941">
            <v>26</v>
          </cell>
          <cell r="F941">
            <v>2.9213483146069998E-2</v>
          </cell>
        </row>
        <row r="942">
          <cell r="C942" t="str">
            <v>A4MDWY1</v>
          </cell>
          <cell r="D942" t="str">
            <v>OT-506 OUTPUT TRAY</v>
          </cell>
          <cell r="E942">
            <v>26</v>
          </cell>
          <cell r="F942">
            <v>2.9213483146069998E-2</v>
          </cell>
        </row>
        <row r="943">
          <cell r="C943" t="str">
            <v>A3EUW11</v>
          </cell>
          <cell r="D943" t="str">
            <v>PK-519 PUNCH KIT</v>
          </cell>
          <cell r="E943">
            <v>23</v>
          </cell>
          <cell r="F943">
            <v>2.5842696629209998E-2</v>
          </cell>
        </row>
        <row r="944">
          <cell r="C944" t="str">
            <v>A4NMWY1</v>
          </cell>
          <cell r="D944" t="str">
            <v>MK-735 IC CARD MOUNT KIT</v>
          </cell>
          <cell r="E944">
            <v>23</v>
          </cell>
          <cell r="F944">
            <v>2.5842696629209998E-2</v>
          </cell>
        </row>
        <row r="945">
          <cell r="C945">
            <v>7640013463</v>
          </cell>
          <cell r="D945" t="str">
            <v>CONVENIENCE STAPLER CS-1</v>
          </cell>
          <cell r="E945">
            <v>19</v>
          </cell>
          <cell r="F945">
            <v>2.1348314606739999E-2</v>
          </cell>
        </row>
        <row r="946">
          <cell r="C946" t="str">
            <v>A0PD016</v>
          </cell>
          <cell r="D946" t="str">
            <v>LK-102 v3 PDF ENCRYPTION IOPTION KIT</v>
          </cell>
          <cell r="E946">
            <v>19</v>
          </cell>
          <cell r="F946">
            <v>2.1348314606739999E-2</v>
          </cell>
        </row>
        <row r="947">
          <cell r="C947" t="str">
            <v>A10CWY1</v>
          </cell>
          <cell r="D947" t="str">
            <v>JS-602 Job Separator</v>
          </cell>
          <cell r="E947">
            <v>18</v>
          </cell>
          <cell r="F947">
            <v>2.022471910112E-2</v>
          </cell>
        </row>
        <row r="948">
          <cell r="C948" t="str">
            <v>A0PD018</v>
          </cell>
          <cell r="D948" t="str">
            <v>LK-105 v3 SEARCHABLE PDF IOPTION KIT</v>
          </cell>
          <cell r="E948">
            <v>17</v>
          </cell>
          <cell r="F948">
            <v>1.910112359551E-2</v>
          </cell>
        </row>
        <row r="949">
          <cell r="C949" t="str">
            <v>A0TJWY4</v>
          </cell>
          <cell r="D949" t="str">
            <v>LU-204 LARGE CAPACITY UNIT</v>
          </cell>
          <cell r="E949">
            <v>17</v>
          </cell>
          <cell r="F949">
            <v>1.910112359551E-2</v>
          </cell>
        </row>
        <row r="950">
          <cell r="C950" t="str">
            <v>A2XMWY1</v>
          </cell>
          <cell r="D950" t="str">
            <v>PC-110 PAPER FEED CABINET</v>
          </cell>
          <cell r="E950">
            <v>17</v>
          </cell>
          <cell r="F950">
            <v>1.910112359551E-2</v>
          </cell>
        </row>
        <row r="951">
          <cell r="C951" t="str">
            <v>A4MKWY1</v>
          </cell>
          <cell r="D951" t="str">
            <v>EK-607 USB HUB KIT</v>
          </cell>
          <cell r="E951">
            <v>17</v>
          </cell>
          <cell r="F951">
            <v>1.910112359551E-2</v>
          </cell>
        </row>
        <row r="952">
          <cell r="C952" t="str">
            <v>A109W12</v>
          </cell>
          <cell r="D952" t="str">
            <v>ZU-606 Z-FOLD UNIT</v>
          </cell>
          <cell r="E952">
            <v>14</v>
          </cell>
          <cell r="F952">
            <v>1.573033707865E-2</v>
          </cell>
        </row>
        <row r="953">
          <cell r="C953" t="str">
            <v>A2YVWY1</v>
          </cell>
          <cell r="D953" t="str">
            <v>JS-506 JOB SEPARATOR</v>
          </cell>
          <cell r="E953">
            <v>9</v>
          </cell>
          <cell r="F953">
            <v>1.011235955056E-2</v>
          </cell>
        </row>
        <row r="954">
          <cell r="C954">
            <v>7640004314</v>
          </cell>
          <cell r="D954" t="str">
            <v>**EFI SPECTROPHOTOMETER ES-1000 V.2.0</v>
          </cell>
          <cell r="E954">
            <v>8</v>
          </cell>
          <cell r="F954">
            <v>8.9887640449399994E-3</v>
          </cell>
        </row>
        <row r="955">
          <cell r="C955" t="str">
            <v>A10AWY1</v>
          </cell>
          <cell r="D955" t="str">
            <v>PI-505 Post Inserter</v>
          </cell>
          <cell r="E955">
            <v>6</v>
          </cell>
          <cell r="F955">
            <v>6.7415730337099999E-3</v>
          </cell>
        </row>
        <row r="956">
          <cell r="C956">
            <v>4614506</v>
          </cell>
          <cell r="D956" t="str">
            <v>SP-501 STAMP UNIT</v>
          </cell>
          <cell r="E956">
            <v>4</v>
          </cell>
          <cell r="F956">
            <v>4.4943820224699997E-3</v>
          </cell>
        </row>
        <row r="957">
          <cell r="C957" t="str">
            <v>A0X9WY1</v>
          </cell>
          <cell r="D957" t="str">
            <v>AU-102 Biometric Authentication Unit</v>
          </cell>
          <cell r="E957">
            <v>4</v>
          </cell>
          <cell r="F957">
            <v>4.4943820224699997E-3</v>
          </cell>
        </row>
        <row r="958">
          <cell r="C958" t="str">
            <v>A4MEWY1</v>
          </cell>
          <cell r="D958" t="str">
            <v>MK-730 BANNER TRAY</v>
          </cell>
          <cell r="E958">
            <v>4</v>
          </cell>
          <cell r="F958">
            <v>4.4943820224699997E-3</v>
          </cell>
        </row>
        <row r="959">
          <cell r="C959">
            <v>7640005261</v>
          </cell>
          <cell r="D959" t="str">
            <v>HID PROXIMITY CARD 10 PACK</v>
          </cell>
          <cell r="E959">
            <v>2</v>
          </cell>
          <cell r="F959">
            <v>2.2471910112400002E-3</v>
          </cell>
        </row>
        <row r="960">
          <cell r="C960">
            <v>7640009478</v>
          </cell>
          <cell r="D960" t="str">
            <v>EFI FIERY SEEQUENCE IMPOSE+COMPOSE SUITE</v>
          </cell>
          <cell r="E960">
            <v>2</v>
          </cell>
          <cell r="F960">
            <v>2.2471910112400002E-3</v>
          </cell>
        </row>
        <row r="961">
          <cell r="C961">
            <v>7640012657</v>
          </cell>
          <cell r="D961" t="str">
            <v>**EFI FIERY CPS V3.0 UV ES-1000</v>
          </cell>
          <cell r="E961">
            <v>2</v>
          </cell>
          <cell r="F961">
            <v>2.2471910112400002E-3</v>
          </cell>
        </row>
        <row r="962">
          <cell r="C962" t="str">
            <v>A4MMWY1</v>
          </cell>
          <cell r="D962" t="str">
            <v>SC-508 COPY GUARD KIT</v>
          </cell>
          <cell r="E962">
            <v>2</v>
          </cell>
          <cell r="F962">
            <v>2.2471910112400002E-3</v>
          </cell>
        </row>
        <row r="963">
          <cell r="C963">
            <v>4623474</v>
          </cell>
          <cell r="D963" t="str">
            <v>KEY COUNTER MOUNT KIT</v>
          </cell>
          <cell r="E963">
            <v>1</v>
          </cell>
          <cell r="F963">
            <v>1.1235955056200001E-3</v>
          </cell>
        </row>
        <row r="964">
          <cell r="C964">
            <v>4614511</v>
          </cell>
          <cell r="D964" t="str">
            <v>SPARE TX MARKER STAMP 2</v>
          </cell>
          <cell r="E964">
            <v>0</v>
          </cell>
          <cell r="F964">
            <v>0</v>
          </cell>
        </row>
        <row r="965">
          <cell r="C965">
            <v>7640004312</v>
          </cell>
          <cell r="D965" t="str">
            <v>EFI HOT FOLDERS</v>
          </cell>
          <cell r="E965">
            <v>0</v>
          </cell>
          <cell r="F965">
            <v>0</v>
          </cell>
        </row>
        <row r="966">
          <cell r="C966">
            <v>7640004313</v>
          </cell>
          <cell r="D966" t="str">
            <v>EFI AUTO TRAP</v>
          </cell>
          <cell r="E966">
            <v>0</v>
          </cell>
          <cell r="F966">
            <v>0</v>
          </cell>
        </row>
        <row r="967">
          <cell r="C967">
            <v>7640009476</v>
          </cell>
          <cell r="D967" t="str">
            <v>EFI FIERY SEEQUENCE IMPOSE</v>
          </cell>
          <cell r="E967">
            <v>0</v>
          </cell>
          <cell r="F967">
            <v>0</v>
          </cell>
        </row>
        <row r="968">
          <cell r="C968">
            <v>7640009477</v>
          </cell>
          <cell r="D968" t="str">
            <v>EFI FIERY SEEQUENCE COMPOSE</v>
          </cell>
          <cell r="E968">
            <v>0</v>
          </cell>
          <cell r="F968">
            <v>0</v>
          </cell>
        </row>
        <row r="969">
          <cell r="C969">
            <v>7640016375</v>
          </cell>
          <cell r="D969" t="str">
            <v>BIZHUB SECURE</v>
          </cell>
          <cell r="E969">
            <v>0</v>
          </cell>
          <cell r="F969">
            <v>0</v>
          </cell>
        </row>
        <row r="970">
          <cell r="C970">
            <v>7640017030</v>
          </cell>
          <cell r="D970" t="str">
            <v>IC-414 PRODUCTIVITY PACKAGE</v>
          </cell>
          <cell r="E970">
            <v>0</v>
          </cell>
          <cell r="F970">
            <v>0</v>
          </cell>
        </row>
        <row r="971">
          <cell r="C971" t="str">
            <v>A0PD017</v>
          </cell>
          <cell r="D971" t="str">
            <v>LK-104 v3 VIDEO GUIDANCE IOPTION KIT</v>
          </cell>
          <cell r="E971">
            <v>0</v>
          </cell>
          <cell r="F971">
            <v>0</v>
          </cell>
        </row>
        <row r="972">
          <cell r="C972" t="str">
            <v>A0PD019</v>
          </cell>
          <cell r="D972" t="str">
            <v>LK-106 BAR CODE FONTS IOPTION KIT</v>
          </cell>
          <cell r="E972">
            <v>0</v>
          </cell>
          <cell r="F972">
            <v>0</v>
          </cell>
        </row>
        <row r="973">
          <cell r="C973" t="str">
            <v>A0PD01F</v>
          </cell>
          <cell r="D973" t="str">
            <v>LK-107 UNICODE FONT IOPTION KIT</v>
          </cell>
          <cell r="E973">
            <v>0</v>
          </cell>
          <cell r="F973">
            <v>0</v>
          </cell>
        </row>
        <row r="974">
          <cell r="C974" t="str">
            <v>A0PD01G</v>
          </cell>
          <cell r="D974" t="str">
            <v>LK-108 OCR FONT IOPTION KIT</v>
          </cell>
          <cell r="E974">
            <v>0</v>
          </cell>
          <cell r="F974">
            <v>0</v>
          </cell>
        </row>
        <row r="975">
          <cell r="C975" t="str">
            <v>A0P0011</v>
          </cell>
          <cell r="D975" t="str">
            <v>**bizhub C652 Printer/Copier</v>
          </cell>
          <cell r="E975">
            <v>9</v>
          </cell>
          <cell r="F975">
            <v>1</v>
          </cell>
        </row>
        <row r="976">
          <cell r="C976" t="str">
            <v>A0YAWY1</v>
          </cell>
          <cell r="D976" t="str">
            <v>MK-720 Fax Connection (PCI)</v>
          </cell>
          <cell r="E976">
            <v>7</v>
          </cell>
          <cell r="F976">
            <v>0.77777777777778001</v>
          </cell>
        </row>
        <row r="977">
          <cell r="C977" t="str">
            <v>A11PWY1</v>
          </cell>
          <cell r="D977" t="str">
            <v>FS-526 100-SHEET FINISHER</v>
          </cell>
          <cell r="E977">
            <v>6</v>
          </cell>
          <cell r="F977">
            <v>0.66666666666666996</v>
          </cell>
        </row>
        <row r="978">
          <cell r="C978" t="str">
            <v>A11TW11</v>
          </cell>
          <cell r="D978" t="str">
            <v>PK-516 2/3-Hole Punch Kit for FS-526</v>
          </cell>
          <cell r="E978">
            <v>6</v>
          </cell>
          <cell r="F978">
            <v>0.66666666666666996</v>
          </cell>
        </row>
        <row r="979">
          <cell r="C979" t="str">
            <v>15LB</v>
          </cell>
          <cell r="D979" t="str">
            <v>FK-502 FAX KIT</v>
          </cell>
          <cell r="E979">
            <v>5</v>
          </cell>
          <cell r="F979">
            <v>0.55555555555556002</v>
          </cell>
        </row>
        <row r="980">
          <cell r="C980" t="str">
            <v>A10EW11</v>
          </cell>
          <cell r="D980" t="str">
            <v>PK-517 2/3-HOLE PUNCH KIT FOR FS-527</v>
          </cell>
          <cell r="E980">
            <v>5</v>
          </cell>
          <cell r="F980">
            <v>0.55555555555556002</v>
          </cell>
        </row>
        <row r="981">
          <cell r="C981" t="str">
            <v>A0W4WY1</v>
          </cell>
          <cell r="D981" t="str">
            <v>*WT-506 Working Table</v>
          </cell>
          <cell r="E981">
            <v>3</v>
          </cell>
          <cell r="F981">
            <v>0.33333333333332998</v>
          </cell>
        </row>
        <row r="982">
          <cell r="C982" t="str">
            <v>A11RWY1</v>
          </cell>
          <cell r="D982" t="str">
            <v>SD-508 Saddle Stitcher Kit for FS-526</v>
          </cell>
          <cell r="E982">
            <v>2</v>
          </cell>
          <cell r="F982">
            <v>0.22222222222221999</v>
          </cell>
        </row>
        <row r="983">
          <cell r="C983">
            <v>7640004314</v>
          </cell>
          <cell r="D983" t="str">
            <v>**EFI SPECTROPHOTOMETER ES-1000 V.2.0</v>
          </cell>
          <cell r="E983">
            <v>1</v>
          </cell>
          <cell r="F983">
            <v>0.11111111111110999</v>
          </cell>
        </row>
        <row r="984">
          <cell r="C984">
            <v>7640006869</v>
          </cell>
          <cell r="D984" t="str">
            <v>EXT KEYBRD(CHERRY KEYBD G84-4100LCAUS-2)</v>
          </cell>
          <cell r="E984">
            <v>1</v>
          </cell>
          <cell r="F984">
            <v>0.11111111111110999</v>
          </cell>
        </row>
        <row r="985">
          <cell r="C985" t="str">
            <v>A0TJWY2</v>
          </cell>
          <cell r="D985" t="str">
            <v>*LU-204 Large Capacity Unit</v>
          </cell>
          <cell r="E985">
            <v>1</v>
          </cell>
          <cell r="F985">
            <v>0.11111111111110999</v>
          </cell>
        </row>
        <row r="986">
          <cell r="C986" t="str">
            <v>A10DWY1</v>
          </cell>
          <cell r="D986" t="str">
            <v>SD-509 SADDLE KIT</v>
          </cell>
          <cell r="E986">
            <v>1</v>
          </cell>
          <cell r="F986">
            <v>0.11111111111110999</v>
          </cell>
        </row>
        <row r="987">
          <cell r="C987" t="str">
            <v>A165WY1</v>
          </cell>
          <cell r="D987" t="str">
            <v>KH-101 EXTERNAL KEYBOARD HOLDER</v>
          </cell>
          <cell r="E987">
            <v>1</v>
          </cell>
          <cell r="F987">
            <v>0.11111111111110999</v>
          </cell>
        </row>
        <row r="988">
          <cell r="C988" t="str">
            <v>15LBX005</v>
          </cell>
          <cell r="D988" t="str">
            <v>C652/C552 FAX KIT [FK-502] + [MK-720]</v>
          </cell>
          <cell r="E988">
            <v>0</v>
          </cell>
          <cell r="F988">
            <v>0</v>
          </cell>
        </row>
        <row r="989">
          <cell r="C989">
            <v>4614506</v>
          </cell>
          <cell r="D989" t="str">
            <v>SP-501 STAMP UNIT</v>
          </cell>
          <cell r="E989">
            <v>0</v>
          </cell>
          <cell r="F989">
            <v>0</v>
          </cell>
        </row>
        <row r="990">
          <cell r="C990">
            <v>4614511</v>
          </cell>
          <cell r="D990" t="str">
            <v>SPARE TX MARKER STAMP 2</v>
          </cell>
          <cell r="E990">
            <v>0</v>
          </cell>
          <cell r="F990">
            <v>0</v>
          </cell>
        </row>
        <row r="991">
          <cell r="C991">
            <v>4623472</v>
          </cell>
          <cell r="D991" t="str">
            <v>*KEY COUNTER ATTACHMENT KIT</v>
          </cell>
          <cell r="E991">
            <v>0</v>
          </cell>
          <cell r="F991">
            <v>0</v>
          </cell>
        </row>
        <row r="992">
          <cell r="C992">
            <v>7640004311</v>
          </cell>
          <cell r="D992" t="str">
            <v>EFI SECURE ERASE</v>
          </cell>
          <cell r="E992">
            <v>0</v>
          </cell>
          <cell r="F992">
            <v>0</v>
          </cell>
        </row>
        <row r="993">
          <cell r="C993">
            <v>7640004312</v>
          </cell>
          <cell r="D993" t="str">
            <v>EFI HOT FOLDERS</v>
          </cell>
          <cell r="E993">
            <v>0</v>
          </cell>
          <cell r="F993">
            <v>0</v>
          </cell>
        </row>
        <row r="994">
          <cell r="C994">
            <v>7640004313</v>
          </cell>
          <cell r="D994" t="str">
            <v>EFI AUTO TRAP</v>
          </cell>
          <cell r="E994">
            <v>0</v>
          </cell>
          <cell r="F994">
            <v>0</v>
          </cell>
        </row>
        <row r="995">
          <cell r="C995">
            <v>7640005064</v>
          </cell>
          <cell r="D995" t="str">
            <v>AU-201H HID CARD AUTHENTICATION UNIT</v>
          </cell>
          <cell r="E995">
            <v>0</v>
          </cell>
          <cell r="F995">
            <v>0</v>
          </cell>
        </row>
        <row r="996">
          <cell r="C996">
            <v>7640005261</v>
          </cell>
          <cell r="D996" t="str">
            <v>HID PROXIMITY CARD 10 PACK</v>
          </cell>
          <cell r="E996">
            <v>0</v>
          </cell>
          <cell r="F996">
            <v>0</v>
          </cell>
        </row>
        <row r="997">
          <cell r="C997">
            <v>7640008394</v>
          </cell>
          <cell r="D997" t="str">
            <v>AU-202H ICLASS CARD READER</v>
          </cell>
          <cell r="E997">
            <v>0</v>
          </cell>
          <cell r="F997">
            <v>0</v>
          </cell>
        </row>
        <row r="998">
          <cell r="C998">
            <v>7640009476</v>
          </cell>
          <cell r="D998" t="str">
            <v>EFI FIERY SEEQUENCE IMPOSE</v>
          </cell>
          <cell r="E998">
            <v>0</v>
          </cell>
          <cell r="F998">
            <v>0</v>
          </cell>
        </row>
        <row r="999">
          <cell r="C999">
            <v>7640009477</v>
          </cell>
          <cell r="D999" t="str">
            <v>EFI FIERY SEEQUENCE COMPOSE</v>
          </cell>
          <cell r="E999">
            <v>0</v>
          </cell>
          <cell r="F999">
            <v>0</v>
          </cell>
        </row>
        <row r="1000">
          <cell r="C1000">
            <v>7640009478</v>
          </cell>
          <cell r="D1000" t="str">
            <v>EFI FIERY SEEQUENCE IMPOSE+COMPOSE SUITE</v>
          </cell>
          <cell r="E1000">
            <v>0</v>
          </cell>
          <cell r="F1000">
            <v>0</v>
          </cell>
        </row>
        <row r="1001">
          <cell r="C1001">
            <v>7640012657</v>
          </cell>
          <cell r="D1001" t="str">
            <v>**EFI FIERY CPS V3.0 UV ES-1000</v>
          </cell>
          <cell r="E1001">
            <v>0</v>
          </cell>
          <cell r="F1001">
            <v>0</v>
          </cell>
        </row>
        <row r="1002">
          <cell r="C1002">
            <v>7640012669</v>
          </cell>
          <cell r="D1002" t="str">
            <v>**DELL 2330DN PRINTER OEM TONER 2K</v>
          </cell>
          <cell r="E1002">
            <v>0</v>
          </cell>
          <cell r="F1002">
            <v>0</v>
          </cell>
        </row>
        <row r="1003">
          <cell r="C1003" t="str">
            <v>A03N0Y1</v>
          </cell>
          <cell r="D1003" t="str">
            <v>*LU-301 LCT (3000 SHEETS)</v>
          </cell>
          <cell r="E1003">
            <v>0</v>
          </cell>
          <cell r="F1003">
            <v>0</v>
          </cell>
        </row>
        <row r="1004">
          <cell r="C1004" t="str">
            <v>A092WW0</v>
          </cell>
          <cell r="D1004" t="str">
            <v>*OT-503 OUTPUT TRAY KIT</v>
          </cell>
          <cell r="E1004">
            <v>0</v>
          </cell>
          <cell r="F1004">
            <v>0</v>
          </cell>
        </row>
        <row r="1005">
          <cell r="C1005" t="str">
            <v>A0HRWY1</v>
          </cell>
          <cell r="D1005" t="str">
            <v>*FS-527 FINISHER</v>
          </cell>
          <cell r="E1005">
            <v>0</v>
          </cell>
          <cell r="F1005">
            <v>0</v>
          </cell>
        </row>
        <row r="1006">
          <cell r="C1006" t="str">
            <v>A0PD012</v>
          </cell>
          <cell r="D1006" t="str">
            <v>3LK-102 LICENSE KIT</v>
          </cell>
          <cell r="E1006">
            <v>0</v>
          </cell>
          <cell r="F1006">
            <v>0</v>
          </cell>
        </row>
        <row r="1007">
          <cell r="C1007" t="str">
            <v>A0PD015</v>
          </cell>
          <cell r="D1007" t="str">
            <v>LK-105 LICENSE KIT (SEARCHABLE PDF)</v>
          </cell>
          <cell r="E1007">
            <v>0</v>
          </cell>
          <cell r="F1007">
            <v>0</v>
          </cell>
        </row>
        <row r="1008">
          <cell r="C1008" t="str">
            <v>A0PD01A</v>
          </cell>
          <cell r="D1008" t="str">
            <v>i-Option LK-101 v2</v>
          </cell>
          <cell r="E1008">
            <v>0</v>
          </cell>
          <cell r="F1008">
            <v>0</v>
          </cell>
        </row>
        <row r="1009">
          <cell r="C1009" t="str">
            <v>A0PD160200</v>
          </cell>
          <cell r="D1009" t="str">
            <v>INFO LINE Palette Stylus Pen</v>
          </cell>
          <cell r="E1009">
            <v>0</v>
          </cell>
          <cell r="F1009">
            <v>0</v>
          </cell>
        </row>
        <row r="1010">
          <cell r="C1010" t="str">
            <v>A0X9WY1</v>
          </cell>
          <cell r="D1010" t="str">
            <v>AU-102 Biometric Authentication Unit</v>
          </cell>
          <cell r="E1010">
            <v>0</v>
          </cell>
          <cell r="F1010">
            <v>0</v>
          </cell>
        </row>
        <row r="1011">
          <cell r="C1011" t="str">
            <v>A0Y9WY1</v>
          </cell>
          <cell r="D1011" t="str">
            <v>SC-507 Security Kit (Copy Guard Protecti</v>
          </cell>
          <cell r="E1011">
            <v>0</v>
          </cell>
          <cell r="F1011">
            <v>0</v>
          </cell>
        </row>
        <row r="1012">
          <cell r="C1012" t="str">
            <v>A0YCWY1</v>
          </cell>
          <cell r="D1012" t="str">
            <v>*EK605 LOCALUSB INTERFACE KT W/BLUETOOTH</v>
          </cell>
          <cell r="E1012">
            <v>0</v>
          </cell>
          <cell r="F1012">
            <v>0</v>
          </cell>
        </row>
        <row r="1013">
          <cell r="C1013" t="str">
            <v>A0YCWY2</v>
          </cell>
          <cell r="D1013" t="str">
            <v>*EK-604 LOCAL USB INTERFACE KIT</v>
          </cell>
          <cell r="E1013">
            <v>0</v>
          </cell>
          <cell r="F1013">
            <v>0</v>
          </cell>
        </row>
        <row r="1014">
          <cell r="C1014" t="str">
            <v>A0YDWY1</v>
          </cell>
          <cell r="D1014" t="str">
            <v>*UK-203 i-Option Upgrade Kit (1 GB)</v>
          </cell>
          <cell r="E1014">
            <v>0</v>
          </cell>
          <cell r="F1014">
            <v>0</v>
          </cell>
        </row>
        <row r="1015">
          <cell r="C1015" t="str">
            <v>A0YEWY2</v>
          </cell>
          <cell r="D1015" t="str">
            <v>VI-505 VIDEO INTERFACE CABLE</v>
          </cell>
          <cell r="E1015">
            <v>0</v>
          </cell>
          <cell r="F1015">
            <v>0</v>
          </cell>
        </row>
        <row r="1016">
          <cell r="C1016" t="str">
            <v>A109W11</v>
          </cell>
          <cell r="D1016" t="str">
            <v>*ZU-606 Z-Fold Unit</v>
          </cell>
          <cell r="E1016">
            <v>0</v>
          </cell>
          <cell r="F1016">
            <v>0</v>
          </cell>
        </row>
        <row r="1017">
          <cell r="C1017" t="str">
            <v>A10AWY1</v>
          </cell>
          <cell r="D1017" t="str">
            <v>PI-505 Post Inserter</v>
          </cell>
          <cell r="E1017">
            <v>0</v>
          </cell>
          <cell r="F1017">
            <v>0</v>
          </cell>
        </row>
        <row r="1018">
          <cell r="C1018" t="str">
            <v>A10CWY1</v>
          </cell>
          <cell r="D1018" t="str">
            <v>JS-602 Job Separator</v>
          </cell>
          <cell r="E1018">
            <v>0</v>
          </cell>
          <cell r="F1018">
            <v>0</v>
          </cell>
        </row>
        <row r="1019">
          <cell r="C1019" t="str">
            <v>A10FWY1</v>
          </cell>
          <cell r="D1019" t="str">
            <v>JS-603 JOB SEPARATOR TRAY</v>
          </cell>
          <cell r="E1019">
            <v>0</v>
          </cell>
          <cell r="F1019">
            <v>0</v>
          </cell>
        </row>
        <row r="1020">
          <cell r="C1020" t="str">
            <v>A127WY2</v>
          </cell>
          <cell r="D1020" t="str">
            <v>IC-412 FIERY CONTROLLER</v>
          </cell>
          <cell r="E1020">
            <v>0</v>
          </cell>
          <cell r="F1020">
            <v>0</v>
          </cell>
        </row>
        <row r="1021">
          <cell r="C1021" t="str">
            <v>A1MUWY1</v>
          </cell>
          <cell r="D1021" t="str">
            <v>SA-502 SCAN ACCELERATOR KIT</v>
          </cell>
          <cell r="E1021">
            <v>0</v>
          </cell>
          <cell r="F1021">
            <v>0</v>
          </cell>
        </row>
        <row r="1022">
          <cell r="C1022" t="str">
            <v>A1DM011</v>
          </cell>
          <cell r="D1022" t="str">
            <v>**BIZHUB C652DS PRINTER/COPIER</v>
          </cell>
          <cell r="E1022">
            <v>2</v>
          </cell>
          <cell r="F1022">
            <v>1</v>
          </cell>
        </row>
        <row r="1023">
          <cell r="C1023" t="str">
            <v>15LB</v>
          </cell>
          <cell r="D1023" t="str">
            <v>FK-502 FAX KIT</v>
          </cell>
          <cell r="E1023">
            <v>1</v>
          </cell>
          <cell r="F1023">
            <v>0.5</v>
          </cell>
        </row>
        <row r="1024">
          <cell r="C1024">
            <v>7640006869</v>
          </cell>
          <cell r="D1024" t="str">
            <v>EXT KEYBRD(CHERRY KEYBD G84-4100LCAUS-2)</v>
          </cell>
          <cell r="E1024">
            <v>1</v>
          </cell>
          <cell r="F1024">
            <v>0.5</v>
          </cell>
        </row>
        <row r="1025">
          <cell r="C1025" t="str">
            <v>A0W4WY1</v>
          </cell>
          <cell r="D1025" t="str">
            <v>*WT-506 Working Table</v>
          </cell>
          <cell r="E1025">
            <v>1</v>
          </cell>
          <cell r="F1025">
            <v>0.5</v>
          </cell>
        </row>
        <row r="1026">
          <cell r="C1026" t="str">
            <v>A0YAWY1</v>
          </cell>
          <cell r="D1026" t="str">
            <v>MK-720 Fax Connection (PCI)</v>
          </cell>
          <cell r="E1026">
            <v>1</v>
          </cell>
          <cell r="F1026">
            <v>0.5</v>
          </cell>
        </row>
        <row r="1027">
          <cell r="C1027" t="str">
            <v>A11PWY1</v>
          </cell>
          <cell r="D1027" t="str">
            <v>FS-526 100-SHEET FINISHER</v>
          </cell>
          <cell r="E1027">
            <v>1</v>
          </cell>
          <cell r="F1027">
            <v>0.5</v>
          </cell>
        </row>
        <row r="1028">
          <cell r="C1028" t="str">
            <v>A11TW11</v>
          </cell>
          <cell r="D1028" t="str">
            <v>PK-516 2/3-Hole Punch Kit for FS-526</v>
          </cell>
          <cell r="E1028">
            <v>1</v>
          </cell>
          <cell r="F1028">
            <v>0.5</v>
          </cell>
        </row>
        <row r="1029">
          <cell r="C1029" t="str">
            <v>A165WY1</v>
          </cell>
          <cell r="D1029" t="str">
            <v>KH-101 EXTERNAL KEYBOARD HOLDER</v>
          </cell>
          <cell r="E1029">
            <v>1</v>
          </cell>
          <cell r="F1029">
            <v>0.5</v>
          </cell>
        </row>
        <row r="1030">
          <cell r="C1030" t="str">
            <v>15LBX005</v>
          </cell>
          <cell r="D1030" t="str">
            <v>C652/C552 FAX KIT [FK-502] + [MK-720]</v>
          </cell>
          <cell r="E1030">
            <v>0</v>
          </cell>
          <cell r="F1030">
            <v>0</v>
          </cell>
        </row>
        <row r="1031">
          <cell r="C1031">
            <v>4614506</v>
          </cell>
          <cell r="D1031" t="str">
            <v>SP-501 STAMP UNIT</v>
          </cell>
          <cell r="E1031">
            <v>0</v>
          </cell>
          <cell r="F1031">
            <v>0</v>
          </cell>
        </row>
        <row r="1032">
          <cell r="C1032">
            <v>4614511</v>
          </cell>
          <cell r="D1032" t="str">
            <v>SPARE TX MARKER STAMP 2</v>
          </cell>
          <cell r="E1032">
            <v>0</v>
          </cell>
          <cell r="F1032">
            <v>0</v>
          </cell>
        </row>
        <row r="1033">
          <cell r="C1033">
            <v>4623472</v>
          </cell>
          <cell r="D1033" t="str">
            <v>*KEY COUNTER ATTACHMENT KIT</v>
          </cell>
          <cell r="E1033">
            <v>0</v>
          </cell>
          <cell r="F1033">
            <v>0</v>
          </cell>
        </row>
        <row r="1034">
          <cell r="C1034">
            <v>7640004311</v>
          </cell>
          <cell r="D1034" t="str">
            <v>EFI SECURE ERASE</v>
          </cell>
          <cell r="E1034">
            <v>0</v>
          </cell>
          <cell r="F1034">
            <v>0</v>
          </cell>
        </row>
        <row r="1035">
          <cell r="C1035">
            <v>7640004312</v>
          </cell>
          <cell r="D1035" t="str">
            <v>EFI HOT FOLDERS</v>
          </cell>
          <cell r="E1035">
            <v>0</v>
          </cell>
          <cell r="F1035">
            <v>0</v>
          </cell>
        </row>
        <row r="1036">
          <cell r="C1036">
            <v>7640004313</v>
          </cell>
          <cell r="D1036" t="str">
            <v>EFI AUTO TRAP</v>
          </cell>
          <cell r="E1036">
            <v>0</v>
          </cell>
          <cell r="F1036">
            <v>0</v>
          </cell>
        </row>
        <row r="1037">
          <cell r="C1037">
            <v>7640004314</v>
          </cell>
          <cell r="D1037" t="str">
            <v>**EFI SPECTROPHOTOMETER ES-1000 V.2.0</v>
          </cell>
          <cell r="E1037">
            <v>0</v>
          </cell>
          <cell r="F1037">
            <v>0</v>
          </cell>
        </row>
        <row r="1038">
          <cell r="C1038">
            <v>7640005064</v>
          </cell>
          <cell r="D1038" t="str">
            <v>AU-201H HID CARD AUTHENTICATION UNIT</v>
          </cell>
          <cell r="E1038">
            <v>0</v>
          </cell>
          <cell r="F1038">
            <v>0</v>
          </cell>
        </row>
        <row r="1039">
          <cell r="C1039">
            <v>7640005261</v>
          </cell>
          <cell r="D1039" t="str">
            <v>HID PROXIMITY CARD 10 PACK</v>
          </cell>
          <cell r="E1039">
            <v>0</v>
          </cell>
          <cell r="F1039">
            <v>0</v>
          </cell>
        </row>
        <row r="1040">
          <cell r="C1040">
            <v>7640008394</v>
          </cell>
          <cell r="D1040" t="str">
            <v>AU-202H ICLASS CARD READER</v>
          </cell>
          <cell r="E1040">
            <v>0</v>
          </cell>
          <cell r="F1040">
            <v>0</v>
          </cell>
        </row>
        <row r="1041">
          <cell r="C1041">
            <v>7640009476</v>
          </cell>
          <cell r="D1041" t="str">
            <v>EFI FIERY SEEQUENCE IMPOSE</v>
          </cell>
          <cell r="E1041">
            <v>0</v>
          </cell>
          <cell r="F1041">
            <v>0</v>
          </cell>
        </row>
        <row r="1042">
          <cell r="C1042">
            <v>7640009477</v>
          </cell>
          <cell r="D1042" t="str">
            <v>EFI FIERY SEEQUENCE COMPOSE</v>
          </cell>
          <cell r="E1042">
            <v>0</v>
          </cell>
          <cell r="F1042">
            <v>0</v>
          </cell>
        </row>
        <row r="1043">
          <cell r="C1043">
            <v>7640009478</v>
          </cell>
          <cell r="D1043" t="str">
            <v>EFI FIERY SEEQUENCE IMPOSE+COMPOSE SUITE</v>
          </cell>
          <cell r="E1043">
            <v>0</v>
          </cell>
          <cell r="F1043">
            <v>0</v>
          </cell>
        </row>
        <row r="1044">
          <cell r="C1044">
            <v>7640012657</v>
          </cell>
          <cell r="D1044" t="str">
            <v>**EFI FIERY CPS V3.0 UV ES-1000</v>
          </cell>
          <cell r="E1044">
            <v>0</v>
          </cell>
          <cell r="F1044">
            <v>0</v>
          </cell>
        </row>
        <row r="1045">
          <cell r="C1045">
            <v>7640012669</v>
          </cell>
          <cell r="D1045" t="str">
            <v>**DELL 2330DN PRINTER OEM TONER 2K</v>
          </cell>
          <cell r="E1045">
            <v>0</v>
          </cell>
          <cell r="F1045">
            <v>0</v>
          </cell>
        </row>
        <row r="1046">
          <cell r="C1046" t="str">
            <v>A03N0Y1</v>
          </cell>
          <cell r="D1046" t="str">
            <v>*LU-301 LCT (3000 SHEETS)</v>
          </cell>
          <cell r="E1046">
            <v>0</v>
          </cell>
          <cell r="F1046">
            <v>0</v>
          </cell>
        </row>
        <row r="1047">
          <cell r="C1047" t="str">
            <v>A092WW0</v>
          </cell>
          <cell r="D1047" t="str">
            <v>*OT-503 OUTPUT TRAY KIT</v>
          </cell>
          <cell r="E1047">
            <v>0</v>
          </cell>
          <cell r="F1047">
            <v>0</v>
          </cell>
        </row>
        <row r="1048">
          <cell r="C1048" t="str">
            <v>A0HRWY1</v>
          </cell>
          <cell r="D1048" t="str">
            <v>*FS-527 FINISHER</v>
          </cell>
          <cell r="E1048">
            <v>0</v>
          </cell>
          <cell r="F1048">
            <v>0</v>
          </cell>
        </row>
        <row r="1049">
          <cell r="C1049" t="str">
            <v>A0PD012</v>
          </cell>
          <cell r="D1049" t="str">
            <v>3LK-102 LICENSE KIT</v>
          </cell>
          <cell r="E1049">
            <v>0</v>
          </cell>
          <cell r="F1049">
            <v>0</v>
          </cell>
        </row>
        <row r="1050">
          <cell r="C1050" t="str">
            <v>A0PD015</v>
          </cell>
          <cell r="D1050" t="str">
            <v>LK-105 LICENSE KIT (SEARCHABLE PDF)</v>
          </cell>
          <cell r="E1050">
            <v>0</v>
          </cell>
          <cell r="F1050">
            <v>0</v>
          </cell>
        </row>
        <row r="1051">
          <cell r="C1051" t="str">
            <v>A0PD01A</v>
          </cell>
          <cell r="D1051" t="str">
            <v>i-Option LK-101 v2</v>
          </cell>
          <cell r="E1051">
            <v>0</v>
          </cell>
          <cell r="F1051">
            <v>0</v>
          </cell>
        </row>
        <row r="1052">
          <cell r="C1052" t="str">
            <v>A0PD160200</v>
          </cell>
          <cell r="D1052" t="str">
            <v>INFO LINE Palette Stylus Pen</v>
          </cell>
          <cell r="E1052">
            <v>0</v>
          </cell>
          <cell r="F1052">
            <v>0</v>
          </cell>
        </row>
        <row r="1053">
          <cell r="C1053" t="str">
            <v>A0TJWY2</v>
          </cell>
          <cell r="D1053" t="str">
            <v>*LU-204 Large Capacity Unit</v>
          </cell>
          <cell r="E1053">
            <v>0</v>
          </cell>
          <cell r="F1053">
            <v>0</v>
          </cell>
        </row>
        <row r="1054">
          <cell r="C1054" t="str">
            <v>A0X9WY1</v>
          </cell>
          <cell r="D1054" t="str">
            <v>AU-102 Biometric Authentication Unit</v>
          </cell>
          <cell r="E1054">
            <v>0</v>
          </cell>
          <cell r="F1054">
            <v>0</v>
          </cell>
        </row>
        <row r="1055">
          <cell r="C1055" t="str">
            <v>A0Y9WY1</v>
          </cell>
          <cell r="D1055" t="str">
            <v>SC-507 Security Kit (Copy Guard Protecti</v>
          </cell>
          <cell r="E1055">
            <v>0</v>
          </cell>
          <cell r="F1055">
            <v>0</v>
          </cell>
        </row>
        <row r="1056">
          <cell r="C1056" t="str">
            <v>A0YCWY1</v>
          </cell>
          <cell r="D1056" t="str">
            <v>*EK605 LOCALUSB INTERFACE KT W/BLUETOOTH</v>
          </cell>
          <cell r="E1056">
            <v>0</v>
          </cell>
          <cell r="F1056">
            <v>0</v>
          </cell>
        </row>
        <row r="1057">
          <cell r="C1057" t="str">
            <v>A0YCWY2</v>
          </cell>
          <cell r="D1057" t="str">
            <v>*EK-604 LOCAL USB INTERFACE KIT</v>
          </cell>
          <cell r="E1057">
            <v>0</v>
          </cell>
          <cell r="F1057">
            <v>0</v>
          </cell>
        </row>
        <row r="1058">
          <cell r="C1058" t="str">
            <v>A0YDWY1</v>
          </cell>
          <cell r="D1058" t="str">
            <v>*UK-203 i-Option Upgrade Kit (1 GB)</v>
          </cell>
          <cell r="E1058">
            <v>0</v>
          </cell>
          <cell r="F1058">
            <v>0</v>
          </cell>
        </row>
        <row r="1059">
          <cell r="C1059" t="str">
            <v>A0YEWY2</v>
          </cell>
          <cell r="D1059" t="str">
            <v>VI-505 VIDEO INTERFACE CABLE</v>
          </cell>
          <cell r="E1059">
            <v>0</v>
          </cell>
          <cell r="F1059">
            <v>0</v>
          </cell>
        </row>
        <row r="1060">
          <cell r="C1060" t="str">
            <v>A109W11</v>
          </cell>
          <cell r="D1060" t="str">
            <v>*ZU-606 Z-Fold Unit</v>
          </cell>
          <cell r="E1060">
            <v>0</v>
          </cell>
          <cell r="F1060">
            <v>0</v>
          </cell>
        </row>
        <row r="1061">
          <cell r="C1061" t="str">
            <v>A10AWY1</v>
          </cell>
          <cell r="D1061" t="str">
            <v>PI-505 Post Inserter</v>
          </cell>
          <cell r="E1061">
            <v>0</v>
          </cell>
          <cell r="F1061">
            <v>0</v>
          </cell>
        </row>
        <row r="1062">
          <cell r="C1062" t="str">
            <v>A10CWY1</v>
          </cell>
          <cell r="D1062" t="str">
            <v>JS-602 Job Separator</v>
          </cell>
          <cell r="E1062">
            <v>0</v>
          </cell>
          <cell r="F1062">
            <v>0</v>
          </cell>
        </row>
        <row r="1063">
          <cell r="C1063" t="str">
            <v>A10DWY1</v>
          </cell>
          <cell r="D1063" t="str">
            <v>SD-509 SADDLE KIT</v>
          </cell>
          <cell r="E1063">
            <v>0</v>
          </cell>
          <cell r="F1063">
            <v>0</v>
          </cell>
        </row>
        <row r="1064">
          <cell r="C1064" t="str">
            <v>A10EW11</v>
          </cell>
          <cell r="D1064" t="str">
            <v>PK-517 2/3-HOLE PUNCH KIT FOR FS-527</v>
          </cell>
          <cell r="E1064">
            <v>0</v>
          </cell>
          <cell r="F1064">
            <v>0</v>
          </cell>
        </row>
        <row r="1065">
          <cell r="C1065" t="str">
            <v>A10FWY1</v>
          </cell>
          <cell r="D1065" t="str">
            <v>JS-603 JOB SEPARATOR TRAY</v>
          </cell>
          <cell r="E1065">
            <v>0</v>
          </cell>
          <cell r="F1065">
            <v>0</v>
          </cell>
        </row>
        <row r="1066">
          <cell r="C1066" t="str">
            <v>A11RWY1</v>
          </cell>
          <cell r="D1066" t="str">
            <v>SD-508 Saddle Stitcher Kit for FS-526</v>
          </cell>
          <cell r="E1066">
            <v>0</v>
          </cell>
          <cell r="F1066">
            <v>0</v>
          </cell>
        </row>
        <row r="1067">
          <cell r="C1067" t="str">
            <v>A127WY1</v>
          </cell>
          <cell r="D1067" t="str">
            <v>*IC-412 Fiery Controller</v>
          </cell>
          <cell r="E1067">
            <v>0</v>
          </cell>
          <cell r="F1067">
            <v>0</v>
          </cell>
        </row>
        <row r="1068">
          <cell r="C1068" t="str">
            <v>A1MUWY1</v>
          </cell>
          <cell r="D1068" t="str">
            <v>SA-502 SCAN ACCELERATOR KIT</v>
          </cell>
          <cell r="E1068">
            <v>0</v>
          </cell>
          <cell r="F1068">
            <v>0</v>
          </cell>
        </row>
        <row r="1069">
          <cell r="C1069" t="str">
            <v>A2X1011</v>
          </cell>
          <cell r="D1069" t="str">
            <v>BIZHUB C654 PRINTER/COPIER</v>
          </cell>
          <cell r="E1069">
            <v>2621</v>
          </cell>
          <cell r="F1069">
            <v>1</v>
          </cell>
          <cell r="G1069" t="str">
            <v>Color</v>
          </cell>
        </row>
        <row r="1070">
          <cell r="C1070">
            <v>7640014724</v>
          </cell>
          <cell r="D1070" t="str">
            <v>INNOVOLT POWER MANAGER 20AMP</v>
          </cell>
          <cell r="E1070">
            <v>2312</v>
          </cell>
          <cell r="F1070">
            <v>0.88210606638688005</v>
          </cell>
          <cell r="G1070" t="str">
            <v>Color</v>
          </cell>
        </row>
        <row r="1071">
          <cell r="C1071" t="str">
            <v>A4MF011</v>
          </cell>
          <cell r="D1071" t="str">
            <v>FK-511 FAX KIT</v>
          </cell>
          <cell r="E1071">
            <v>2107</v>
          </cell>
          <cell r="F1071">
            <v>0.80389164441052996</v>
          </cell>
          <cell r="G1071" t="str">
            <v>Color</v>
          </cell>
        </row>
        <row r="1072">
          <cell r="C1072" t="str">
            <v>A3EPWY1</v>
          </cell>
          <cell r="D1072" t="str">
            <v>FS-534 50-SHEET STAPLE FINISHER</v>
          </cell>
          <cell r="E1072">
            <v>1854</v>
          </cell>
          <cell r="F1072">
            <v>0.70736360167875001</v>
          </cell>
          <cell r="G1072" t="str">
            <v>Color</v>
          </cell>
        </row>
        <row r="1073">
          <cell r="C1073" t="str">
            <v>A3ETW11</v>
          </cell>
          <cell r="D1073" t="str">
            <v>PK-520 PUNCH KIT</v>
          </cell>
          <cell r="E1073">
            <v>1366</v>
          </cell>
          <cell r="F1073">
            <v>0.52117512399846999</v>
          </cell>
          <cell r="G1073" t="str">
            <v>Color</v>
          </cell>
        </row>
        <row r="1074">
          <cell r="C1074" t="str">
            <v>A0W4WY2</v>
          </cell>
          <cell r="D1074" t="str">
            <v>WT-506 WORKING TABLE</v>
          </cell>
          <cell r="E1074">
            <v>1028</v>
          </cell>
          <cell r="F1074">
            <v>0.39221671117894003</v>
          </cell>
          <cell r="G1074" t="str">
            <v>Color</v>
          </cell>
        </row>
        <row r="1075">
          <cell r="C1075" t="str">
            <v>A2Y1WY1</v>
          </cell>
          <cell r="D1075" t="str">
            <v>FS-535 100-SHEET STAPLING FINISHER</v>
          </cell>
          <cell r="E1075">
            <v>699</v>
          </cell>
          <cell r="F1075">
            <v>0.26669210225105</v>
          </cell>
          <cell r="G1075" t="str">
            <v>Color</v>
          </cell>
        </row>
        <row r="1076">
          <cell r="C1076" t="str">
            <v>A2YRW11</v>
          </cell>
          <cell r="D1076" t="str">
            <v>PK-521 2/3-HOLE PUNCH KIT</v>
          </cell>
          <cell r="E1076">
            <v>526</v>
          </cell>
          <cell r="F1076">
            <v>0.20068676077833</v>
          </cell>
          <cell r="G1076" t="str">
            <v>Color</v>
          </cell>
        </row>
        <row r="1077">
          <cell r="C1077" t="str">
            <v>A3ERWY1</v>
          </cell>
          <cell r="D1077" t="str">
            <v>SD-511 SADDLE STITCH KIT</v>
          </cell>
          <cell r="E1077">
            <v>333</v>
          </cell>
          <cell r="F1077">
            <v>0.12705074399083999</v>
          </cell>
          <cell r="G1077" t="str">
            <v>Color</v>
          </cell>
        </row>
        <row r="1078">
          <cell r="C1078" t="str">
            <v>A03NWY2</v>
          </cell>
          <cell r="D1078" t="str">
            <v>LU-301 LARGE CAPACITY UNIT</v>
          </cell>
          <cell r="E1078">
            <v>289</v>
          </cell>
          <cell r="F1078">
            <v>0.11026325829836001</v>
          </cell>
          <cell r="G1078" t="str">
            <v>Color</v>
          </cell>
        </row>
        <row r="1079">
          <cell r="C1079" t="str">
            <v>A2Y2WY1</v>
          </cell>
          <cell r="D1079" t="str">
            <v>SD-512 SADDLE STITCHER</v>
          </cell>
          <cell r="E1079">
            <v>279</v>
          </cell>
          <cell r="F1079">
            <v>0.10644792064098001</v>
          </cell>
          <cell r="G1079" t="str">
            <v>Color</v>
          </cell>
        </row>
        <row r="1080">
          <cell r="C1080">
            <v>7640005064</v>
          </cell>
          <cell r="D1080" t="str">
            <v>AU-201H HID CARD AUTHENTICATION UNIT</v>
          </cell>
          <cell r="E1080">
            <v>268</v>
          </cell>
          <cell r="F1080">
            <v>0.10225104921786</v>
          </cell>
          <cell r="G1080" t="str">
            <v>Color</v>
          </cell>
        </row>
        <row r="1081">
          <cell r="C1081">
            <v>7640006869</v>
          </cell>
          <cell r="D1081" t="str">
            <v>EXT KEYBRD(CHERRY KEYBD G84-4100LCAUS-2)</v>
          </cell>
          <cell r="E1081">
            <v>226</v>
          </cell>
          <cell r="F1081">
            <v>8.6226631056849995E-2</v>
          </cell>
          <cell r="G1081" t="str">
            <v>Color</v>
          </cell>
        </row>
        <row r="1082">
          <cell r="C1082" t="str">
            <v>A4MGWY1</v>
          </cell>
          <cell r="D1082" t="str">
            <v>VI-506 VIDEO INTERFACE FOR IC-414</v>
          </cell>
          <cell r="E1082">
            <v>216</v>
          </cell>
          <cell r="F1082">
            <v>8.2411293399469995E-2</v>
          </cell>
          <cell r="G1082" t="str">
            <v>Color</v>
          </cell>
        </row>
        <row r="1083">
          <cell r="C1083" t="str">
            <v>A4NRWY1</v>
          </cell>
          <cell r="D1083" t="str">
            <v>KH-102 KEYBOARD HOLDER</v>
          </cell>
          <cell r="E1083">
            <v>210</v>
          </cell>
          <cell r="F1083">
            <v>8.012209080504E-2</v>
          </cell>
          <cell r="G1083" t="str">
            <v>Color</v>
          </cell>
        </row>
        <row r="1084">
          <cell r="C1084" t="str">
            <v>A4MHWY1</v>
          </cell>
          <cell r="D1084" t="str">
            <v>*UK-204 MEMORY UPGRADE KIT</v>
          </cell>
          <cell r="E1084">
            <v>173</v>
          </cell>
          <cell r="F1084">
            <v>6.6005341472719997E-2</v>
          </cell>
          <cell r="G1084" t="str">
            <v>Color</v>
          </cell>
        </row>
        <row r="1085">
          <cell r="C1085" t="str">
            <v>A0YCWY4</v>
          </cell>
          <cell r="D1085" t="str">
            <v>EK-604 USB</v>
          </cell>
          <cell r="E1085">
            <v>128</v>
          </cell>
          <cell r="F1085">
            <v>4.88363220145E-2</v>
          </cell>
          <cell r="G1085" t="str">
            <v>Color</v>
          </cell>
        </row>
        <row r="1086">
          <cell r="C1086" t="str">
            <v>A0PD01H</v>
          </cell>
          <cell r="D1086" t="str">
            <v>LK-101 v3 WEB BROWSER/IMAGE PNL IOPTN KT</v>
          </cell>
          <cell r="E1086">
            <v>99</v>
          </cell>
          <cell r="F1086">
            <v>3.7771842808089998E-2</v>
          </cell>
          <cell r="G1086" t="str">
            <v>Color</v>
          </cell>
        </row>
        <row r="1087">
          <cell r="C1087" t="str">
            <v>A10CWY1</v>
          </cell>
          <cell r="D1087" t="str">
            <v>JS-602 Job Separator</v>
          </cell>
          <cell r="E1087">
            <v>91</v>
          </cell>
          <cell r="F1087">
            <v>3.4719572682179997E-2</v>
          </cell>
          <cell r="G1087" t="str">
            <v>Color</v>
          </cell>
        </row>
        <row r="1088">
          <cell r="C1088" t="str">
            <v>A0YCWY3</v>
          </cell>
          <cell r="D1088" t="str">
            <v>EK-605 USB</v>
          </cell>
          <cell r="E1088">
            <v>78</v>
          </cell>
          <cell r="F1088">
            <v>2.975963372758E-2</v>
          </cell>
          <cell r="G1088" t="str">
            <v>Color</v>
          </cell>
        </row>
        <row r="1089">
          <cell r="C1089" t="str">
            <v>A0PD018</v>
          </cell>
          <cell r="D1089" t="str">
            <v>LK-105 v3 SEARCHABLE PDF IOPTION KIT</v>
          </cell>
          <cell r="E1089">
            <v>73</v>
          </cell>
          <cell r="F1089">
            <v>2.7851964898890001E-2</v>
          </cell>
          <cell r="G1089" t="str">
            <v>Color</v>
          </cell>
        </row>
        <row r="1090">
          <cell r="C1090" t="str">
            <v>A4NMWY1</v>
          </cell>
          <cell r="D1090" t="str">
            <v>MK-735 IC CARD MOUNT KIT</v>
          </cell>
          <cell r="E1090">
            <v>66</v>
          </cell>
          <cell r="F1090">
            <v>2.5181228538730002E-2</v>
          </cell>
          <cell r="G1090" t="str">
            <v>Color</v>
          </cell>
        </row>
        <row r="1091">
          <cell r="C1091" t="str">
            <v>A092WW1</v>
          </cell>
          <cell r="D1091" t="str">
            <v>OT-503 OUTPUT TRAY</v>
          </cell>
          <cell r="E1091">
            <v>62</v>
          </cell>
          <cell r="F1091">
            <v>2.3655093475769998E-2</v>
          </cell>
          <cell r="G1091" t="str">
            <v>Color</v>
          </cell>
        </row>
        <row r="1092">
          <cell r="C1092">
            <v>7640004314</v>
          </cell>
          <cell r="D1092" t="str">
            <v>**EFI SPECTROPHOTOMETER ES-1000 V.2.0</v>
          </cell>
          <cell r="E1092">
            <v>56</v>
          </cell>
          <cell r="F1092">
            <v>2.1365890881339999E-2</v>
          </cell>
          <cell r="G1092" t="str">
            <v>Color</v>
          </cell>
        </row>
        <row r="1093">
          <cell r="C1093" t="str">
            <v>A0X9WY1</v>
          </cell>
          <cell r="D1093" t="str">
            <v>AU-102 Biometric Authentication Unit</v>
          </cell>
          <cell r="E1093">
            <v>52</v>
          </cell>
          <cell r="F1093">
            <v>1.9839755818389999E-2</v>
          </cell>
          <cell r="G1093" t="str">
            <v>Color</v>
          </cell>
        </row>
        <row r="1094">
          <cell r="C1094">
            <v>7640008394</v>
          </cell>
          <cell r="D1094" t="str">
            <v>AU-202H ICLASS CARD READER</v>
          </cell>
          <cell r="E1094">
            <v>36</v>
          </cell>
          <cell r="F1094">
            <v>1.373521556658E-2</v>
          </cell>
          <cell r="G1094" t="str">
            <v>Color</v>
          </cell>
        </row>
        <row r="1095">
          <cell r="C1095" t="str">
            <v>A109W12</v>
          </cell>
          <cell r="D1095" t="str">
            <v>ZU-606 Z-FOLD UNIT</v>
          </cell>
          <cell r="E1095">
            <v>36</v>
          </cell>
          <cell r="F1095">
            <v>1.373521556658E-2</v>
          </cell>
          <cell r="G1095" t="str">
            <v>Color</v>
          </cell>
        </row>
        <row r="1096">
          <cell r="C1096">
            <v>7640013468</v>
          </cell>
          <cell r="D1096" t="str">
            <v>AU-204H MagStripe card reader</v>
          </cell>
          <cell r="E1096">
            <v>33</v>
          </cell>
          <cell r="F1096">
            <v>1.259061426936E-2</v>
          </cell>
          <cell r="G1096" t="str">
            <v>Color</v>
          </cell>
        </row>
        <row r="1097">
          <cell r="C1097">
            <v>7640005261</v>
          </cell>
          <cell r="D1097" t="str">
            <v>HID PROXIMITY CARD 10 PACK</v>
          </cell>
          <cell r="E1097">
            <v>32</v>
          </cell>
          <cell r="F1097">
            <v>1.220908050362E-2</v>
          </cell>
          <cell r="G1097" t="str">
            <v>Color</v>
          </cell>
        </row>
        <row r="1098">
          <cell r="C1098" t="str">
            <v>A0PD016</v>
          </cell>
          <cell r="D1098" t="str">
            <v>LK-102 v3 PDF ENCRYPTION IOPTION KIT</v>
          </cell>
          <cell r="E1098">
            <v>32</v>
          </cell>
          <cell r="F1098">
            <v>1.220908050362E-2</v>
          </cell>
          <cell r="G1098" t="str">
            <v>Color</v>
          </cell>
        </row>
        <row r="1099">
          <cell r="C1099" t="str">
            <v>A0PD01G</v>
          </cell>
          <cell r="D1099" t="str">
            <v>LK-108 OCR FONT IOPTION KIT</v>
          </cell>
          <cell r="E1099">
            <v>28</v>
          </cell>
          <cell r="F1099">
            <v>1.068294544067E-2</v>
          </cell>
          <cell r="G1099" t="str">
            <v>Color</v>
          </cell>
        </row>
        <row r="1100">
          <cell r="C1100">
            <v>4614506</v>
          </cell>
          <cell r="D1100" t="str">
            <v>SP-501 STAMP UNIT</v>
          </cell>
          <cell r="E1100">
            <v>26</v>
          </cell>
          <cell r="F1100">
            <v>9.9198779091899999E-3</v>
          </cell>
          <cell r="G1100" t="str">
            <v>Color</v>
          </cell>
        </row>
        <row r="1101">
          <cell r="C1101" t="str">
            <v>A10AWY1</v>
          </cell>
          <cell r="D1101" t="str">
            <v>PI-505 Post Inserter</v>
          </cell>
          <cell r="E1101">
            <v>20</v>
          </cell>
          <cell r="F1101">
            <v>7.63067531477E-3</v>
          </cell>
          <cell r="G1101" t="str">
            <v>Color</v>
          </cell>
        </row>
        <row r="1102">
          <cell r="C1102" t="str">
            <v>A0PD019</v>
          </cell>
          <cell r="D1102" t="str">
            <v>LK-106 BAR CODE FONTS IOPTION KIT</v>
          </cell>
          <cell r="E1102">
            <v>18</v>
          </cell>
          <cell r="F1102">
            <v>6.8676077832900001E-3</v>
          </cell>
          <cell r="G1102" t="str">
            <v>Color</v>
          </cell>
        </row>
        <row r="1103">
          <cell r="C1103" t="str">
            <v>A0PD01F</v>
          </cell>
          <cell r="D1103" t="str">
            <v>LK-107 UNICODE FONT IOPTION KIT</v>
          </cell>
          <cell r="E1103">
            <v>17</v>
          </cell>
          <cell r="F1103">
            <v>6.4860740175500002E-3</v>
          </cell>
          <cell r="G1103" t="str">
            <v>Color</v>
          </cell>
        </row>
        <row r="1104">
          <cell r="C1104" t="str">
            <v>A0PD017</v>
          </cell>
          <cell r="D1104" t="str">
            <v>LK-104 v3 VIDEO GUIDANCE IOPTION KIT</v>
          </cell>
          <cell r="E1104">
            <v>15</v>
          </cell>
          <cell r="F1104">
            <v>5.7230064860700003E-3</v>
          </cell>
          <cell r="G1104" t="str">
            <v>Color</v>
          </cell>
        </row>
        <row r="1105">
          <cell r="C1105">
            <v>4623474</v>
          </cell>
          <cell r="D1105" t="str">
            <v>KEY COUNTER MOUNT KIT</v>
          </cell>
          <cell r="E1105">
            <v>9</v>
          </cell>
          <cell r="F1105">
            <v>3.4338038916400001E-3</v>
          </cell>
          <cell r="G1105" t="str">
            <v>Color</v>
          </cell>
        </row>
        <row r="1106">
          <cell r="C1106" t="str">
            <v>A4FRWY1</v>
          </cell>
          <cell r="D1106" t="str">
            <v>*IC-414 FIERY CONTROLLER</v>
          </cell>
          <cell r="E1106">
            <v>7</v>
          </cell>
          <cell r="F1106">
            <v>2.6707363601700001E-3</v>
          </cell>
          <cell r="G1106" t="str">
            <v>Color</v>
          </cell>
        </row>
        <row r="1107">
          <cell r="C1107">
            <v>4614511</v>
          </cell>
          <cell r="D1107" t="str">
            <v>SPARE TX MARKER STAMP 2</v>
          </cell>
          <cell r="E1107">
            <v>6</v>
          </cell>
          <cell r="F1107">
            <v>2.2892025944300002E-3</v>
          </cell>
          <cell r="G1107" t="str">
            <v>Color</v>
          </cell>
        </row>
        <row r="1108">
          <cell r="C1108">
            <v>7640012657</v>
          </cell>
          <cell r="D1108" t="str">
            <v>**EFI FIERY CPS V3.0 UV ES-1000</v>
          </cell>
          <cell r="E1108">
            <v>6</v>
          </cell>
          <cell r="F1108">
            <v>2.2892025944300002E-3</v>
          </cell>
          <cell r="G1108" t="str">
            <v>Color</v>
          </cell>
        </row>
        <row r="1109">
          <cell r="C1109" t="str">
            <v>A0TJWY2</v>
          </cell>
          <cell r="D1109" t="str">
            <v>*LU-204 Large Capacity Unit</v>
          </cell>
          <cell r="E1109">
            <v>5</v>
          </cell>
          <cell r="F1109">
            <v>1.90766882869E-3</v>
          </cell>
          <cell r="G1109" t="str">
            <v>Color</v>
          </cell>
        </row>
        <row r="1110">
          <cell r="C1110">
            <v>7640009476</v>
          </cell>
          <cell r="D1110" t="str">
            <v>EFI FIERY SEEQUENCE IMPOSE</v>
          </cell>
          <cell r="E1110">
            <v>4</v>
          </cell>
          <cell r="F1110">
            <v>1.5261350629499999E-3</v>
          </cell>
          <cell r="G1110" t="str">
            <v>Color</v>
          </cell>
        </row>
        <row r="1111">
          <cell r="C1111" t="str">
            <v>A4MMWY1</v>
          </cell>
          <cell r="D1111" t="str">
            <v>SC-508 COPY GUARD KIT</v>
          </cell>
          <cell r="E1111">
            <v>4</v>
          </cell>
          <cell r="F1111">
            <v>1.5261350629499999E-3</v>
          </cell>
          <cell r="G1111" t="str">
            <v>Color</v>
          </cell>
        </row>
        <row r="1112">
          <cell r="C1112">
            <v>7640009478</v>
          </cell>
          <cell r="D1112" t="str">
            <v>EFI FIERY SEEQUENCE IMPOSE+COMPOSE SUITE</v>
          </cell>
          <cell r="E1112">
            <v>2</v>
          </cell>
          <cell r="F1112">
            <v>7.6306753147999996E-4</v>
          </cell>
          <cell r="G1112" t="str">
            <v>Color</v>
          </cell>
        </row>
        <row r="1113">
          <cell r="C1113">
            <v>7640004313</v>
          </cell>
          <cell r="D1113" t="str">
            <v>EFI AUTO TRAP</v>
          </cell>
          <cell r="E1113">
            <v>1</v>
          </cell>
          <cell r="F1113">
            <v>3.8153376573999998E-4</v>
          </cell>
          <cell r="G1113" t="str">
            <v>Color</v>
          </cell>
        </row>
        <row r="1114">
          <cell r="C1114">
            <v>7640004312</v>
          </cell>
          <cell r="D1114" t="str">
            <v>EFI HOT FOLDERS</v>
          </cell>
          <cell r="E1114">
            <v>0</v>
          </cell>
          <cell r="F1114">
            <v>0</v>
          </cell>
          <cell r="G1114" t="str">
            <v>Color</v>
          </cell>
        </row>
        <row r="1115">
          <cell r="C1115">
            <v>7640009477</v>
          </cell>
          <cell r="D1115" t="str">
            <v>EFI FIERY SEEQUENCE COMPOSE</v>
          </cell>
          <cell r="E1115">
            <v>0</v>
          </cell>
          <cell r="F1115">
            <v>0</v>
          </cell>
          <cell r="G1115" t="str">
            <v>Color</v>
          </cell>
        </row>
        <row r="1116">
          <cell r="C1116" t="str">
            <v>A2X0011</v>
          </cell>
          <cell r="D1116" t="str">
            <v>BIZHUB C754 PRINTER/COPIER</v>
          </cell>
          <cell r="E1116">
            <v>756</v>
          </cell>
          <cell r="F1116">
            <v>1</v>
          </cell>
        </row>
        <row r="1117">
          <cell r="C1117">
            <v>7640014724</v>
          </cell>
          <cell r="D1117" t="str">
            <v>INNOVOLT POWER MANAGER 20AMP</v>
          </cell>
          <cell r="E1117">
            <v>679</v>
          </cell>
          <cell r="F1117">
            <v>0.89814814814815003</v>
          </cell>
        </row>
        <row r="1118">
          <cell r="C1118" t="str">
            <v>A4MF011</v>
          </cell>
          <cell r="D1118" t="str">
            <v>FK-511 FAX KIT</v>
          </cell>
          <cell r="E1118">
            <v>478</v>
          </cell>
          <cell r="F1118">
            <v>0.63227513227512999</v>
          </cell>
        </row>
        <row r="1119">
          <cell r="C1119" t="str">
            <v>A3EPWY1</v>
          </cell>
          <cell r="D1119" t="str">
            <v>FS-534 50-SHEET STAPLE FINISHER</v>
          </cell>
          <cell r="E1119">
            <v>445</v>
          </cell>
          <cell r="F1119">
            <v>0.58862433862434005</v>
          </cell>
        </row>
        <row r="1120">
          <cell r="C1120" t="str">
            <v>A3ETW11</v>
          </cell>
          <cell r="D1120" t="str">
            <v>PK-520 PUNCH KIT</v>
          </cell>
          <cell r="E1120">
            <v>356</v>
          </cell>
          <cell r="F1120">
            <v>0.47089947089946999</v>
          </cell>
        </row>
        <row r="1121">
          <cell r="C1121" t="str">
            <v>A2Y1WY1</v>
          </cell>
          <cell r="D1121" t="str">
            <v>FS-535 100-SHEET STAPLING FINISHER</v>
          </cell>
          <cell r="E1121">
            <v>293</v>
          </cell>
          <cell r="F1121">
            <v>0.38756613756614</v>
          </cell>
        </row>
        <row r="1122">
          <cell r="C1122" t="str">
            <v>A2YRW11</v>
          </cell>
          <cell r="D1122" t="str">
            <v>PK-521 2/3-HOLE PUNCH KIT</v>
          </cell>
          <cell r="E1122">
            <v>243</v>
          </cell>
          <cell r="F1122">
            <v>0.32142857142857001</v>
          </cell>
        </row>
        <row r="1123">
          <cell r="C1123" t="str">
            <v>A0W4WY2</v>
          </cell>
          <cell r="D1123" t="str">
            <v>WT-506 WORKING TABLE</v>
          </cell>
          <cell r="E1123">
            <v>176</v>
          </cell>
          <cell r="F1123">
            <v>0.23280423280422999</v>
          </cell>
        </row>
        <row r="1124">
          <cell r="C1124" t="str">
            <v>A2Y2WY1</v>
          </cell>
          <cell r="D1124" t="str">
            <v>SD-512 SADDLE STITCHER</v>
          </cell>
          <cell r="E1124">
            <v>161</v>
          </cell>
          <cell r="F1124">
            <v>0.21296296296296</v>
          </cell>
        </row>
        <row r="1125">
          <cell r="C1125" t="str">
            <v>A03NWY2</v>
          </cell>
          <cell r="D1125" t="str">
            <v>LU-301 LARGE CAPACITY UNIT</v>
          </cell>
          <cell r="E1125">
            <v>126</v>
          </cell>
          <cell r="F1125">
            <v>0.16666666666666999</v>
          </cell>
        </row>
        <row r="1126">
          <cell r="C1126" t="str">
            <v>A0TJWY4</v>
          </cell>
          <cell r="D1126" t="str">
            <v>LU-204 LARGE CAPACITY UNIT</v>
          </cell>
          <cell r="E1126">
            <v>95</v>
          </cell>
          <cell r="F1126">
            <v>0.12566137566138</v>
          </cell>
        </row>
        <row r="1127">
          <cell r="C1127">
            <v>7640006869</v>
          </cell>
          <cell r="D1127" t="str">
            <v>EXT KEYBRD(CHERRY KEYBD G84-4100LCAUS-2)</v>
          </cell>
          <cell r="E1127">
            <v>65</v>
          </cell>
          <cell r="F1127">
            <v>8.5978835978839999E-2</v>
          </cell>
        </row>
        <row r="1128">
          <cell r="C1128" t="str">
            <v>A3ERWY1</v>
          </cell>
          <cell r="D1128" t="str">
            <v>SD-511 SADDLE STITCH KIT</v>
          </cell>
          <cell r="E1128">
            <v>64</v>
          </cell>
          <cell r="F1128">
            <v>8.4656084656080002E-2</v>
          </cell>
        </row>
        <row r="1129">
          <cell r="C1129" t="str">
            <v>A4NRWY1</v>
          </cell>
          <cell r="D1129" t="str">
            <v>KH-102 KEYBOARD HOLDER</v>
          </cell>
          <cell r="E1129">
            <v>57</v>
          </cell>
          <cell r="F1129">
            <v>7.539682539683E-2</v>
          </cell>
        </row>
        <row r="1130">
          <cell r="C1130" t="str">
            <v>A4MGWY1</v>
          </cell>
          <cell r="D1130" t="str">
            <v>VI-506 VIDEO INTERFACE FOR IC-414</v>
          </cell>
          <cell r="E1130">
            <v>51</v>
          </cell>
          <cell r="F1130">
            <v>6.7460317460319996E-2</v>
          </cell>
        </row>
        <row r="1131">
          <cell r="C1131" t="str">
            <v>A4MHWY1</v>
          </cell>
          <cell r="D1131" t="str">
            <v>*UK-204 MEMORY UPGRADE KIT</v>
          </cell>
          <cell r="E1131">
            <v>29</v>
          </cell>
          <cell r="F1131">
            <v>3.8359788359790002E-2</v>
          </cell>
        </row>
        <row r="1132">
          <cell r="C1132">
            <v>7640004314</v>
          </cell>
          <cell r="D1132" t="str">
            <v>**EFI SPECTROPHOTOMETER ES-1000 V.2.0</v>
          </cell>
          <cell r="E1132">
            <v>28</v>
          </cell>
          <cell r="F1132">
            <v>3.7037037037039998E-2</v>
          </cell>
        </row>
        <row r="1133">
          <cell r="C1133" t="str">
            <v>A0X9WY1</v>
          </cell>
          <cell r="D1133" t="str">
            <v>AU-102 Biometric Authentication Unit</v>
          </cell>
          <cell r="E1133">
            <v>22</v>
          </cell>
          <cell r="F1133">
            <v>2.9100529100530001E-2</v>
          </cell>
        </row>
        <row r="1134">
          <cell r="C1134" t="str">
            <v>A0YCWY4</v>
          </cell>
          <cell r="D1134" t="str">
            <v>EK-604 USB</v>
          </cell>
          <cell r="E1134">
            <v>21</v>
          </cell>
          <cell r="F1134">
            <v>2.777777777778E-2</v>
          </cell>
        </row>
        <row r="1135">
          <cell r="C1135" t="str">
            <v>A0PD01H</v>
          </cell>
          <cell r="D1135" t="str">
            <v>LK-101 v3 WEB BROWSER/IMAGE PNL IOPTN KT</v>
          </cell>
          <cell r="E1135">
            <v>20</v>
          </cell>
          <cell r="F1135">
            <v>2.6455026455029999E-2</v>
          </cell>
        </row>
        <row r="1136">
          <cell r="C1136" t="str">
            <v>A10AWY1</v>
          </cell>
          <cell r="D1136" t="str">
            <v>PI-505 Post Inserter</v>
          </cell>
          <cell r="E1136">
            <v>20</v>
          </cell>
          <cell r="F1136">
            <v>2.6455026455029999E-2</v>
          </cell>
        </row>
        <row r="1137">
          <cell r="C1137">
            <v>4614506</v>
          </cell>
          <cell r="D1137" t="str">
            <v>SP-501 STAMP UNIT</v>
          </cell>
          <cell r="E1137">
            <v>15</v>
          </cell>
          <cell r="F1137">
            <v>1.984126984127E-2</v>
          </cell>
        </row>
        <row r="1138">
          <cell r="C1138">
            <v>7640005064</v>
          </cell>
          <cell r="D1138" t="str">
            <v>AU-201H HID CARD AUTHENTICATION UNIT</v>
          </cell>
          <cell r="E1138">
            <v>15</v>
          </cell>
          <cell r="F1138">
            <v>1.984126984127E-2</v>
          </cell>
        </row>
        <row r="1139">
          <cell r="C1139" t="str">
            <v>A109W12</v>
          </cell>
          <cell r="D1139" t="str">
            <v>ZU-606 Z-FOLD UNIT</v>
          </cell>
          <cell r="E1139">
            <v>15</v>
          </cell>
          <cell r="F1139">
            <v>1.984126984127E-2</v>
          </cell>
        </row>
        <row r="1140">
          <cell r="C1140" t="str">
            <v>A092WW1</v>
          </cell>
          <cell r="D1140" t="str">
            <v>OT-503 OUTPUT TRAY</v>
          </cell>
          <cell r="E1140">
            <v>13</v>
          </cell>
          <cell r="F1140">
            <v>1.7195767195770002E-2</v>
          </cell>
        </row>
        <row r="1141">
          <cell r="C1141" t="str">
            <v>A0YCWY3</v>
          </cell>
          <cell r="D1141" t="str">
            <v>EK-605 USB</v>
          </cell>
          <cell r="E1141">
            <v>13</v>
          </cell>
          <cell r="F1141">
            <v>1.7195767195770002E-2</v>
          </cell>
        </row>
        <row r="1142">
          <cell r="C1142">
            <v>7640013468</v>
          </cell>
          <cell r="D1142" t="str">
            <v>AU-204H MagStripe card reader</v>
          </cell>
          <cell r="E1142">
            <v>12</v>
          </cell>
          <cell r="F1142">
            <v>1.5873015873020001E-2</v>
          </cell>
        </row>
        <row r="1143">
          <cell r="C1143" t="str">
            <v>A0PD018</v>
          </cell>
          <cell r="D1143" t="str">
            <v>LK-105 v3 SEARCHABLE PDF IOPTION KIT</v>
          </cell>
          <cell r="E1143">
            <v>12</v>
          </cell>
          <cell r="F1143">
            <v>1.5873015873020001E-2</v>
          </cell>
        </row>
        <row r="1144">
          <cell r="C1144" t="str">
            <v>A0PD016</v>
          </cell>
          <cell r="D1144" t="str">
            <v>LK-102 v3 PDF ENCRYPTION IOPTION KIT</v>
          </cell>
          <cell r="E1144">
            <v>9</v>
          </cell>
          <cell r="F1144">
            <v>1.1904761904759999E-2</v>
          </cell>
        </row>
        <row r="1145">
          <cell r="C1145" t="str">
            <v>A10CWY1</v>
          </cell>
          <cell r="D1145" t="str">
            <v>JS-602 Job Separator</v>
          </cell>
          <cell r="E1145">
            <v>9</v>
          </cell>
          <cell r="F1145">
            <v>1.1904761904759999E-2</v>
          </cell>
        </row>
        <row r="1146">
          <cell r="C1146" t="str">
            <v>A4MMWY1</v>
          </cell>
          <cell r="D1146" t="str">
            <v>SC-508 COPY GUARD KIT</v>
          </cell>
          <cell r="E1146">
            <v>5</v>
          </cell>
          <cell r="F1146">
            <v>6.6137566137599996E-3</v>
          </cell>
        </row>
        <row r="1147">
          <cell r="C1147" t="str">
            <v>A4NMWY1</v>
          </cell>
          <cell r="D1147" t="str">
            <v>MK-735 IC CARD MOUNT KIT</v>
          </cell>
          <cell r="E1147">
            <v>4</v>
          </cell>
          <cell r="F1147">
            <v>5.2910052910099996E-3</v>
          </cell>
        </row>
        <row r="1148">
          <cell r="C1148">
            <v>4623474</v>
          </cell>
          <cell r="D1148" t="str">
            <v>KEY COUNTER MOUNT KIT</v>
          </cell>
          <cell r="E1148">
            <v>3</v>
          </cell>
          <cell r="F1148">
            <v>3.9682539682499999E-3</v>
          </cell>
        </row>
        <row r="1149">
          <cell r="C1149">
            <v>7640008394</v>
          </cell>
          <cell r="D1149" t="str">
            <v>AU-202H ICLASS CARD READER</v>
          </cell>
          <cell r="E1149">
            <v>3</v>
          </cell>
          <cell r="F1149">
            <v>3.9682539682499999E-3</v>
          </cell>
        </row>
        <row r="1150">
          <cell r="C1150">
            <v>7640009478</v>
          </cell>
          <cell r="D1150" t="str">
            <v>EFI FIERY SEEQUENCE IMPOSE+COMPOSE SUITE</v>
          </cell>
          <cell r="E1150">
            <v>3</v>
          </cell>
          <cell r="F1150">
            <v>3.9682539682499999E-3</v>
          </cell>
        </row>
        <row r="1151">
          <cell r="C1151" t="str">
            <v>A0PD01G</v>
          </cell>
          <cell r="D1151" t="str">
            <v>LK-108 OCR FONT IOPTION KIT</v>
          </cell>
          <cell r="E1151">
            <v>3</v>
          </cell>
          <cell r="F1151">
            <v>3.9682539682499999E-3</v>
          </cell>
        </row>
        <row r="1152">
          <cell r="C1152">
            <v>7640009476</v>
          </cell>
          <cell r="D1152" t="str">
            <v>EFI FIERY SEEQUENCE IMPOSE</v>
          </cell>
          <cell r="E1152">
            <v>2</v>
          </cell>
          <cell r="F1152">
            <v>2.6455026454999999E-3</v>
          </cell>
        </row>
        <row r="1153">
          <cell r="C1153">
            <v>4614511</v>
          </cell>
          <cell r="D1153" t="str">
            <v>SPARE TX MARKER STAMP 2</v>
          </cell>
          <cell r="E1153">
            <v>1</v>
          </cell>
          <cell r="F1153">
            <v>1.32275132275E-3</v>
          </cell>
        </row>
        <row r="1154">
          <cell r="C1154">
            <v>7640004312</v>
          </cell>
          <cell r="D1154" t="str">
            <v>EFI HOT FOLDERS</v>
          </cell>
          <cell r="E1154">
            <v>1</v>
          </cell>
          <cell r="F1154">
            <v>1.32275132275E-3</v>
          </cell>
        </row>
        <row r="1155">
          <cell r="C1155">
            <v>7640004313</v>
          </cell>
          <cell r="D1155" t="str">
            <v>EFI AUTO TRAP</v>
          </cell>
          <cell r="E1155">
            <v>1</v>
          </cell>
          <cell r="F1155">
            <v>1.32275132275E-3</v>
          </cell>
        </row>
        <row r="1156">
          <cell r="C1156">
            <v>7640005261</v>
          </cell>
          <cell r="D1156" t="str">
            <v>HID PROXIMITY CARD 10 PACK</v>
          </cell>
          <cell r="E1156">
            <v>1</v>
          </cell>
          <cell r="F1156">
            <v>1.32275132275E-3</v>
          </cell>
        </row>
        <row r="1157">
          <cell r="C1157">
            <v>7640012657</v>
          </cell>
          <cell r="D1157" t="str">
            <v>**EFI FIERY CPS V3.0 UV ES-1000</v>
          </cell>
          <cell r="E1157">
            <v>1</v>
          </cell>
          <cell r="F1157">
            <v>1.32275132275E-3</v>
          </cell>
        </row>
        <row r="1158">
          <cell r="C1158" t="str">
            <v>A0PD017</v>
          </cell>
          <cell r="D1158" t="str">
            <v>LK-104 v3 VIDEO GUIDANCE IOPTION KIT</v>
          </cell>
          <cell r="E1158">
            <v>1</v>
          </cell>
          <cell r="F1158">
            <v>1.32275132275E-3</v>
          </cell>
        </row>
        <row r="1159">
          <cell r="C1159" t="str">
            <v>A4FRWY1</v>
          </cell>
          <cell r="D1159" t="str">
            <v>*IC-414 FIERY CONTROLLER</v>
          </cell>
          <cell r="E1159">
            <v>1</v>
          </cell>
          <cell r="F1159">
            <v>1.32275132275E-3</v>
          </cell>
        </row>
        <row r="1160">
          <cell r="C1160">
            <v>7640009477</v>
          </cell>
          <cell r="D1160" t="str">
            <v>EFI FIERY SEEQUENCE COMPOSE</v>
          </cell>
          <cell r="E1160">
            <v>0</v>
          </cell>
          <cell r="F1160">
            <v>0</v>
          </cell>
        </row>
        <row r="1161">
          <cell r="C1161" t="str">
            <v>A0PD019</v>
          </cell>
          <cell r="D1161" t="str">
            <v>LK-106 BAR CODE FONTS IOPTION KIT</v>
          </cell>
          <cell r="E1161">
            <v>0</v>
          </cell>
          <cell r="F1161">
            <v>0</v>
          </cell>
        </row>
        <row r="1162">
          <cell r="C1162" t="str">
            <v>A0PD01F</v>
          </cell>
          <cell r="D1162" t="str">
            <v>LK-107 UNICODE FONT IOPTION KIT</v>
          </cell>
          <cell r="E1162">
            <v>0</v>
          </cell>
          <cell r="F1162">
            <v>0</v>
          </cell>
        </row>
        <row r="1163">
          <cell r="C1163" t="str">
            <v>A1DV011</v>
          </cell>
          <cell r="D1163" t="str">
            <v>C6000 60PPM COLOR PRINT ENGINE</v>
          </cell>
          <cell r="E1163">
            <v>214</v>
          </cell>
          <cell r="F1163">
            <v>1</v>
          </cell>
          <cell r="G1163" t="str">
            <v>Color-P</v>
          </cell>
        </row>
        <row r="1164">
          <cell r="C1164" t="str">
            <v>A1TWWY1</v>
          </cell>
          <cell r="D1164" t="str">
            <v>DF-622 DOCUMENT FEEDER</v>
          </cell>
          <cell r="E1164">
            <v>199</v>
          </cell>
          <cell r="F1164">
            <v>0.92990654205607004</v>
          </cell>
          <cell r="G1164" t="str">
            <v>Color-P</v>
          </cell>
        </row>
        <row r="1165">
          <cell r="C1165" t="str">
            <v>A21GWY1</v>
          </cell>
          <cell r="D1165" t="str">
            <v>PH-102 PREVIEW UPGRADE KIT</v>
          </cell>
          <cell r="E1165">
            <v>162</v>
          </cell>
          <cell r="F1165">
            <v>0.75700934579439005</v>
          </cell>
          <cell r="G1165" t="str">
            <v>Color-P</v>
          </cell>
        </row>
        <row r="1166">
          <cell r="C1166" t="str">
            <v>A3JRWY1</v>
          </cell>
          <cell r="D1166" t="str">
            <v>IC-413 FIERY EMBEDDED CONTROLLER</v>
          </cell>
          <cell r="E1166">
            <v>125</v>
          </cell>
          <cell r="F1166">
            <v>0.58411214953270996</v>
          </cell>
          <cell r="G1166" t="str">
            <v>Color-P</v>
          </cell>
        </row>
        <row r="1167">
          <cell r="C1167" t="str">
            <v>A1TVWY1</v>
          </cell>
          <cell r="D1167" t="str">
            <v>FS-612 BOOKLET FINISHER</v>
          </cell>
          <cell r="E1167">
            <v>119</v>
          </cell>
          <cell r="F1167">
            <v>0.55607476635513997</v>
          </cell>
          <cell r="G1167" t="str">
            <v>Color-P</v>
          </cell>
        </row>
        <row r="1168">
          <cell r="C1168" t="str">
            <v>A0U4WY1</v>
          </cell>
          <cell r="D1168" t="str">
            <v>PF-602 PAPER FEED UNIT</v>
          </cell>
          <cell r="E1168">
            <v>116</v>
          </cell>
          <cell r="F1168">
            <v>0.54205607476635997</v>
          </cell>
          <cell r="G1168" t="str">
            <v>Color-P</v>
          </cell>
        </row>
        <row r="1169">
          <cell r="C1169">
            <v>7640004314</v>
          </cell>
          <cell r="D1169" t="str">
            <v>**EFI SPECTROPHOTOMETER ES-1000 V.2.0</v>
          </cell>
          <cell r="E1169">
            <v>98</v>
          </cell>
          <cell r="F1169">
            <v>0.45794392523364003</v>
          </cell>
          <cell r="G1169" t="str">
            <v>Color-P</v>
          </cell>
        </row>
        <row r="1170">
          <cell r="C1170" t="str">
            <v>A04F0Y1</v>
          </cell>
          <cell r="D1170" t="str">
            <v>PK-512 SELECTABLE 2/3-HOLE PUNCH KIT</v>
          </cell>
          <cell r="E1170">
            <v>79</v>
          </cell>
          <cell r="F1170">
            <v>0.36915887850467</v>
          </cell>
          <cell r="G1170" t="str">
            <v>Color-P</v>
          </cell>
        </row>
        <row r="1171">
          <cell r="C1171" t="str">
            <v>A03WWW0</v>
          </cell>
          <cell r="D1171" t="str">
            <v>LU202 LARGE CAPACITY TRAY</v>
          </cell>
          <cell r="E1171">
            <v>76</v>
          </cell>
          <cell r="F1171">
            <v>0.35514018691589</v>
          </cell>
          <cell r="G1171" t="str">
            <v>Color-P</v>
          </cell>
        </row>
        <row r="1172">
          <cell r="C1172" t="str">
            <v>A0GYWY2</v>
          </cell>
          <cell r="D1172" t="str">
            <v>FS-521 STAPLE FINISHER</v>
          </cell>
          <cell r="E1172">
            <v>62</v>
          </cell>
          <cell r="F1172">
            <v>0.28971962616822</v>
          </cell>
          <cell r="G1172" t="str">
            <v>Color-P</v>
          </cell>
        </row>
        <row r="1173">
          <cell r="C1173" t="str">
            <v>A21EWY1</v>
          </cell>
          <cell r="D1173" t="str">
            <v>MB-504 MULTI BYPASS TRAY UNIT</v>
          </cell>
          <cell r="E1173">
            <v>51</v>
          </cell>
          <cell r="F1173">
            <v>0.23831775700935001</v>
          </cell>
          <cell r="G1173" t="str">
            <v>Color-P</v>
          </cell>
        </row>
        <row r="1174">
          <cell r="C1174" t="str">
            <v>A0H2WY2</v>
          </cell>
          <cell r="D1174" t="str">
            <v>SD-506 SADDLE STITCH UNIT</v>
          </cell>
          <cell r="E1174">
            <v>29</v>
          </cell>
          <cell r="F1174">
            <v>0.13551401869158999</v>
          </cell>
          <cell r="G1174" t="str">
            <v>Color-P</v>
          </cell>
        </row>
        <row r="1175">
          <cell r="C1175" t="str">
            <v>A0H0W11</v>
          </cell>
          <cell r="D1175" t="str">
            <v>FD-503 MULTIFOLDING UNIT GENERIC</v>
          </cell>
          <cell r="E1175">
            <v>28</v>
          </cell>
          <cell r="F1175">
            <v>0.13084112149533</v>
          </cell>
          <cell r="G1175" t="str">
            <v>Color-P</v>
          </cell>
        </row>
        <row r="1176">
          <cell r="C1176" t="str">
            <v>A0410Y1</v>
          </cell>
          <cell r="D1176" t="str">
            <v>HT-504 DEHUMID HEATER FOR PF-601</v>
          </cell>
          <cell r="E1176">
            <v>27</v>
          </cell>
          <cell r="F1176">
            <v>0.12616822429906999</v>
          </cell>
          <cell r="G1176" t="str">
            <v>Color-P</v>
          </cell>
        </row>
        <row r="1177">
          <cell r="C1177">
            <v>7640009476</v>
          </cell>
          <cell r="D1177" t="str">
            <v>EFI FIERY SEEQUENCE IMPOSE</v>
          </cell>
          <cell r="E1177">
            <v>26</v>
          </cell>
          <cell r="F1177">
            <v>0.1214953271028</v>
          </cell>
          <cell r="G1177" t="str">
            <v>Color-P</v>
          </cell>
        </row>
        <row r="1178">
          <cell r="C1178" t="str">
            <v>A0410Y0</v>
          </cell>
          <cell r="D1178" t="str">
            <v>HT-503 DEHUMID HEATER FOR LU-202</v>
          </cell>
          <cell r="E1178">
            <v>26</v>
          </cell>
          <cell r="F1178">
            <v>0.1214953271028</v>
          </cell>
          <cell r="G1178" t="str">
            <v>Color-P</v>
          </cell>
        </row>
        <row r="1179">
          <cell r="C1179" t="str">
            <v>A2A2W11</v>
          </cell>
          <cell r="D1179" t="str">
            <v>*RU-509 RELAY UNIT</v>
          </cell>
          <cell r="E1179">
            <v>26</v>
          </cell>
          <cell r="F1179">
            <v>0.1214953271028</v>
          </cell>
          <cell r="G1179" t="str">
            <v>Color-P</v>
          </cell>
        </row>
        <row r="1180">
          <cell r="C1180">
            <v>7640009478</v>
          </cell>
          <cell r="D1180" t="str">
            <v>EFI FIERY SEEQUENCE IMPOSE+COMPOSE SUITE</v>
          </cell>
          <cell r="E1180">
            <v>25</v>
          </cell>
          <cell r="F1180">
            <v>0.11682242990654</v>
          </cell>
          <cell r="G1180" t="str">
            <v>Color-P</v>
          </cell>
        </row>
        <row r="1181">
          <cell r="C1181" t="str">
            <v>A2A4WY1</v>
          </cell>
          <cell r="D1181" t="str">
            <v>FS-531 STAPLING FINISHER</v>
          </cell>
          <cell r="E1181">
            <v>19</v>
          </cell>
          <cell r="F1181">
            <v>8.8785046728970002E-2</v>
          </cell>
          <cell r="G1181" t="str">
            <v>Color-P</v>
          </cell>
        </row>
        <row r="1182">
          <cell r="C1182" t="str">
            <v>A0GEWY1</v>
          </cell>
          <cell r="D1182" t="str">
            <v>RU-506 RELAY UNIT</v>
          </cell>
          <cell r="E1182">
            <v>15</v>
          </cell>
          <cell r="F1182">
            <v>7.0093457943930002E-2</v>
          </cell>
          <cell r="G1182" t="str">
            <v>Color-P</v>
          </cell>
        </row>
        <row r="1183">
          <cell r="C1183" t="str">
            <v>A0N9W11</v>
          </cell>
          <cell r="D1183" t="str">
            <v>GP-501 GBC PUNCH UNIT</v>
          </cell>
          <cell r="E1183">
            <v>15</v>
          </cell>
          <cell r="F1183">
            <v>7.0093457943930002E-2</v>
          </cell>
          <cell r="G1183" t="str">
            <v>Color-P</v>
          </cell>
        </row>
        <row r="1184">
          <cell r="C1184" t="str">
            <v>A2130Y1</v>
          </cell>
          <cell r="D1184" t="str">
            <v>IC-601 KONICA MINOLTA PRINT CONTROLLER</v>
          </cell>
          <cell r="E1184">
            <v>14</v>
          </cell>
          <cell r="F1184">
            <v>6.5420560747660006E-2</v>
          </cell>
          <cell r="G1184" t="str">
            <v>Color-P</v>
          </cell>
        </row>
        <row r="1185">
          <cell r="C1185">
            <v>7640004613</v>
          </cell>
          <cell r="D1185" t="str">
            <v>FACI/FURNITURE BUNDLE FOR IC-305</v>
          </cell>
          <cell r="E1185">
            <v>13</v>
          </cell>
          <cell r="F1185">
            <v>6.0747663551400002E-2</v>
          </cell>
          <cell r="G1185" t="str">
            <v>Color-P</v>
          </cell>
        </row>
        <row r="1186">
          <cell r="C1186" t="str">
            <v>A0420Y0</v>
          </cell>
          <cell r="D1186" t="str">
            <v>OC-506 ORIGINAL COVER</v>
          </cell>
          <cell r="E1186">
            <v>13</v>
          </cell>
          <cell r="F1186">
            <v>6.0747663551400002E-2</v>
          </cell>
          <cell r="G1186" t="str">
            <v>Color-P</v>
          </cell>
        </row>
        <row r="1187">
          <cell r="C1187">
            <v>7640004614</v>
          </cell>
          <cell r="D1187" t="str">
            <v>FACI ENABLE DONGLE (NO HW) FOR IC-305</v>
          </cell>
          <cell r="E1187">
            <v>12</v>
          </cell>
          <cell r="F1187">
            <v>5.6074766355139999E-2</v>
          </cell>
          <cell r="G1187" t="str">
            <v>Color-P</v>
          </cell>
        </row>
        <row r="1188">
          <cell r="C1188">
            <v>7640012657</v>
          </cell>
          <cell r="D1188" t="str">
            <v>**EFI FIERY CPS V3.0 UV ES-1000</v>
          </cell>
          <cell r="E1188">
            <v>12</v>
          </cell>
          <cell r="F1188">
            <v>5.6074766355139999E-2</v>
          </cell>
          <cell r="G1188" t="str">
            <v>Color-P</v>
          </cell>
        </row>
        <row r="1189">
          <cell r="C1189" t="str">
            <v>A21FWY1</v>
          </cell>
          <cell r="D1189" t="str">
            <v>WT-508 WORKING TABLE</v>
          </cell>
          <cell r="E1189">
            <v>12</v>
          </cell>
          <cell r="F1189">
            <v>5.6074766355139999E-2</v>
          </cell>
          <cell r="G1189" t="str">
            <v>Color-P</v>
          </cell>
        </row>
        <row r="1190">
          <cell r="C1190" t="str">
            <v>A0NCW11</v>
          </cell>
          <cell r="D1190" t="str">
            <v>DS-502 19 HOLE CERLOX PUNCH DIE</v>
          </cell>
          <cell r="E1190">
            <v>11</v>
          </cell>
          <cell r="F1190">
            <v>5.1401869158880002E-2</v>
          </cell>
          <cell r="G1190" t="str">
            <v>Color-P</v>
          </cell>
        </row>
        <row r="1191">
          <cell r="C1191">
            <v>7640012506</v>
          </cell>
          <cell r="D1191" t="str">
            <v>FIERY OPTION BUNDLE (FACI+GAP+SQS+CPS)</v>
          </cell>
          <cell r="E1191">
            <v>10</v>
          </cell>
          <cell r="F1191">
            <v>4.6728971962619999E-2</v>
          </cell>
          <cell r="G1191" t="str">
            <v>Color-P</v>
          </cell>
        </row>
        <row r="1192">
          <cell r="C1192" t="str">
            <v>A04HWY1</v>
          </cell>
          <cell r="D1192" t="str">
            <v>*PI-502 COVER INSERTER  GENERIC</v>
          </cell>
          <cell r="E1192">
            <v>10</v>
          </cell>
          <cell r="F1192">
            <v>4.6728971962619999E-2</v>
          </cell>
          <cell r="G1192" t="str">
            <v>Color-P</v>
          </cell>
        </row>
        <row r="1193">
          <cell r="C1193" t="str">
            <v>A0430Y0</v>
          </cell>
          <cell r="D1193" t="str">
            <v>OT-502 OFFSET TRAY</v>
          </cell>
          <cell r="E1193">
            <v>8</v>
          </cell>
          <cell r="F1193">
            <v>3.738317757009E-2</v>
          </cell>
          <cell r="G1193" t="str">
            <v>Color-P</v>
          </cell>
        </row>
        <row r="1194">
          <cell r="C1194" t="str">
            <v>A0NAW11</v>
          </cell>
          <cell r="D1194" t="str">
            <v>DS-501 3 HOLE PUNCH DIE</v>
          </cell>
          <cell r="E1194">
            <v>8</v>
          </cell>
          <cell r="F1194">
            <v>3.738317757009E-2</v>
          </cell>
          <cell r="G1194" t="str">
            <v>Color-P</v>
          </cell>
        </row>
        <row r="1195">
          <cell r="C1195" t="str">
            <v>A0NFW11</v>
          </cell>
          <cell r="D1195" t="str">
            <v>DS-505 44 HOLE COLOR COIL PUNCH DIE</v>
          </cell>
          <cell r="E1195">
            <v>5</v>
          </cell>
          <cell r="F1195">
            <v>2.3364485981309999E-2</v>
          </cell>
          <cell r="G1195" t="str">
            <v>Color-P</v>
          </cell>
        </row>
        <row r="1196">
          <cell r="C1196" t="str">
            <v>A15XW11</v>
          </cell>
          <cell r="D1196" t="str">
            <v>PB-503 PERFECT BINDER</v>
          </cell>
          <cell r="E1196">
            <v>5</v>
          </cell>
          <cell r="F1196">
            <v>2.3364485981309999E-2</v>
          </cell>
          <cell r="G1196" t="str">
            <v>Color-P</v>
          </cell>
        </row>
        <row r="1197">
          <cell r="C1197">
            <v>7640014501</v>
          </cell>
          <cell r="D1197" t="str">
            <v>PRODUCTIVITY PACKAGE FOR FIERY IC-413</v>
          </cell>
          <cell r="E1197">
            <v>4</v>
          </cell>
          <cell r="F1197">
            <v>1.8691588785049999E-2</v>
          </cell>
          <cell r="G1197" t="str">
            <v>Color-P</v>
          </cell>
        </row>
        <row r="1198">
          <cell r="C1198">
            <v>7640014503</v>
          </cell>
          <cell r="D1198" t="str">
            <v>HOT FOLDERS + VIRTUAL PTRS FOR IC-413</v>
          </cell>
          <cell r="E1198">
            <v>4</v>
          </cell>
          <cell r="F1198">
            <v>1.8691588785049999E-2</v>
          </cell>
          <cell r="G1198" t="str">
            <v>Color-P</v>
          </cell>
        </row>
        <row r="1199">
          <cell r="C1199">
            <v>7640002300</v>
          </cell>
          <cell r="D1199" t="str">
            <v>HDD SECURITY KIT FOR IC-302/303/305/306</v>
          </cell>
          <cell r="E1199">
            <v>3</v>
          </cell>
          <cell r="F1199">
            <v>1.4018691588789999E-2</v>
          </cell>
          <cell r="G1199" t="str">
            <v>Color-P</v>
          </cell>
        </row>
        <row r="1200">
          <cell r="C1200">
            <v>7640012503</v>
          </cell>
          <cell r="D1200" t="str">
            <v>FIERY GR ARTS PKG W/FIERY OPT UTIL DVD</v>
          </cell>
          <cell r="E1200">
            <v>3</v>
          </cell>
          <cell r="F1200">
            <v>1.4018691588789999E-2</v>
          </cell>
          <cell r="G1200" t="str">
            <v>Color-P</v>
          </cell>
        </row>
        <row r="1201">
          <cell r="C1201" t="str">
            <v>A0NEW11</v>
          </cell>
          <cell r="D1201" t="str">
            <v>DS-504 21 HOLE WIREBIND PUNCH DIE</v>
          </cell>
          <cell r="E1201">
            <v>3</v>
          </cell>
          <cell r="F1201">
            <v>1.4018691588789999E-2</v>
          </cell>
          <cell r="G1201" t="str">
            <v>Color-P</v>
          </cell>
        </row>
        <row r="1202">
          <cell r="C1202" t="str">
            <v>A2A3WY1</v>
          </cell>
          <cell r="D1202" t="str">
            <v>*HM-102 PAPER HUMIDIFIER</v>
          </cell>
          <cell r="E1202">
            <v>3</v>
          </cell>
          <cell r="F1202">
            <v>1.4018691588789999E-2</v>
          </cell>
          <cell r="G1202" t="str">
            <v>Color-P</v>
          </cell>
        </row>
        <row r="1203">
          <cell r="C1203">
            <v>7640009477</v>
          </cell>
          <cell r="D1203" t="str">
            <v>EFI FIERY SEEQUENCE COMPOSE</v>
          </cell>
          <cell r="E1203">
            <v>2</v>
          </cell>
          <cell r="F1203">
            <v>9.3457943925200002E-3</v>
          </cell>
          <cell r="G1203" t="str">
            <v>Color-P</v>
          </cell>
        </row>
        <row r="1204">
          <cell r="C1204">
            <v>7640014504</v>
          </cell>
          <cell r="D1204" t="str">
            <v>EFI AUTO TRAP FOR FIERY IC-413</v>
          </cell>
          <cell r="E1204">
            <v>2</v>
          </cell>
          <cell r="F1204">
            <v>9.3457943925200002E-3</v>
          </cell>
          <cell r="G1204" t="str">
            <v>Color-P</v>
          </cell>
        </row>
        <row r="1205">
          <cell r="C1205" t="str">
            <v>A0NDW11</v>
          </cell>
          <cell r="D1205" t="str">
            <v>DS-503 32 HOLE WIREBIND PUNCH DIE</v>
          </cell>
          <cell r="E1205">
            <v>2</v>
          </cell>
          <cell r="F1205">
            <v>9.3457943925200002E-3</v>
          </cell>
          <cell r="G1205" t="str">
            <v>Color-P</v>
          </cell>
        </row>
        <row r="1206">
          <cell r="C1206">
            <v>7640012504</v>
          </cell>
          <cell r="D1206" t="str">
            <v>FIERY GR ARTS PKG PREM W/OPT UTIL DVD</v>
          </cell>
          <cell r="E1206">
            <v>1</v>
          </cell>
          <cell r="F1206">
            <v>4.6728971962600001E-3</v>
          </cell>
          <cell r="G1206" t="str">
            <v>Color-P</v>
          </cell>
        </row>
        <row r="1207">
          <cell r="C1207">
            <v>7640012659</v>
          </cell>
          <cell r="D1207" t="str">
            <v>CPS V3 UV ES-1000 W/I1IO SCAN TABLE</v>
          </cell>
          <cell r="E1207">
            <v>1</v>
          </cell>
          <cell r="F1207">
            <v>4.6728971962600001E-3</v>
          </cell>
          <cell r="G1207" t="str">
            <v>Color-P</v>
          </cell>
        </row>
        <row r="1208">
          <cell r="C1208">
            <v>7640012660</v>
          </cell>
          <cell r="D1208" t="str">
            <v>EFI FIERY CPS V3.0 SOFTWARE ONLY</v>
          </cell>
          <cell r="E1208">
            <v>1</v>
          </cell>
          <cell r="F1208">
            <v>4.6728971962600001E-3</v>
          </cell>
          <cell r="G1208" t="str">
            <v>Color-P</v>
          </cell>
        </row>
        <row r="1209">
          <cell r="C1209">
            <v>7640014502</v>
          </cell>
          <cell r="D1209" t="str">
            <v>EFI SECURE ERASE FOR FIERY IC-413</v>
          </cell>
          <cell r="E1209">
            <v>1</v>
          </cell>
          <cell r="F1209">
            <v>4.6728971962600001E-3</v>
          </cell>
          <cell r="G1209" t="str">
            <v>Color-P</v>
          </cell>
        </row>
        <row r="1210">
          <cell r="C1210" t="str">
            <v>A1AHWY1</v>
          </cell>
          <cell r="D1210" t="str">
            <v>LC-501 ROLLAWAY CART FOR LS-505</v>
          </cell>
          <cell r="E1210">
            <v>1</v>
          </cell>
          <cell r="F1210">
            <v>4.6728971962600001E-3</v>
          </cell>
          <cell r="G1210" t="str">
            <v>Color-P</v>
          </cell>
        </row>
        <row r="1211">
          <cell r="C1211">
            <v>7640012505</v>
          </cell>
          <cell r="D1211" t="str">
            <v>FIERY GR ARTS PKG PREM UPGR W/UTIL DVD</v>
          </cell>
          <cell r="E1211">
            <v>0</v>
          </cell>
          <cell r="F1211">
            <v>0</v>
          </cell>
          <cell r="G1211" t="str">
            <v>Color-P</v>
          </cell>
        </row>
        <row r="1212">
          <cell r="C1212">
            <v>7640012661</v>
          </cell>
          <cell r="D1212" t="str">
            <v>EFI FIERY CPS UPGRADE V2.X TO V3.0</v>
          </cell>
          <cell r="E1212">
            <v>0</v>
          </cell>
          <cell r="F1212">
            <v>0</v>
          </cell>
          <cell r="G1212" t="str">
            <v>Color-P</v>
          </cell>
        </row>
        <row r="1213">
          <cell r="C1213">
            <v>7640012662</v>
          </cell>
          <cell r="D1213" t="str">
            <v>I1IO SCANNING TABLE FOR EFI ES-1000</v>
          </cell>
          <cell r="E1213">
            <v>0</v>
          </cell>
          <cell r="F1213">
            <v>0</v>
          </cell>
          <cell r="G1213" t="str">
            <v>Color-P</v>
          </cell>
        </row>
        <row r="1214">
          <cell r="C1214" t="str">
            <v>A0H1W12</v>
          </cell>
          <cell r="D1214" t="str">
            <v>*LS-505 LARGE CAPACITY STACKER</v>
          </cell>
          <cell r="E1214">
            <v>0</v>
          </cell>
          <cell r="F1214">
            <v>0</v>
          </cell>
          <cell r="G1214" t="str">
            <v>Color-P</v>
          </cell>
        </row>
        <row r="1215">
          <cell r="C1215" t="str">
            <v>A0NGW11</v>
          </cell>
          <cell r="D1215" t="str">
            <v>DS-506 11 HOLE VELOBIND PUNCH DIE</v>
          </cell>
          <cell r="E1215">
            <v>0</v>
          </cell>
          <cell r="F1215">
            <v>0</v>
          </cell>
          <cell r="G1215" t="str">
            <v>Color-P</v>
          </cell>
        </row>
        <row r="1216">
          <cell r="C1216" t="str">
            <v>A1RMWY1</v>
          </cell>
          <cell r="D1216" t="str">
            <v>*HD-514 HARD DISK DRIVE</v>
          </cell>
          <cell r="E1216">
            <v>0</v>
          </cell>
          <cell r="F1216">
            <v>0</v>
          </cell>
          <cell r="G1216" t="str">
            <v>Color-P</v>
          </cell>
        </row>
        <row r="1217">
          <cell r="C1217" t="str">
            <v>A21DWY1</v>
          </cell>
          <cell r="D1217" t="str">
            <v>*IC-306 EFI FIERY PRT CONTRL USE A21DWY2</v>
          </cell>
          <cell r="E1217">
            <v>0</v>
          </cell>
          <cell r="F1217">
            <v>0</v>
          </cell>
          <cell r="G1217" t="str">
            <v>Color-P</v>
          </cell>
        </row>
        <row r="1218">
          <cell r="C1218" t="str">
            <v>A1DU011</v>
          </cell>
          <cell r="D1218" t="str">
            <v>C7000 70PPM COLOR PRINT ENGINE</v>
          </cell>
          <cell r="E1218">
            <v>255</v>
          </cell>
          <cell r="F1218">
            <v>1</v>
          </cell>
          <cell r="G1218" t="str">
            <v>Color-P</v>
          </cell>
        </row>
        <row r="1219">
          <cell r="C1219" t="str">
            <v>A1TWWY1</v>
          </cell>
          <cell r="D1219" t="str">
            <v>DF-622 DOCUMENT FEEDER</v>
          </cell>
          <cell r="E1219">
            <v>232</v>
          </cell>
          <cell r="F1219">
            <v>0.90980392156862999</v>
          </cell>
          <cell r="G1219" t="str">
            <v>Color-P</v>
          </cell>
        </row>
        <row r="1220">
          <cell r="C1220" t="str">
            <v>A0U4WY1</v>
          </cell>
          <cell r="D1220" t="str">
            <v>PF-602 PAPER FEED UNIT</v>
          </cell>
          <cell r="E1220">
            <v>182</v>
          </cell>
          <cell r="F1220">
            <v>0.71372549019608</v>
          </cell>
          <cell r="G1220" t="str">
            <v>Color-P</v>
          </cell>
        </row>
        <row r="1221">
          <cell r="C1221" t="str">
            <v>A21GWY1</v>
          </cell>
          <cell r="D1221" t="str">
            <v>PH-102 PREVIEW UPGRADE KIT</v>
          </cell>
          <cell r="E1221">
            <v>173</v>
          </cell>
          <cell r="F1221">
            <v>0.67843137254901997</v>
          </cell>
          <cell r="G1221" t="str">
            <v>Color-P</v>
          </cell>
        </row>
        <row r="1222">
          <cell r="C1222" t="str">
            <v>A3JRWY1</v>
          </cell>
          <cell r="D1222" t="str">
            <v>IC-413 FIERY EMBEDDED CONTROLLER</v>
          </cell>
          <cell r="E1222">
            <v>140</v>
          </cell>
          <cell r="F1222">
            <v>0.54901960784313997</v>
          </cell>
          <cell r="G1222" t="str">
            <v>Color-P</v>
          </cell>
        </row>
        <row r="1223">
          <cell r="C1223" t="str">
            <v>A1TVWY1</v>
          </cell>
          <cell r="D1223" t="str">
            <v>FS-612 BOOKLET FINISHER</v>
          </cell>
          <cell r="E1223">
            <v>129</v>
          </cell>
          <cell r="F1223">
            <v>0.50588235294118</v>
          </cell>
          <cell r="G1223" t="str">
            <v>Color-P</v>
          </cell>
        </row>
        <row r="1224">
          <cell r="C1224" t="str">
            <v>A0GYWY2</v>
          </cell>
          <cell r="D1224" t="str">
            <v>FS-521 STAPLE FINISHER</v>
          </cell>
          <cell r="E1224">
            <v>88</v>
          </cell>
          <cell r="F1224">
            <v>0.34509803921568999</v>
          </cell>
          <cell r="G1224" t="str">
            <v>Color-P</v>
          </cell>
        </row>
        <row r="1225">
          <cell r="C1225">
            <v>7640004314</v>
          </cell>
          <cell r="D1225" t="str">
            <v>**EFI SPECTROPHOTOMETER ES-1000 V.2.0</v>
          </cell>
          <cell r="E1225">
            <v>78</v>
          </cell>
          <cell r="F1225">
            <v>0.30588235294117999</v>
          </cell>
          <cell r="G1225" t="str">
            <v>Color-P</v>
          </cell>
        </row>
        <row r="1226">
          <cell r="C1226" t="str">
            <v>A04F0Y1</v>
          </cell>
          <cell r="D1226" t="str">
            <v>PK-512 SELECTABLE 2/3-HOLE PUNCH KIT</v>
          </cell>
          <cell r="E1226">
            <v>72</v>
          </cell>
          <cell r="F1226">
            <v>0.28235294117646997</v>
          </cell>
          <cell r="G1226" t="str">
            <v>Color-P</v>
          </cell>
        </row>
        <row r="1227">
          <cell r="C1227" t="str">
            <v>A0H2WY2</v>
          </cell>
          <cell r="D1227" t="str">
            <v>SD-506 SADDLE STITCH UNIT</v>
          </cell>
          <cell r="E1227">
            <v>62</v>
          </cell>
          <cell r="F1227">
            <v>0.24313725490196</v>
          </cell>
          <cell r="G1227" t="str">
            <v>Color-P</v>
          </cell>
        </row>
        <row r="1228">
          <cell r="C1228" t="str">
            <v>A03WWW0</v>
          </cell>
          <cell r="D1228" t="str">
            <v>LU202 LARGE CAPACITY TRAY</v>
          </cell>
          <cell r="E1228">
            <v>53</v>
          </cell>
          <cell r="F1228">
            <v>0.2078431372549</v>
          </cell>
          <cell r="G1228" t="str">
            <v>Color-P</v>
          </cell>
        </row>
        <row r="1229">
          <cell r="C1229" t="str">
            <v>A0410Y1</v>
          </cell>
          <cell r="D1229" t="str">
            <v>HT-504 DEHUMID HEATER FOR PF-601</v>
          </cell>
          <cell r="E1229">
            <v>46</v>
          </cell>
          <cell r="F1229">
            <v>0.18039215686275001</v>
          </cell>
          <cell r="G1229" t="str">
            <v>Color-P</v>
          </cell>
        </row>
        <row r="1230">
          <cell r="C1230" t="str">
            <v>A2A2W11</v>
          </cell>
          <cell r="D1230" t="str">
            <v>*RU-509 RELAY UNIT</v>
          </cell>
          <cell r="E1230">
            <v>44</v>
          </cell>
          <cell r="F1230">
            <v>0.17254901960784</v>
          </cell>
          <cell r="G1230" t="str">
            <v>Color-P</v>
          </cell>
        </row>
        <row r="1231">
          <cell r="C1231" t="str">
            <v>A0H0W11</v>
          </cell>
          <cell r="D1231" t="str">
            <v>FD-503 MULTIFOLDING UNIT GENERIC</v>
          </cell>
          <cell r="E1231">
            <v>39</v>
          </cell>
          <cell r="F1231">
            <v>0.15294117647059</v>
          </cell>
          <cell r="G1231" t="str">
            <v>Color-P</v>
          </cell>
        </row>
        <row r="1232">
          <cell r="C1232" t="str">
            <v>A21EWY1</v>
          </cell>
          <cell r="D1232" t="str">
            <v>MB-504 MULTI BYPASS TRAY UNIT</v>
          </cell>
          <cell r="E1232">
            <v>36</v>
          </cell>
          <cell r="F1232">
            <v>0.14117647058824001</v>
          </cell>
          <cell r="G1232" t="str">
            <v>Color-P</v>
          </cell>
        </row>
        <row r="1233">
          <cell r="C1233">
            <v>7640009476</v>
          </cell>
          <cell r="D1233" t="str">
            <v>EFI FIERY SEEQUENCE IMPOSE</v>
          </cell>
          <cell r="E1233">
            <v>35</v>
          </cell>
          <cell r="F1233">
            <v>0.13725490196078</v>
          </cell>
          <cell r="G1233" t="str">
            <v>Color-P</v>
          </cell>
        </row>
        <row r="1234">
          <cell r="C1234">
            <v>7640009478</v>
          </cell>
          <cell r="D1234" t="str">
            <v>EFI FIERY SEEQUENCE IMPOSE+COMPOSE SUITE</v>
          </cell>
          <cell r="E1234">
            <v>24</v>
          </cell>
          <cell r="F1234">
            <v>9.4117647058820003E-2</v>
          </cell>
          <cell r="G1234" t="str">
            <v>Color-P</v>
          </cell>
        </row>
        <row r="1235">
          <cell r="C1235" t="str">
            <v>A0N9W11</v>
          </cell>
          <cell r="D1235" t="str">
            <v>GP-501 GBC PUNCH UNIT</v>
          </cell>
          <cell r="E1235">
            <v>22</v>
          </cell>
          <cell r="F1235">
            <v>8.6274509803919999E-2</v>
          </cell>
          <cell r="G1235" t="str">
            <v>Color-P</v>
          </cell>
        </row>
        <row r="1236">
          <cell r="C1236" t="str">
            <v>A0GEWY1</v>
          </cell>
          <cell r="D1236" t="str">
            <v>RU-506 RELAY UNIT</v>
          </cell>
          <cell r="E1236">
            <v>21</v>
          </cell>
          <cell r="F1236">
            <v>8.2352941176470004E-2</v>
          </cell>
          <cell r="G1236" t="str">
            <v>Color-P</v>
          </cell>
        </row>
        <row r="1237">
          <cell r="C1237">
            <v>7640004614</v>
          </cell>
          <cell r="D1237" t="str">
            <v>FACI ENABLE DONGLE (NO HW) FOR IC-305</v>
          </cell>
          <cell r="E1237">
            <v>20</v>
          </cell>
          <cell r="F1237">
            <v>7.8431372549019995E-2</v>
          </cell>
          <cell r="G1237" t="str">
            <v>Color-P</v>
          </cell>
        </row>
        <row r="1238">
          <cell r="C1238">
            <v>7640012506</v>
          </cell>
          <cell r="D1238" t="str">
            <v>FIERY OPTION BUNDLE (FACI+GAP+SQS+CPS)</v>
          </cell>
          <cell r="E1238">
            <v>19</v>
          </cell>
          <cell r="F1238">
            <v>7.450980392157E-2</v>
          </cell>
          <cell r="G1238" t="str">
            <v>Color-P</v>
          </cell>
        </row>
        <row r="1239">
          <cell r="C1239" t="str">
            <v>A0420Y0</v>
          </cell>
          <cell r="D1239" t="str">
            <v>OC-506 ORIGINAL COVER</v>
          </cell>
          <cell r="E1239">
            <v>18</v>
          </cell>
          <cell r="F1239">
            <v>7.0588235294120005E-2</v>
          </cell>
          <cell r="G1239" t="str">
            <v>Color-P</v>
          </cell>
        </row>
        <row r="1240">
          <cell r="C1240" t="str">
            <v>A0NCW11</v>
          </cell>
          <cell r="D1240" t="str">
            <v>DS-502 19 HOLE CERLOX PUNCH DIE</v>
          </cell>
          <cell r="E1240">
            <v>16</v>
          </cell>
          <cell r="F1240">
            <v>6.2745098039220001E-2</v>
          </cell>
          <cell r="G1240" t="str">
            <v>Color-P</v>
          </cell>
        </row>
        <row r="1241">
          <cell r="C1241" t="str">
            <v>A2A4WY1</v>
          </cell>
          <cell r="D1241" t="str">
            <v>FS-531 STAPLING FINISHER</v>
          </cell>
          <cell r="E1241">
            <v>15</v>
          </cell>
          <cell r="F1241">
            <v>5.882352941176E-2</v>
          </cell>
          <cell r="G1241" t="str">
            <v>Color-P</v>
          </cell>
        </row>
        <row r="1242">
          <cell r="C1242">
            <v>7640012657</v>
          </cell>
          <cell r="D1242" t="str">
            <v>**EFI FIERY CPS V3.0 UV ES-1000</v>
          </cell>
          <cell r="E1242">
            <v>13</v>
          </cell>
          <cell r="F1242">
            <v>5.0980392156859997E-2</v>
          </cell>
          <cell r="G1242" t="str">
            <v>Color-P</v>
          </cell>
        </row>
        <row r="1243">
          <cell r="C1243" t="str">
            <v>A04HWY1</v>
          </cell>
          <cell r="D1243" t="str">
            <v>*PI-502 COVER INSERTER  GENERIC</v>
          </cell>
          <cell r="E1243">
            <v>11</v>
          </cell>
          <cell r="F1243">
            <v>4.313725490196E-2</v>
          </cell>
          <cell r="G1243" t="str">
            <v>Color-P</v>
          </cell>
        </row>
        <row r="1244">
          <cell r="C1244" t="str">
            <v>A0NAW11</v>
          </cell>
          <cell r="D1244" t="str">
            <v>DS-501 3 HOLE PUNCH DIE</v>
          </cell>
          <cell r="E1244">
            <v>11</v>
          </cell>
          <cell r="F1244">
            <v>4.313725490196E-2</v>
          </cell>
          <cell r="G1244" t="str">
            <v>Color-P</v>
          </cell>
        </row>
        <row r="1245">
          <cell r="C1245" t="str">
            <v>A2130Y1</v>
          </cell>
          <cell r="D1245" t="str">
            <v>IC-601 KONICA MINOLTA PRINT CONTROLLER</v>
          </cell>
          <cell r="E1245">
            <v>11</v>
          </cell>
          <cell r="F1245">
            <v>4.313725490196E-2</v>
          </cell>
          <cell r="G1245" t="str">
            <v>Color-P</v>
          </cell>
        </row>
        <row r="1246">
          <cell r="C1246">
            <v>7640004613</v>
          </cell>
          <cell r="D1246" t="str">
            <v>FACI/FURNITURE BUNDLE FOR IC-305</v>
          </cell>
          <cell r="E1246">
            <v>10</v>
          </cell>
          <cell r="F1246">
            <v>3.9215686274509998E-2</v>
          </cell>
          <cell r="G1246" t="str">
            <v>Color-P</v>
          </cell>
        </row>
        <row r="1247">
          <cell r="C1247" t="str">
            <v>A0NFW11</v>
          </cell>
          <cell r="D1247" t="str">
            <v>DS-505 44 HOLE COLOR COIL PUNCH DIE</v>
          </cell>
          <cell r="E1247">
            <v>10</v>
          </cell>
          <cell r="F1247">
            <v>3.9215686274509998E-2</v>
          </cell>
          <cell r="G1247" t="str">
            <v>Color-P</v>
          </cell>
        </row>
        <row r="1248">
          <cell r="C1248" t="str">
            <v>A2A3WY1</v>
          </cell>
          <cell r="D1248" t="str">
            <v>*HM-102 PAPER HUMIDIFIER</v>
          </cell>
          <cell r="E1248">
            <v>10</v>
          </cell>
          <cell r="F1248">
            <v>3.9215686274509998E-2</v>
          </cell>
          <cell r="G1248" t="str">
            <v>Color-P</v>
          </cell>
        </row>
        <row r="1249">
          <cell r="C1249">
            <v>7640012503</v>
          </cell>
          <cell r="D1249" t="str">
            <v>FIERY GR ARTS PKG W/FIERY OPT UTIL DVD</v>
          </cell>
          <cell r="E1249">
            <v>9</v>
          </cell>
          <cell r="F1249">
            <v>3.5294117647060003E-2</v>
          </cell>
          <cell r="G1249" t="str">
            <v>Color-P</v>
          </cell>
        </row>
        <row r="1250">
          <cell r="C1250" t="str">
            <v>A0410Y0</v>
          </cell>
          <cell r="D1250" t="str">
            <v>HT-503 DEHUMID HEATER FOR LU-202</v>
          </cell>
          <cell r="E1250">
            <v>9</v>
          </cell>
          <cell r="F1250">
            <v>3.5294117647060003E-2</v>
          </cell>
          <cell r="G1250" t="str">
            <v>Color-P</v>
          </cell>
        </row>
        <row r="1251">
          <cell r="C1251" t="str">
            <v>A0430Y0</v>
          </cell>
          <cell r="D1251" t="str">
            <v>OT-502 OFFSET TRAY</v>
          </cell>
          <cell r="E1251">
            <v>8</v>
          </cell>
          <cell r="F1251">
            <v>3.1372549019610001E-2</v>
          </cell>
          <cell r="G1251" t="str">
            <v>Color-P</v>
          </cell>
        </row>
        <row r="1252">
          <cell r="C1252">
            <v>7640014501</v>
          </cell>
          <cell r="D1252" t="str">
            <v>PRODUCTIVITY PACKAGE FOR FIERY IC-413</v>
          </cell>
          <cell r="E1252">
            <v>7</v>
          </cell>
          <cell r="F1252">
            <v>2.7450980392159999E-2</v>
          </cell>
          <cell r="G1252" t="str">
            <v>Color-P</v>
          </cell>
        </row>
        <row r="1253">
          <cell r="C1253">
            <v>7640012660</v>
          </cell>
          <cell r="D1253" t="str">
            <v>EFI FIERY CPS V3.0 SOFTWARE ONLY</v>
          </cell>
          <cell r="E1253">
            <v>6</v>
          </cell>
          <cell r="F1253">
            <v>2.352941176471E-2</v>
          </cell>
          <cell r="G1253" t="str">
            <v>Color-P</v>
          </cell>
        </row>
        <row r="1254">
          <cell r="C1254">
            <v>7640014503</v>
          </cell>
          <cell r="D1254" t="str">
            <v>HOT FOLDERS + VIRTUAL PTRS FOR IC-413</v>
          </cell>
          <cell r="E1254">
            <v>6</v>
          </cell>
          <cell r="F1254">
            <v>2.352941176471E-2</v>
          </cell>
          <cell r="G1254" t="str">
            <v>Color-P</v>
          </cell>
        </row>
        <row r="1255">
          <cell r="C1255" t="str">
            <v>A15XW11</v>
          </cell>
          <cell r="D1255" t="str">
            <v>PB-503 PERFECT BINDER</v>
          </cell>
          <cell r="E1255">
            <v>6</v>
          </cell>
          <cell r="F1255">
            <v>2.352941176471E-2</v>
          </cell>
          <cell r="G1255" t="str">
            <v>Color-P</v>
          </cell>
        </row>
        <row r="1256">
          <cell r="C1256" t="str">
            <v>A21FWY1</v>
          </cell>
          <cell r="D1256" t="str">
            <v>WT-508 WORKING TABLE</v>
          </cell>
          <cell r="E1256">
            <v>5</v>
          </cell>
          <cell r="F1256">
            <v>1.9607843137249999E-2</v>
          </cell>
          <cell r="G1256" t="str">
            <v>Color-P</v>
          </cell>
        </row>
        <row r="1257">
          <cell r="C1257">
            <v>7640012504</v>
          </cell>
          <cell r="D1257" t="str">
            <v>FIERY GR ARTS PKG PREM W/OPT UTIL DVD</v>
          </cell>
          <cell r="E1257">
            <v>4</v>
          </cell>
          <cell r="F1257">
            <v>1.5686274509800001E-2</v>
          </cell>
          <cell r="G1257" t="str">
            <v>Color-P</v>
          </cell>
        </row>
        <row r="1258">
          <cell r="C1258" t="str">
            <v>A0NEW11</v>
          </cell>
          <cell r="D1258" t="str">
            <v>DS-504 21 HOLE WIREBIND PUNCH DIE</v>
          </cell>
          <cell r="E1258">
            <v>4</v>
          </cell>
          <cell r="F1258">
            <v>1.5686274509800001E-2</v>
          </cell>
          <cell r="G1258" t="str">
            <v>Color-P</v>
          </cell>
        </row>
        <row r="1259">
          <cell r="C1259" t="str">
            <v>A0NDW11</v>
          </cell>
          <cell r="D1259" t="str">
            <v>DS-503 32 HOLE WIREBIND PUNCH DIE</v>
          </cell>
          <cell r="E1259">
            <v>3</v>
          </cell>
          <cell r="F1259">
            <v>1.1764705882350001E-2</v>
          </cell>
          <cell r="G1259" t="str">
            <v>Color-P</v>
          </cell>
        </row>
        <row r="1260">
          <cell r="C1260">
            <v>7640002300</v>
          </cell>
          <cell r="D1260" t="str">
            <v>HDD SECURITY KIT FOR IC-302/303/305/306</v>
          </cell>
          <cell r="E1260">
            <v>1</v>
          </cell>
          <cell r="F1260">
            <v>3.9215686274500002E-3</v>
          </cell>
          <cell r="G1260" t="str">
            <v>Color-P</v>
          </cell>
        </row>
        <row r="1261">
          <cell r="C1261">
            <v>7640009477</v>
          </cell>
          <cell r="D1261" t="str">
            <v>EFI FIERY SEEQUENCE COMPOSE</v>
          </cell>
          <cell r="E1261">
            <v>1</v>
          </cell>
          <cell r="F1261">
            <v>3.9215686274500002E-3</v>
          </cell>
          <cell r="G1261" t="str">
            <v>Color-P</v>
          </cell>
        </row>
        <row r="1262">
          <cell r="C1262">
            <v>7640012659</v>
          </cell>
          <cell r="D1262" t="str">
            <v>CPS V3 UV ES-1000 W/I1IO SCAN TABLE</v>
          </cell>
          <cell r="E1262">
            <v>1</v>
          </cell>
          <cell r="F1262">
            <v>3.9215686274500002E-3</v>
          </cell>
          <cell r="G1262" t="str">
            <v>Color-P</v>
          </cell>
        </row>
        <row r="1263">
          <cell r="C1263">
            <v>7640012661</v>
          </cell>
          <cell r="D1263" t="str">
            <v>EFI FIERY CPS UPGRADE V2.X TO V3.0</v>
          </cell>
          <cell r="E1263">
            <v>1</v>
          </cell>
          <cell r="F1263">
            <v>3.9215686274500002E-3</v>
          </cell>
          <cell r="G1263" t="str">
            <v>Color-P</v>
          </cell>
        </row>
        <row r="1264">
          <cell r="C1264" t="str">
            <v>A1AHWY1</v>
          </cell>
          <cell r="D1264" t="str">
            <v>LC-501 ROLLAWAY CART FOR LS-505</v>
          </cell>
          <cell r="E1264">
            <v>1</v>
          </cell>
          <cell r="F1264">
            <v>3.9215686274500002E-3</v>
          </cell>
          <cell r="G1264" t="str">
            <v>Color-P</v>
          </cell>
        </row>
        <row r="1265">
          <cell r="C1265">
            <v>7640012505</v>
          </cell>
          <cell r="D1265" t="str">
            <v>FIERY GR ARTS PKG PREM UPGR W/UTIL DVD</v>
          </cell>
          <cell r="E1265">
            <v>0</v>
          </cell>
          <cell r="F1265">
            <v>0</v>
          </cell>
          <cell r="G1265" t="str">
            <v>Color-P</v>
          </cell>
        </row>
        <row r="1266">
          <cell r="C1266">
            <v>7640012662</v>
          </cell>
          <cell r="D1266" t="str">
            <v>I1IO SCANNING TABLE FOR EFI ES-1000</v>
          </cell>
          <cell r="E1266">
            <v>0</v>
          </cell>
          <cell r="F1266">
            <v>0</v>
          </cell>
          <cell r="G1266" t="str">
            <v>Color-P</v>
          </cell>
        </row>
        <row r="1267">
          <cell r="C1267">
            <v>7640014502</v>
          </cell>
          <cell r="D1267" t="str">
            <v>EFI SECURE ERASE FOR FIERY IC-413</v>
          </cell>
          <cell r="E1267">
            <v>0</v>
          </cell>
          <cell r="F1267">
            <v>0</v>
          </cell>
          <cell r="G1267" t="str">
            <v>Color-P</v>
          </cell>
        </row>
        <row r="1268">
          <cell r="C1268">
            <v>7640014504</v>
          </cell>
          <cell r="D1268" t="str">
            <v>EFI AUTO TRAP FOR FIERY IC-413</v>
          </cell>
          <cell r="E1268">
            <v>0</v>
          </cell>
          <cell r="F1268">
            <v>0</v>
          </cell>
          <cell r="G1268" t="str">
            <v>Color-P</v>
          </cell>
        </row>
        <row r="1269">
          <cell r="C1269" t="str">
            <v>A0H1W12</v>
          </cell>
          <cell r="D1269" t="str">
            <v>*LS-505 LARGE CAPACITY STACKER</v>
          </cell>
          <cell r="E1269">
            <v>0</v>
          </cell>
          <cell r="F1269">
            <v>0</v>
          </cell>
          <cell r="G1269" t="str">
            <v>Color-P</v>
          </cell>
        </row>
        <row r="1270">
          <cell r="C1270" t="str">
            <v>A0NGW11</v>
          </cell>
          <cell r="D1270" t="str">
            <v>DS-506 11 HOLE VELOBIND PUNCH DIE</v>
          </cell>
          <cell r="E1270">
            <v>0</v>
          </cell>
          <cell r="F1270">
            <v>0</v>
          </cell>
          <cell r="G1270" t="str">
            <v>Color-P</v>
          </cell>
        </row>
        <row r="1271">
          <cell r="C1271" t="str">
            <v>A1RMWY1</v>
          </cell>
          <cell r="D1271" t="str">
            <v>*HD-514 HARD DISK DRIVE</v>
          </cell>
          <cell r="E1271">
            <v>0</v>
          </cell>
          <cell r="F1271">
            <v>0</v>
          </cell>
          <cell r="G1271" t="str">
            <v>Color-P</v>
          </cell>
        </row>
        <row r="1272">
          <cell r="C1272" t="str">
            <v>A21DWY1</v>
          </cell>
          <cell r="D1272" t="str">
            <v>*IC-306 EFI FIERY PRT CONTRL USE A21DWY2</v>
          </cell>
          <cell r="E1272">
            <v>0</v>
          </cell>
          <cell r="F1272">
            <v>0</v>
          </cell>
          <cell r="G1272" t="str">
            <v>Color-P</v>
          </cell>
        </row>
        <row r="1273">
          <cell r="C1273" t="str">
            <v>A204011</v>
          </cell>
          <cell r="D1273" t="str">
            <v>C7000P 70PPM COLOR PRINTER</v>
          </cell>
          <cell r="E1273">
            <v>96</v>
          </cell>
          <cell r="F1273">
            <v>1</v>
          </cell>
          <cell r="G1273" t="str">
            <v>Color-P</v>
          </cell>
        </row>
        <row r="1274">
          <cell r="C1274" t="str">
            <v>A0U4WY1</v>
          </cell>
          <cell r="D1274" t="str">
            <v>PF-602 PAPER FEED UNIT</v>
          </cell>
          <cell r="E1274">
            <v>61</v>
          </cell>
          <cell r="F1274">
            <v>0.63541666666666996</v>
          </cell>
          <cell r="G1274" t="str">
            <v>Color-P</v>
          </cell>
        </row>
        <row r="1275">
          <cell r="C1275" t="str">
            <v>A1TVWY1</v>
          </cell>
          <cell r="D1275" t="str">
            <v>FS-612 BOOKLET FINISHER</v>
          </cell>
          <cell r="E1275">
            <v>34</v>
          </cell>
          <cell r="F1275">
            <v>0.35416666666667002</v>
          </cell>
          <cell r="G1275" t="str">
            <v>Color-P</v>
          </cell>
        </row>
        <row r="1276">
          <cell r="C1276" t="str">
            <v>A03WWW0</v>
          </cell>
          <cell r="D1276" t="str">
            <v>LU202 LARGE CAPACITY TRAY</v>
          </cell>
          <cell r="E1276">
            <v>31</v>
          </cell>
          <cell r="F1276">
            <v>0.32291666666667002</v>
          </cell>
          <cell r="G1276" t="str">
            <v>Color-P</v>
          </cell>
        </row>
        <row r="1277">
          <cell r="C1277" t="str">
            <v>A21EWY1</v>
          </cell>
          <cell r="D1277" t="str">
            <v>MB-504 MULTI BYPASS TRAY UNIT</v>
          </cell>
          <cell r="E1277">
            <v>28</v>
          </cell>
          <cell r="F1277">
            <v>0.29166666666667002</v>
          </cell>
          <cell r="G1277" t="str">
            <v>Color-P</v>
          </cell>
        </row>
        <row r="1278">
          <cell r="C1278">
            <v>7640012657</v>
          </cell>
          <cell r="D1278" t="str">
            <v>**EFI FIERY CPS V3.0 UV ES-1000</v>
          </cell>
          <cell r="E1278">
            <v>24</v>
          </cell>
          <cell r="F1278">
            <v>0.25</v>
          </cell>
          <cell r="G1278" t="str">
            <v>Color-P</v>
          </cell>
        </row>
        <row r="1279">
          <cell r="C1279">
            <v>7640004613</v>
          </cell>
          <cell r="D1279" t="str">
            <v>FACI/FURNITURE BUNDLE FOR IC-305</v>
          </cell>
          <cell r="E1279">
            <v>22</v>
          </cell>
          <cell r="F1279">
            <v>0.22916666666666999</v>
          </cell>
          <cell r="G1279" t="str">
            <v>Color-P</v>
          </cell>
        </row>
        <row r="1280">
          <cell r="C1280" t="str">
            <v>A0410Y1</v>
          </cell>
          <cell r="D1280" t="str">
            <v>HT-504 DEHUMID HEATER FOR PF-601</v>
          </cell>
          <cell r="E1280">
            <v>22</v>
          </cell>
          <cell r="F1280">
            <v>0.22916666666666999</v>
          </cell>
          <cell r="G1280" t="str">
            <v>Color-P</v>
          </cell>
        </row>
        <row r="1281">
          <cell r="C1281" t="str">
            <v>A0GYWY2</v>
          </cell>
          <cell r="D1281" t="str">
            <v>FS-521 STAPLE FINISHER</v>
          </cell>
          <cell r="E1281">
            <v>20</v>
          </cell>
          <cell r="F1281">
            <v>0.20833333333333001</v>
          </cell>
          <cell r="G1281" t="str">
            <v>Color-P</v>
          </cell>
        </row>
        <row r="1282">
          <cell r="C1282" t="str">
            <v>A2A2W11</v>
          </cell>
          <cell r="D1282" t="str">
            <v>*RU-509 RELAY UNIT</v>
          </cell>
          <cell r="E1282">
            <v>20</v>
          </cell>
          <cell r="F1282">
            <v>0.20833333333333001</v>
          </cell>
          <cell r="G1282" t="str">
            <v>Color-P</v>
          </cell>
        </row>
        <row r="1283">
          <cell r="C1283">
            <v>7640004314</v>
          </cell>
          <cell r="D1283" t="str">
            <v>**EFI SPECTROPHOTOMETER ES-1000 V.2.0</v>
          </cell>
          <cell r="E1283">
            <v>18</v>
          </cell>
          <cell r="F1283">
            <v>0.1875</v>
          </cell>
          <cell r="G1283" t="str">
            <v>Color-P</v>
          </cell>
        </row>
        <row r="1284">
          <cell r="C1284" t="str">
            <v>A3JRWY1</v>
          </cell>
          <cell r="D1284" t="str">
            <v>IC-413 FIERY EMBEDDED CONTROLLER</v>
          </cell>
          <cell r="E1284">
            <v>17</v>
          </cell>
          <cell r="F1284">
            <v>0.17708333333333001</v>
          </cell>
          <cell r="G1284" t="str">
            <v>Color-P</v>
          </cell>
        </row>
        <row r="1285">
          <cell r="C1285" t="str">
            <v>A2A4WY1</v>
          </cell>
          <cell r="D1285" t="str">
            <v>FS-531 STAPLING FINISHER</v>
          </cell>
          <cell r="E1285">
            <v>15</v>
          </cell>
          <cell r="F1285">
            <v>0.15625</v>
          </cell>
          <cell r="G1285" t="str">
            <v>Color-P</v>
          </cell>
        </row>
        <row r="1286">
          <cell r="C1286">
            <v>7640009476</v>
          </cell>
          <cell r="D1286" t="str">
            <v>EFI FIERY SEEQUENCE IMPOSE</v>
          </cell>
          <cell r="E1286">
            <v>13</v>
          </cell>
          <cell r="F1286">
            <v>0.13541666666666999</v>
          </cell>
          <cell r="G1286" t="str">
            <v>Color-P</v>
          </cell>
        </row>
        <row r="1287">
          <cell r="C1287" t="str">
            <v>A0H2WY2</v>
          </cell>
          <cell r="D1287" t="str">
            <v>SD-506 SADDLE STITCH UNIT</v>
          </cell>
          <cell r="E1287">
            <v>12</v>
          </cell>
          <cell r="F1287">
            <v>0.125</v>
          </cell>
          <cell r="G1287" t="str">
            <v>Color-P</v>
          </cell>
        </row>
        <row r="1288">
          <cell r="C1288">
            <v>7640004614</v>
          </cell>
          <cell r="D1288" t="str">
            <v>FACI ENABLE DONGLE (NO HW) FOR IC-305</v>
          </cell>
          <cell r="E1288">
            <v>11</v>
          </cell>
          <cell r="F1288">
            <v>0.11458333333333</v>
          </cell>
          <cell r="G1288" t="str">
            <v>Color-P</v>
          </cell>
        </row>
        <row r="1289">
          <cell r="C1289" t="str">
            <v>A0H0W11</v>
          </cell>
          <cell r="D1289" t="str">
            <v>FD-503 MULTIFOLDING UNIT GENERIC</v>
          </cell>
          <cell r="E1289">
            <v>11</v>
          </cell>
          <cell r="F1289">
            <v>0.11458333333333</v>
          </cell>
          <cell r="G1289" t="str">
            <v>Color-P</v>
          </cell>
        </row>
        <row r="1290">
          <cell r="C1290">
            <v>7640012506</v>
          </cell>
          <cell r="D1290" t="str">
            <v>FIERY OPTION BUNDLE (FACI+GAP+SQS+CPS)</v>
          </cell>
          <cell r="E1290">
            <v>10</v>
          </cell>
          <cell r="F1290">
            <v>0.10416666666667</v>
          </cell>
          <cell r="G1290" t="str">
            <v>Color-P</v>
          </cell>
        </row>
        <row r="1291">
          <cell r="C1291" t="str">
            <v>A21GWY1</v>
          </cell>
          <cell r="D1291" t="str">
            <v>PH-102 PREVIEW UPGRADE KIT</v>
          </cell>
          <cell r="E1291">
            <v>10</v>
          </cell>
          <cell r="F1291">
            <v>0.10416666666667</v>
          </cell>
          <cell r="G1291" t="str">
            <v>Color-P</v>
          </cell>
        </row>
        <row r="1292">
          <cell r="C1292">
            <v>7640012504</v>
          </cell>
          <cell r="D1292" t="str">
            <v>FIERY GR ARTS PKG PREM W/OPT UTIL DVD</v>
          </cell>
          <cell r="E1292">
            <v>8</v>
          </cell>
          <cell r="F1292">
            <v>8.3333333333329998E-2</v>
          </cell>
          <cell r="G1292" t="str">
            <v>Color-P</v>
          </cell>
        </row>
        <row r="1293">
          <cell r="C1293" t="str">
            <v>A04F0Y1</v>
          </cell>
          <cell r="D1293" t="str">
            <v>PK-512 SELECTABLE 2/3-HOLE PUNCH KIT</v>
          </cell>
          <cell r="E1293">
            <v>8</v>
          </cell>
          <cell r="F1293">
            <v>8.3333333333329998E-2</v>
          </cell>
          <cell r="G1293" t="str">
            <v>Color-P</v>
          </cell>
        </row>
        <row r="1294">
          <cell r="C1294">
            <v>7640009478</v>
          </cell>
          <cell r="D1294" t="str">
            <v>EFI FIERY SEEQUENCE IMPOSE+COMPOSE SUITE</v>
          </cell>
          <cell r="E1294">
            <v>7</v>
          </cell>
          <cell r="F1294">
            <v>7.2916666666670002E-2</v>
          </cell>
          <cell r="G1294" t="str">
            <v>Color-P</v>
          </cell>
        </row>
        <row r="1295">
          <cell r="C1295" t="str">
            <v>A1AHWY1</v>
          </cell>
          <cell r="D1295" t="str">
            <v>LC-501 ROLLAWAY CART FOR LS-505</v>
          </cell>
          <cell r="E1295">
            <v>6</v>
          </cell>
          <cell r="F1295">
            <v>6.25E-2</v>
          </cell>
          <cell r="G1295" t="str">
            <v>Color-P</v>
          </cell>
        </row>
        <row r="1296">
          <cell r="C1296" t="str">
            <v>A2130Y1</v>
          </cell>
          <cell r="D1296" t="str">
            <v>IC-601 KONICA MINOLTA PRINT CONTROLLER</v>
          </cell>
          <cell r="E1296">
            <v>6</v>
          </cell>
          <cell r="F1296">
            <v>6.25E-2</v>
          </cell>
          <cell r="G1296" t="str">
            <v>Color-P</v>
          </cell>
        </row>
        <row r="1297">
          <cell r="C1297" t="str">
            <v>A0GEWY1</v>
          </cell>
          <cell r="D1297" t="str">
            <v>RU-506 RELAY UNIT</v>
          </cell>
          <cell r="E1297">
            <v>5</v>
          </cell>
          <cell r="F1297">
            <v>5.2083333333329998E-2</v>
          </cell>
          <cell r="G1297" t="str">
            <v>Color-P</v>
          </cell>
        </row>
        <row r="1298">
          <cell r="C1298" t="str">
            <v>A2A3WY1</v>
          </cell>
          <cell r="D1298" t="str">
            <v>*HM-102 PAPER HUMIDIFIER</v>
          </cell>
          <cell r="E1298">
            <v>4</v>
          </cell>
          <cell r="F1298">
            <v>4.1666666666670002E-2</v>
          </cell>
          <cell r="G1298" t="str">
            <v>Color-P</v>
          </cell>
        </row>
        <row r="1299">
          <cell r="C1299" t="str">
            <v>A15XW11</v>
          </cell>
          <cell r="D1299" t="str">
            <v>PB-503 PERFECT BINDER</v>
          </cell>
          <cell r="E1299">
            <v>3</v>
          </cell>
          <cell r="F1299">
            <v>3.125E-2</v>
          </cell>
          <cell r="G1299" t="str">
            <v>Color-P</v>
          </cell>
        </row>
        <row r="1300">
          <cell r="C1300">
            <v>7640014503</v>
          </cell>
          <cell r="D1300" t="str">
            <v>HOT FOLDERS + VIRTUAL PTRS FOR IC-413</v>
          </cell>
          <cell r="E1300">
            <v>2</v>
          </cell>
          <cell r="F1300">
            <v>2.0833333333330002E-2</v>
          </cell>
          <cell r="G1300" t="str">
            <v>Color-P</v>
          </cell>
        </row>
        <row r="1301">
          <cell r="C1301" t="str">
            <v>A0410Y0</v>
          </cell>
          <cell r="D1301" t="str">
            <v>HT-503 DEHUMID HEATER FOR LU-202</v>
          </cell>
          <cell r="E1301">
            <v>2</v>
          </cell>
          <cell r="F1301">
            <v>2.0833333333330002E-2</v>
          </cell>
          <cell r="G1301" t="str">
            <v>Color-P</v>
          </cell>
        </row>
        <row r="1302">
          <cell r="C1302" t="str">
            <v>A0420Y0</v>
          </cell>
          <cell r="D1302" t="str">
            <v>OC-506 ORIGINAL COVER</v>
          </cell>
          <cell r="E1302">
            <v>2</v>
          </cell>
          <cell r="F1302">
            <v>2.0833333333330002E-2</v>
          </cell>
          <cell r="G1302" t="str">
            <v>Color-P</v>
          </cell>
        </row>
        <row r="1303">
          <cell r="C1303" t="str">
            <v>A0430Y0</v>
          </cell>
          <cell r="D1303" t="str">
            <v>OT-502 OFFSET TRAY</v>
          </cell>
          <cell r="E1303">
            <v>2</v>
          </cell>
          <cell r="F1303">
            <v>2.0833333333330002E-2</v>
          </cell>
          <cell r="G1303" t="str">
            <v>Color-P</v>
          </cell>
        </row>
        <row r="1304">
          <cell r="C1304">
            <v>7640012660</v>
          </cell>
          <cell r="D1304" t="str">
            <v>EFI FIERY CPS V3.0 SOFTWARE ONLY</v>
          </cell>
          <cell r="E1304">
            <v>1</v>
          </cell>
          <cell r="F1304">
            <v>1.041666666667E-2</v>
          </cell>
          <cell r="G1304" t="str">
            <v>Color-P</v>
          </cell>
        </row>
        <row r="1305">
          <cell r="C1305" t="str">
            <v>A04HWY1</v>
          </cell>
          <cell r="D1305" t="str">
            <v>*PI-502 COVER INSERTER  GENERIC</v>
          </cell>
          <cell r="E1305">
            <v>1</v>
          </cell>
          <cell r="F1305">
            <v>1.041666666667E-2</v>
          </cell>
          <cell r="G1305" t="str">
            <v>Color-P</v>
          </cell>
        </row>
        <row r="1306">
          <cell r="C1306" t="str">
            <v>A0N9W11</v>
          </cell>
          <cell r="D1306" t="str">
            <v>GP-501 GBC PUNCH UNIT</v>
          </cell>
          <cell r="E1306">
            <v>1</v>
          </cell>
          <cell r="F1306">
            <v>1.041666666667E-2</v>
          </cell>
          <cell r="G1306" t="str">
            <v>Color-P</v>
          </cell>
        </row>
        <row r="1307">
          <cell r="C1307" t="str">
            <v>A0NAW11</v>
          </cell>
          <cell r="D1307" t="str">
            <v>DS-501 3 HOLE PUNCH DIE</v>
          </cell>
          <cell r="E1307">
            <v>1</v>
          </cell>
          <cell r="F1307">
            <v>1.041666666667E-2</v>
          </cell>
          <cell r="G1307" t="str">
            <v>Color-P</v>
          </cell>
        </row>
        <row r="1308">
          <cell r="C1308" t="str">
            <v>A0NDW11</v>
          </cell>
          <cell r="D1308" t="str">
            <v>DS-503 32 HOLE WIREBIND PUNCH DIE</v>
          </cell>
          <cell r="E1308">
            <v>1</v>
          </cell>
          <cell r="F1308">
            <v>1.041666666667E-2</v>
          </cell>
          <cell r="G1308" t="str">
            <v>Color-P</v>
          </cell>
        </row>
        <row r="1309">
          <cell r="C1309">
            <v>7640002300</v>
          </cell>
          <cell r="D1309" t="str">
            <v>HDD SECURITY KIT FOR IC-302/303/305/306</v>
          </cell>
          <cell r="E1309">
            <v>0</v>
          </cell>
          <cell r="F1309">
            <v>0</v>
          </cell>
          <cell r="G1309" t="str">
            <v>Color-P</v>
          </cell>
        </row>
        <row r="1310">
          <cell r="C1310">
            <v>7640009477</v>
          </cell>
          <cell r="D1310" t="str">
            <v>EFI FIERY SEEQUENCE COMPOSE</v>
          </cell>
          <cell r="E1310">
            <v>0</v>
          </cell>
          <cell r="F1310">
            <v>0</v>
          </cell>
          <cell r="G1310" t="str">
            <v>Color-P</v>
          </cell>
        </row>
        <row r="1311">
          <cell r="C1311">
            <v>7640012503</v>
          </cell>
          <cell r="D1311" t="str">
            <v>FIERY GR ARTS PKG W/FIERY OPT UTIL DVD</v>
          </cell>
          <cell r="E1311">
            <v>0</v>
          </cell>
          <cell r="F1311">
            <v>0</v>
          </cell>
          <cell r="G1311" t="str">
            <v>Color-P</v>
          </cell>
        </row>
        <row r="1312">
          <cell r="C1312">
            <v>7640012505</v>
          </cell>
          <cell r="D1312" t="str">
            <v>FIERY GR ARTS PKG PREM UPGR W/UTIL DVD</v>
          </cell>
          <cell r="E1312">
            <v>0</v>
          </cell>
          <cell r="F1312">
            <v>0</v>
          </cell>
          <cell r="G1312" t="str">
            <v>Color-P</v>
          </cell>
        </row>
        <row r="1313">
          <cell r="C1313">
            <v>7640012659</v>
          </cell>
          <cell r="D1313" t="str">
            <v>CPS V3 UV ES-1000 W/I1IO SCAN TABLE</v>
          </cell>
          <cell r="E1313">
            <v>0</v>
          </cell>
          <cell r="F1313">
            <v>0</v>
          </cell>
          <cell r="G1313" t="str">
            <v>Color-P</v>
          </cell>
        </row>
        <row r="1314">
          <cell r="C1314">
            <v>7640012661</v>
          </cell>
          <cell r="D1314" t="str">
            <v>EFI FIERY CPS UPGRADE V2.X TO V3.0</v>
          </cell>
          <cell r="E1314">
            <v>0</v>
          </cell>
          <cell r="F1314">
            <v>0</v>
          </cell>
          <cell r="G1314" t="str">
            <v>Color-P</v>
          </cell>
        </row>
        <row r="1315">
          <cell r="C1315">
            <v>7640012662</v>
          </cell>
          <cell r="D1315" t="str">
            <v>I1IO SCANNING TABLE FOR EFI ES-1000</v>
          </cell>
          <cell r="E1315">
            <v>0</v>
          </cell>
          <cell r="F1315">
            <v>0</v>
          </cell>
          <cell r="G1315" t="str">
            <v>Color-P</v>
          </cell>
        </row>
        <row r="1316">
          <cell r="C1316">
            <v>7640014501</v>
          </cell>
          <cell r="D1316" t="str">
            <v>PRODUCTIVITY PACKAGE FOR FIERY IC-413</v>
          </cell>
          <cell r="E1316">
            <v>0</v>
          </cell>
          <cell r="F1316">
            <v>0</v>
          </cell>
          <cell r="G1316" t="str">
            <v>Color-P</v>
          </cell>
        </row>
        <row r="1317">
          <cell r="C1317">
            <v>7640014502</v>
          </cell>
          <cell r="D1317" t="str">
            <v>EFI SECURE ERASE FOR FIERY IC-413</v>
          </cell>
          <cell r="E1317">
            <v>0</v>
          </cell>
          <cell r="F1317">
            <v>0</v>
          </cell>
          <cell r="G1317" t="str">
            <v>Color-P</v>
          </cell>
        </row>
        <row r="1318">
          <cell r="C1318">
            <v>7640014504</v>
          </cell>
          <cell r="D1318" t="str">
            <v>EFI AUTO TRAP FOR FIERY IC-413</v>
          </cell>
          <cell r="E1318">
            <v>0</v>
          </cell>
          <cell r="F1318">
            <v>0</v>
          </cell>
          <cell r="G1318" t="str">
            <v>Color-P</v>
          </cell>
        </row>
        <row r="1319">
          <cell r="C1319" t="str">
            <v>A0H1W12</v>
          </cell>
          <cell r="D1319" t="str">
            <v>*LS-505 LARGE CAPACITY STACKER</v>
          </cell>
          <cell r="E1319">
            <v>0</v>
          </cell>
          <cell r="F1319">
            <v>0</v>
          </cell>
          <cell r="G1319" t="str">
            <v>Color-P</v>
          </cell>
        </row>
        <row r="1320">
          <cell r="C1320" t="str">
            <v>A0NCW11</v>
          </cell>
          <cell r="D1320" t="str">
            <v>DS-502 19 HOLE CERLOX PUNCH DIE</v>
          </cell>
          <cell r="E1320">
            <v>0</v>
          </cell>
          <cell r="F1320">
            <v>0</v>
          </cell>
          <cell r="G1320" t="str">
            <v>Color-P</v>
          </cell>
        </row>
        <row r="1321">
          <cell r="C1321" t="str">
            <v>A0NEW11</v>
          </cell>
          <cell r="D1321" t="str">
            <v>DS-504 21 HOLE WIREBIND PUNCH DIE</v>
          </cell>
          <cell r="E1321">
            <v>0</v>
          </cell>
          <cell r="F1321">
            <v>0</v>
          </cell>
          <cell r="G1321" t="str">
            <v>Color-P</v>
          </cell>
        </row>
        <row r="1322">
          <cell r="C1322" t="str">
            <v>A0NFW11</v>
          </cell>
          <cell r="D1322" t="str">
            <v>DS-505 44 HOLE COLOR COIL PUNCH DIE</v>
          </cell>
          <cell r="E1322">
            <v>0</v>
          </cell>
          <cell r="F1322">
            <v>0</v>
          </cell>
          <cell r="G1322" t="str">
            <v>Color-P</v>
          </cell>
        </row>
        <row r="1323">
          <cell r="C1323" t="str">
            <v>A0NGW11</v>
          </cell>
          <cell r="D1323" t="str">
            <v>DS-506 11 HOLE VELOBIND PUNCH DIE</v>
          </cell>
          <cell r="E1323">
            <v>0</v>
          </cell>
          <cell r="F1323">
            <v>0</v>
          </cell>
          <cell r="G1323" t="str">
            <v>Color-P</v>
          </cell>
        </row>
        <row r="1324">
          <cell r="C1324" t="str">
            <v>A1RMWY1</v>
          </cell>
          <cell r="D1324" t="str">
            <v>*HD-514 HARD DISK DRIVE</v>
          </cell>
          <cell r="E1324">
            <v>0</v>
          </cell>
          <cell r="F1324">
            <v>0</v>
          </cell>
          <cell r="G1324" t="str">
            <v>Color-P</v>
          </cell>
        </row>
        <row r="1325">
          <cell r="C1325" t="str">
            <v>A1TWWY1</v>
          </cell>
          <cell r="D1325" t="str">
            <v>DF-622 DOCUMENT FEEDER</v>
          </cell>
          <cell r="E1325">
            <v>0</v>
          </cell>
          <cell r="F1325">
            <v>0</v>
          </cell>
          <cell r="G1325" t="str">
            <v>Color-P</v>
          </cell>
        </row>
        <row r="1326">
          <cell r="C1326" t="str">
            <v>A21DWY1</v>
          </cell>
          <cell r="D1326" t="str">
            <v>*IC-306 EFI FIERY PRT CONTRL USE A21DWY2</v>
          </cell>
          <cell r="E1326">
            <v>0</v>
          </cell>
          <cell r="F1326">
            <v>0</v>
          </cell>
          <cell r="G1326" t="str">
            <v>Color-P</v>
          </cell>
        </row>
        <row r="1327">
          <cell r="C1327" t="str">
            <v>A21FWY1</v>
          </cell>
          <cell r="D1327" t="str">
            <v>WT-508 WORKING TABLE</v>
          </cell>
          <cell r="E1327">
            <v>0</v>
          </cell>
          <cell r="F1327">
            <v>0</v>
          </cell>
          <cell r="G1327" t="str">
            <v>Color-P</v>
          </cell>
        </row>
        <row r="1328">
          <cell r="C1328" t="str">
            <v>A1RF011</v>
          </cell>
          <cell r="D1328" t="str">
            <v>C8000 80PPM COLOR PRINT ENGINE</v>
          </cell>
          <cell r="E1328">
            <v>308</v>
          </cell>
          <cell r="F1328">
            <v>1</v>
          </cell>
          <cell r="G1328" t="str">
            <v>Color-P</v>
          </cell>
        </row>
        <row r="1329">
          <cell r="C1329" t="str">
            <v>A1RJW11</v>
          </cell>
          <cell r="D1329" t="str">
            <v>EF-101 SECOND FUSING UNIT</v>
          </cell>
          <cell r="E1329">
            <v>296</v>
          </cell>
          <cell r="F1329">
            <v>0.96103896103896003</v>
          </cell>
          <cell r="G1329" t="str">
            <v>Color-P</v>
          </cell>
        </row>
        <row r="1330">
          <cell r="C1330" t="str">
            <v>A37YWY1</v>
          </cell>
          <cell r="D1330" t="str">
            <v>UK-102 UPGRADE - USB DONGLE</v>
          </cell>
          <cell r="E1330">
            <v>194</v>
          </cell>
          <cell r="F1330">
            <v>0.62987012987013002</v>
          </cell>
          <cell r="G1330" t="str">
            <v>Color-P</v>
          </cell>
        </row>
        <row r="1331">
          <cell r="C1331" t="str">
            <v>A1RGWY1</v>
          </cell>
          <cell r="D1331" t="str">
            <v>PF-704 VACUUM PAPER FEED UNIT</v>
          </cell>
          <cell r="E1331">
            <v>193</v>
          </cell>
          <cell r="F1331">
            <v>0.62662337662337997</v>
          </cell>
          <cell r="G1331" t="str">
            <v>Color-P</v>
          </cell>
        </row>
        <row r="1332">
          <cell r="C1332" t="str">
            <v>A1TUWY1</v>
          </cell>
          <cell r="D1332" t="str">
            <v>HM-101 PAPER HUMIDIFIER</v>
          </cell>
          <cell r="E1332">
            <v>131</v>
          </cell>
          <cell r="F1332">
            <v>0.42532467532467999</v>
          </cell>
          <cell r="G1332" t="str">
            <v>Color-P</v>
          </cell>
        </row>
        <row r="1333">
          <cell r="C1333" t="str">
            <v>A1RKWY1</v>
          </cell>
          <cell r="D1333" t="str">
            <v>HT-506 PAPER HEATER/DEHUMIDIFIER</v>
          </cell>
          <cell r="E1333">
            <v>127</v>
          </cell>
          <cell r="F1333">
            <v>0.41233766233766</v>
          </cell>
          <cell r="G1333" t="str">
            <v>Color-P</v>
          </cell>
        </row>
        <row r="1334">
          <cell r="C1334" t="str">
            <v>A21CWY1</v>
          </cell>
          <cell r="D1334" t="str">
            <v>PH-101 PREVIEW KIT</v>
          </cell>
          <cell r="E1334">
            <v>117</v>
          </cell>
          <cell r="F1334">
            <v>0.37987012987013002</v>
          </cell>
          <cell r="G1334" t="str">
            <v>Color-P</v>
          </cell>
        </row>
        <row r="1335">
          <cell r="C1335" t="str">
            <v>A1RHWY1</v>
          </cell>
          <cell r="D1335" t="str">
            <v>PF-705 VACUUM PFU W/DOC FEEDER/SCANNER</v>
          </cell>
          <cell r="E1335">
            <v>104</v>
          </cell>
          <cell r="F1335">
            <v>0.33766233766234</v>
          </cell>
          <cell r="G1335" t="str">
            <v>Color-P</v>
          </cell>
        </row>
        <row r="1336">
          <cell r="C1336">
            <v>7640004314</v>
          </cell>
          <cell r="D1336" t="str">
            <v>**EFI SPECTROPHOTOMETER ES-1000 V.2.0</v>
          </cell>
          <cell r="E1336">
            <v>69</v>
          </cell>
          <cell r="F1336">
            <v>0.22402597402596999</v>
          </cell>
          <cell r="G1336" t="str">
            <v>Color-P</v>
          </cell>
        </row>
        <row r="1337">
          <cell r="C1337" t="str">
            <v>A1TVWY1</v>
          </cell>
          <cell r="D1337" t="str">
            <v>FS-612 BOOKLET FINISHER</v>
          </cell>
          <cell r="E1337">
            <v>56</v>
          </cell>
          <cell r="F1337">
            <v>0.18181818181817999</v>
          </cell>
          <cell r="G1337" t="str">
            <v>Color-P</v>
          </cell>
        </row>
        <row r="1338">
          <cell r="C1338" t="str">
            <v>A0H0W11</v>
          </cell>
          <cell r="D1338" t="str">
            <v>FD-503 MULTIFOLDING UNIT GENERIC</v>
          </cell>
          <cell r="E1338">
            <v>53</v>
          </cell>
          <cell r="F1338">
            <v>0.17207792207792</v>
          </cell>
          <cell r="G1338" t="str">
            <v>Color-P</v>
          </cell>
        </row>
        <row r="1339">
          <cell r="C1339">
            <v>7640004613</v>
          </cell>
          <cell r="D1339" t="str">
            <v>FACI/FURNITURE BUNDLE FOR IC-305</v>
          </cell>
          <cell r="E1339">
            <v>48</v>
          </cell>
          <cell r="F1339">
            <v>0.15584415584416</v>
          </cell>
          <cell r="G1339" t="str">
            <v>Color-P</v>
          </cell>
        </row>
        <row r="1340">
          <cell r="C1340">
            <v>7640004614</v>
          </cell>
          <cell r="D1340" t="str">
            <v>FACI ENABLE DONGLE (NO HW) FOR IC-305</v>
          </cell>
          <cell r="E1340">
            <v>47</v>
          </cell>
          <cell r="F1340">
            <v>0.15259740259740001</v>
          </cell>
          <cell r="G1340" t="str">
            <v>Color-P</v>
          </cell>
        </row>
        <row r="1341">
          <cell r="C1341" t="str">
            <v>A1AHWY1</v>
          </cell>
          <cell r="D1341" t="str">
            <v>LC-501 ROLLAWAY CART FOR LS-505</v>
          </cell>
          <cell r="E1341">
            <v>41</v>
          </cell>
          <cell r="F1341">
            <v>0.13311688311688</v>
          </cell>
          <cell r="G1341" t="str">
            <v>Color-P</v>
          </cell>
        </row>
        <row r="1342">
          <cell r="C1342">
            <v>7640012506</v>
          </cell>
          <cell r="D1342" t="str">
            <v>FIERY OPTION BUNDLE (FACI+GAP+SQS+CPS)</v>
          </cell>
          <cell r="E1342">
            <v>40</v>
          </cell>
          <cell r="F1342">
            <v>0.12987012987013</v>
          </cell>
          <cell r="G1342" t="str">
            <v>Color-P</v>
          </cell>
        </row>
        <row r="1343">
          <cell r="C1343">
            <v>7640009478</v>
          </cell>
          <cell r="D1343" t="str">
            <v>EFI FIERY SEEQUENCE IMPOSE+COMPOSE SUITE</v>
          </cell>
          <cell r="E1343">
            <v>39</v>
          </cell>
          <cell r="F1343">
            <v>0.12662337662338</v>
          </cell>
          <cell r="G1343" t="str">
            <v>Color-P</v>
          </cell>
        </row>
        <row r="1344">
          <cell r="C1344">
            <v>7640012657</v>
          </cell>
          <cell r="D1344" t="str">
            <v>**EFI FIERY CPS V3.0 UV ES-1000</v>
          </cell>
          <cell r="E1344">
            <v>32</v>
          </cell>
          <cell r="F1344">
            <v>0.1038961038961</v>
          </cell>
          <cell r="G1344" t="str">
            <v>Color-P</v>
          </cell>
        </row>
        <row r="1345">
          <cell r="C1345">
            <v>7640009476</v>
          </cell>
          <cell r="D1345" t="str">
            <v>EFI FIERY SEEQUENCE IMPOSE</v>
          </cell>
          <cell r="E1345">
            <v>23</v>
          </cell>
          <cell r="F1345">
            <v>7.4675324675319996E-2</v>
          </cell>
          <cell r="G1345" t="str">
            <v>Color-P</v>
          </cell>
        </row>
        <row r="1346">
          <cell r="C1346" t="str">
            <v>A0GEWY1</v>
          </cell>
          <cell r="D1346" t="str">
            <v>RU-506 RELAY UNIT</v>
          </cell>
          <cell r="E1346">
            <v>12</v>
          </cell>
          <cell r="F1346">
            <v>3.8961038961040001E-2</v>
          </cell>
          <cell r="G1346" t="str">
            <v>Color-P</v>
          </cell>
        </row>
        <row r="1347">
          <cell r="C1347" t="str">
            <v>A0N9W11</v>
          </cell>
          <cell r="D1347" t="str">
            <v>GP-501 GBC PUNCH UNIT</v>
          </cell>
          <cell r="E1347">
            <v>11</v>
          </cell>
          <cell r="F1347">
            <v>3.5714285714290001E-2</v>
          </cell>
          <cell r="G1347" t="str">
            <v>Color-P</v>
          </cell>
        </row>
        <row r="1348">
          <cell r="C1348" t="str">
            <v>A04F0Y1</v>
          </cell>
          <cell r="D1348" t="str">
            <v>PK-512 SELECTABLE 2/3-HOLE PUNCH KIT</v>
          </cell>
          <cell r="E1348">
            <v>10</v>
          </cell>
          <cell r="F1348">
            <v>3.2467532467530001E-2</v>
          </cell>
          <cell r="G1348" t="str">
            <v>Color-P</v>
          </cell>
        </row>
        <row r="1349">
          <cell r="C1349" t="str">
            <v>A15XW11</v>
          </cell>
          <cell r="D1349" t="str">
            <v>PB-503 PERFECT BINDER</v>
          </cell>
          <cell r="E1349">
            <v>9</v>
          </cell>
          <cell r="F1349">
            <v>2.9220779220780001E-2</v>
          </cell>
          <cell r="G1349" t="str">
            <v>Color-P</v>
          </cell>
        </row>
        <row r="1350">
          <cell r="C1350" t="str">
            <v>A0NAW11</v>
          </cell>
          <cell r="D1350" t="str">
            <v>DS-501 3 HOLE PUNCH DIE</v>
          </cell>
          <cell r="E1350">
            <v>8</v>
          </cell>
          <cell r="F1350">
            <v>2.597402597403E-2</v>
          </cell>
          <cell r="G1350" t="str">
            <v>Color-P</v>
          </cell>
        </row>
        <row r="1351">
          <cell r="C1351" t="str">
            <v>A0NFW11</v>
          </cell>
          <cell r="D1351" t="str">
            <v>DS-505 44 HOLE COLOR COIL PUNCH DIE</v>
          </cell>
          <cell r="E1351">
            <v>7</v>
          </cell>
          <cell r="F1351">
            <v>2.2727272727270001E-2</v>
          </cell>
          <cell r="G1351" t="str">
            <v>Color-P</v>
          </cell>
        </row>
        <row r="1352">
          <cell r="C1352">
            <v>7640012503</v>
          </cell>
          <cell r="D1352" t="str">
            <v>FIERY GR ARTS PKG W/FIERY OPT UTIL DVD</v>
          </cell>
          <cell r="E1352">
            <v>6</v>
          </cell>
          <cell r="F1352">
            <v>1.948051948052E-2</v>
          </cell>
          <cell r="G1352" t="str">
            <v>Color-P</v>
          </cell>
        </row>
        <row r="1353">
          <cell r="C1353" t="str">
            <v>A0NDW11</v>
          </cell>
          <cell r="D1353" t="str">
            <v>DS-503 32 HOLE WIREBIND PUNCH DIE</v>
          </cell>
          <cell r="E1353">
            <v>5</v>
          </cell>
          <cell r="F1353">
            <v>1.623376623377E-2</v>
          </cell>
          <cell r="G1353" t="str">
            <v>Color-P</v>
          </cell>
        </row>
        <row r="1354">
          <cell r="C1354">
            <v>7640012504</v>
          </cell>
          <cell r="D1354" t="str">
            <v>FIERY GR ARTS PKG PREM W/OPT UTIL DVD</v>
          </cell>
          <cell r="E1354">
            <v>4</v>
          </cell>
          <cell r="F1354">
            <v>1.2987012987010001E-2</v>
          </cell>
          <cell r="G1354" t="str">
            <v>Color-P</v>
          </cell>
        </row>
        <row r="1355">
          <cell r="C1355">
            <v>7640012505</v>
          </cell>
          <cell r="D1355" t="str">
            <v>FIERY GR ARTS PKG PREM UPGR W/UTIL DVD</v>
          </cell>
          <cell r="E1355">
            <v>3</v>
          </cell>
          <cell r="F1355">
            <v>9.7402597402600002E-3</v>
          </cell>
          <cell r="G1355" t="str">
            <v>Color-P</v>
          </cell>
        </row>
        <row r="1356">
          <cell r="C1356" t="str">
            <v>A04HWY1</v>
          </cell>
          <cell r="D1356" t="str">
            <v>*PI-502 COVER INSERTER  GENERIC</v>
          </cell>
          <cell r="E1356">
            <v>3</v>
          </cell>
          <cell r="F1356">
            <v>9.7402597402600002E-3</v>
          </cell>
          <cell r="G1356" t="str">
            <v>Color-P</v>
          </cell>
        </row>
        <row r="1357">
          <cell r="C1357" t="str">
            <v>A0NCW11</v>
          </cell>
          <cell r="D1357" t="str">
            <v>DS-502 19 HOLE CERLOX PUNCH DIE</v>
          </cell>
          <cell r="E1357">
            <v>3</v>
          </cell>
          <cell r="F1357">
            <v>9.7402597402600002E-3</v>
          </cell>
          <cell r="G1357" t="str">
            <v>Color-P</v>
          </cell>
        </row>
        <row r="1358">
          <cell r="C1358">
            <v>7640002300</v>
          </cell>
          <cell r="D1358" t="str">
            <v>HDD SECURITY KIT FOR IC-302/303/305/306</v>
          </cell>
          <cell r="E1358">
            <v>0</v>
          </cell>
          <cell r="F1358">
            <v>0</v>
          </cell>
          <cell r="G1358" t="str">
            <v>Color-P</v>
          </cell>
        </row>
        <row r="1359">
          <cell r="C1359">
            <v>7640009477</v>
          </cell>
          <cell r="D1359" t="str">
            <v>EFI FIERY SEEQUENCE COMPOSE</v>
          </cell>
          <cell r="E1359">
            <v>0</v>
          </cell>
          <cell r="F1359">
            <v>0</v>
          </cell>
          <cell r="G1359" t="str">
            <v>Color-P</v>
          </cell>
        </row>
        <row r="1360">
          <cell r="C1360">
            <v>7640012659</v>
          </cell>
          <cell r="D1360" t="str">
            <v>CPS V3 UV ES-1000 W/I1IO SCAN TABLE</v>
          </cell>
          <cell r="E1360">
            <v>0</v>
          </cell>
          <cell r="F1360">
            <v>0</v>
          </cell>
          <cell r="G1360" t="str">
            <v>Color-P</v>
          </cell>
        </row>
        <row r="1361">
          <cell r="C1361">
            <v>7640012660</v>
          </cell>
          <cell r="D1361" t="str">
            <v>EFI FIERY CPS V3.0 SOFTWARE ONLY</v>
          </cell>
          <cell r="E1361">
            <v>0</v>
          </cell>
          <cell r="F1361">
            <v>0</v>
          </cell>
          <cell r="G1361" t="str">
            <v>Color-P</v>
          </cell>
        </row>
        <row r="1362">
          <cell r="C1362">
            <v>7640012661</v>
          </cell>
          <cell r="D1362" t="str">
            <v>EFI FIERY CPS UPGRADE V2.X TO V3.0</v>
          </cell>
          <cell r="E1362">
            <v>0</v>
          </cell>
          <cell r="F1362">
            <v>0</v>
          </cell>
          <cell r="G1362" t="str">
            <v>Color-P</v>
          </cell>
        </row>
        <row r="1363">
          <cell r="C1363">
            <v>7640012662</v>
          </cell>
          <cell r="D1363" t="str">
            <v>I1IO SCANNING TABLE FOR EFI ES-1000</v>
          </cell>
          <cell r="E1363">
            <v>0</v>
          </cell>
          <cell r="F1363">
            <v>0</v>
          </cell>
          <cell r="G1363" t="str">
            <v>Color-P</v>
          </cell>
        </row>
        <row r="1364">
          <cell r="C1364" t="str">
            <v>A0GYWY1</v>
          </cell>
          <cell r="D1364" t="str">
            <v>**FS-521 STAPLING FINISHER GENERIC</v>
          </cell>
          <cell r="E1364">
            <v>0</v>
          </cell>
          <cell r="F1364">
            <v>0</v>
          </cell>
          <cell r="G1364" t="str">
            <v>Color-P</v>
          </cell>
        </row>
        <row r="1365">
          <cell r="C1365" t="str">
            <v>A0H1W11</v>
          </cell>
          <cell r="D1365" t="str">
            <v>*LS-505 HIGH CAPACITY STACKER GENERIC</v>
          </cell>
          <cell r="E1365">
            <v>0</v>
          </cell>
          <cell r="F1365">
            <v>0</v>
          </cell>
          <cell r="G1365" t="str">
            <v>Color-P</v>
          </cell>
        </row>
        <row r="1366">
          <cell r="C1366" t="str">
            <v>A0H2WY1</v>
          </cell>
          <cell r="D1366" t="str">
            <v>**SD-506 SADDLE STITCH UNIT GENERIC</v>
          </cell>
          <cell r="E1366">
            <v>0</v>
          </cell>
          <cell r="F1366">
            <v>0</v>
          </cell>
          <cell r="G1366" t="str">
            <v>Color-P</v>
          </cell>
        </row>
        <row r="1367">
          <cell r="C1367" t="str">
            <v>A0NEW11</v>
          </cell>
          <cell r="D1367" t="str">
            <v>DS-504 21 HOLE WIREBIND PUNCH DIE</v>
          </cell>
          <cell r="E1367">
            <v>0</v>
          </cell>
          <cell r="F1367">
            <v>0</v>
          </cell>
          <cell r="G1367" t="str">
            <v>Color-P</v>
          </cell>
        </row>
        <row r="1368">
          <cell r="C1368" t="str">
            <v>A0NGW11</v>
          </cell>
          <cell r="D1368" t="str">
            <v>DS-506 11 HOLE VELOBIND PUNCH DIE</v>
          </cell>
          <cell r="E1368">
            <v>0</v>
          </cell>
          <cell r="F1368">
            <v>0</v>
          </cell>
          <cell r="G1368" t="str">
            <v>Color-P</v>
          </cell>
        </row>
        <row r="1369">
          <cell r="C1369" t="str">
            <v>A1RMWY1</v>
          </cell>
          <cell r="D1369" t="str">
            <v>*HD-514 HARD DISK DRIVE</v>
          </cell>
          <cell r="E1369">
            <v>0</v>
          </cell>
          <cell r="F1369">
            <v>0</v>
          </cell>
          <cell r="G1369" t="str">
            <v>Color-P</v>
          </cell>
        </row>
        <row r="1370">
          <cell r="C1370" t="str">
            <v>A1TTW11</v>
          </cell>
          <cell r="D1370" t="str">
            <v>*RU-508 RELAY UNIT</v>
          </cell>
          <cell r="E1370">
            <v>0</v>
          </cell>
          <cell r="F1370">
            <v>0</v>
          </cell>
          <cell r="G1370" t="str">
            <v>Color-P</v>
          </cell>
        </row>
        <row r="1371">
          <cell r="C1371" t="str">
            <v>A21DWY1</v>
          </cell>
          <cell r="D1371" t="str">
            <v>*IC-306 EFI FIERY PRT CONTRL USE A21DWY2</v>
          </cell>
          <cell r="E1371">
            <v>0</v>
          </cell>
          <cell r="F1371">
            <v>0</v>
          </cell>
          <cell r="G1371" t="str">
            <v>Color-P</v>
          </cell>
        </row>
        <row r="1373">
          <cell r="D1373" t="str">
            <v>Row Labels</v>
          </cell>
          <cell r="E1373" t="str">
            <v>Sum of Qty</v>
          </cell>
        </row>
        <row r="1374">
          <cell r="D1374" t="str">
            <v>AU-201H HID CARD AUTHENTICATION UNIT</v>
          </cell>
          <cell r="E1374">
            <v>1</v>
          </cell>
          <cell r="F1374">
            <v>6.1349693251533744E-3</v>
          </cell>
        </row>
        <row r="1375">
          <cell r="C1375" t="str">
            <v>a3ew011</v>
          </cell>
          <cell r="D1375" t="str">
            <v>BIZHUB 42</v>
          </cell>
          <cell r="E1375">
            <v>163</v>
          </cell>
          <cell r="F1375">
            <v>1</v>
          </cell>
        </row>
        <row r="1376">
          <cell r="D1376" t="str">
            <v>CONVENIENCE STAPLER CS-1</v>
          </cell>
          <cell r="E1376">
            <v>1</v>
          </cell>
          <cell r="F1376">
            <v>6.1349693251533744E-3</v>
          </cell>
        </row>
        <row r="1377">
          <cell r="C1377" t="str">
            <v>a49eyyb</v>
          </cell>
          <cell r="D1377" t="str">
            <v>DK-511 COPY DESK</v>
          </cell>
          <cell r="E1377">
            <v>71</v>
          </cell>
          <cell r="F1377">
            <v>0.43558282208588955</v>
          </cell>
        </row>
        <row r="1378">
          <cell r="C1378" t="str">
            <v>a49f011</v>
          </cell>
          <cell r="D1378" t="str">
            <v>FK-509 FAX KIT</v>
          </cell>
          <cell r="E1378">
            <v>120</v>
          </cell>
          <cell r="F1378">
            <v>0.73619631901840488</v>
          </cell>
        </row>
        <row r="1379">
          <cell r="C1379" t="str">
            <v>a0u7wy2</v>
          </cell>
          <cell r="D1379" t="str">
            <v>FS-529 INNER STAPLE FINISHER</v>
          </cell>
          <cell r="E1379">
            <v>59</v>
          </cell>
          <cell r="F1379">
            <v>0.3619631901840491</v>
          </cell>
        </row>
        <row r="1380">
          <cell r="C1380">
            <v>7640014723</v>
          </cell>
          <cell r="D1380" t="str">
            <v>INNOVOLT POWER MANAGER 15AMP</v>
          </cell>
          <cell r="E1380">
            <v>82</v>
          </cell>
          <cell r="F1380">
            <v>0.50306748466257667</v>
          </cell>
        </row>
        <row r="1381">
          <cell r="C1381" t="str">
            <v>a3ukwy1</v>
          </cell>
          <cell r="D1381" t="str">
            <v>MK-601 FINISHER MOUNTKIT FOR BIZHUB42/36</v>
          </cell>
          <cell r="E1381">
            <v>45</v>
          </cell>
          <cell r="F1381">
            <v>0.27607361963190186</v>
          </cell>
        </row>
        <row r="1382">
          <cell r="C1382" t="str">
            <v>A3J0WY1</v>
          </cell>
          <cell r="D1382" t="str">
            <v>PC-211 PAPER FEED CABINET</v>
          </cell>
          <cell r="E1382">
            <v>70</v>
          </cell>
          <cell r="F1382">
            <v>0.42944785276073622</v>
          </cell>
        </row>
        <row r="1383">
          <cell r="D1383" t="str">
            <v>WT-510 WORKING TABLE</v>
          </cell>
          <cell r="E1383">
            <v>16</v>
          </cell>
          <cell r="F1383">
            <v>9.815950920245399E-2</v>
          </cell>
        </row>
        <row r="1384">
          <cell r="D1384" t="str">
            <v>Grand Total</v>
          </cell>
          <cell r="E1384">
            <v>628</v>
          </cell>
        </row>
        <row r="1387">
          <cell r="C1387" t="str">
            <v>Item</v>
          </cell>
          <cell r="D1387" t="str">
            <v>Row Labels</v>
          </cell>
          <cell r="E1387" t="str">
            <v>Sum of Qty</v>
          </cell>
        </row>
        <row r="1388">
          <cell r="C1388" t="str">
            <v>A4EV011</v>
          </cell>
          <cell r="D1388" t="str">
            <v>BIZHUB PRESS 1052</v>
          </cell>
          <cell r="E1388">
            <v>38</v>
          </cell>
          <cell r="F1388">
            <v>1</v>
          </cell>
        </row>
        <row r="1389">
          <cell r="C1389" t="str">
            <v>A4F3WY1</v>
          </cell>
          <cell r="D1389" t="str">
            <v>FS-532 STAPLING FINISHER</v>
          </cell>
          <cell r="E1389">
            <v>37</v>
          </cell>
          <cell r="F1389">
            <v>0.97368421052631582</v>
          </cell>
        </row>
        <row r="1390">
          <cell r="C1390">
            <v>7640014726</v>
          </cell>
          <cell r="D1390" t="str">
            <v>INNOVOLT POWER MANAGER 30AMP/208-240V</v>
          </cell>
          <cell r="E1390">
            <v>35</v>
          </cell>
          <cell r="F1390">
            <v>0.92105263157894735</v>
          </cell>
        </row>
        <row r="1391">
          <cell r="C1391" t="str">
            <v>A4EYWY1</v>
          </cell>
          <cell r="D1391" t="str">
            <v>PF-706 PAPER FEED UNIT</v>
          </cell>
          <cell r="E1391">
            <v>23</v>
          </cell>
          <cell r="F1391">
            <v>0.60526315789473684</v>
          </cell>
        </row>
        <row r="1392">
          <cell r="C1392" t="str">
            <v>A0H0W11</v>
          </cell>
          <cell r="D1392" t="str">
            <v>FD-503 MULTIFOLDING UNIT GENERIC</v>
          </cell>
          <cell r="E1392">
            <v>9</v>
          </cell>
          <cell r="F1392">
            <v>0.23684210526315788</v>
          </cell>
        </row>
        <row r="1393">
          <cell r="C1393" t="str">
            <v>A4FCWY1</v>
          </cell>
          <cell r="D1393" t="str">
            <v>RU-510 RELAY UNIT</v>
          </cell>
          <cell r="E1393">
            <v>7</v>
          </cell>
          <cell r="F1393">
            <v>0.18421052631578946</v>
          </cell>
        </row>
        <row r="1394">
          <cell r="C1394" t="str">
            <v>A0GDWY2</v>
          </cell>
          <cell r="D1394" t="str">
            <v>PF-703 PAPER FEED UNIT</v>
          </cell>
          <cell r="E1394">
            <v>6</v>
          </cell>
          <cell r="F1394">
            <v>0.15789473684210525</v>
          </cell>
        </row>
        <row r="1395">
          <cell r="C1395" t="str">
            <v>A4FAW11</v>
          </cell>
          <cell r="D1395" t="str">
            <v>PK-522 2/3-HOLE PUNCH KIT FOR FS-532</v>
          </cell>
          <cell r="E1395">
            <v>5</v>
          </cell>
          <cell r="F1395">
            <v>0.13157894736842105</v>
          </cell>
        </row>
        <row r="1396">
          <cell r="C1396" t="str">
            <v>A0H2WY2</v>
          </cell>
          <cell r="D1396" t="str">
            <v>SD-506 SADDLE STITCH UNIT</v>
          </cell>
          <cell r="E1396">
            <v>4</v>
          </cell>
          <cell r="F1396">
            <v>0.10526315789473684</v>
          </cell>
        </row>
        <row r="1397">
          <cell r="C1397" t="str">
            <v>A4F4WY1</v>
          </cell>
          <cell r="D1397" t="str">
            <v>SD-510 SADDLE STITCH UNIT</v>
          </cell>
          <cell r="E1397">
            <v>3</v>
          </cell>
          <cell r="F1397">
            <v>7.8947368421052627E-2</v>
          </cell>
        </row>
        <row r="1398">
          <cell r="C1398">
            <v>7640014723</v>
          </cell>
          <cell r="D1398" t="str">
            <v>INNOVOLT POWER MANAGER 15AMP</v>
          </cell>
          <cell r="E1398">
            <v>3</v>
          </cell>
          <cell r="F1398">
            <v>7.8947368421052627E-2</v>
          </cell>
        </row>
        <row r="1399">
          <cell r="C1399" t="str">
            <v>A2A2W12</v>
          </cell>
          <cell r="D1399" t="str">
            <v>RU-509 RELAY UNIT</v>
          </cell>
          <cell r="E1399">
            <v>2</v>
          </cell>
          <cell r="F1399">
            <v>5.2631578947368418E-2</v>
          </cell>
        </row>
        <row r="1400">
          <cell r="C1400" t="str">
            <v>A0GFWY1</v>
          </cell>
          <cell r="D1400" t="str">
            <v>FA-501 PI-PFU KIT</v>
          </cell>
          <cell r="E1400">
            <v>1</v>
          </cell>
          <cell r="F1400">
            <v>2.6315789473684209E-2</v>
          </cell>
        </row>
        <row r="1401">
          <cell r="C1401" t="str">
            <v>A15AWY1</v>
          </cell>
          <cell r="D1401" t="str">
            <v>HT-505 HEATER FAN UNIT</v>
          </cell>
          <cell r="E1401">
            <v>1</v>
          </cell>
          <cell r="F1401">
            <v>2.6315789473684209E-2</v>
          </cell>
        </row>
        <row r="1402">
          <cell r="C1402" t="str">
            <v>A0H1W12</v>
          </cell>
          <cell r="D1402" t="str">
            <v>LS-505 LARGE CAPACITY STACKER</v>
          </cell>
          <cell r="E1402">
            <v>1</v>
          </cell>
          <cell r="F1402">
            <v>2.6315789473684209E-2</v>
          </cell>
        </row>
        <row r="1404">
          <cell r="C1404" t="str">
            <v>Item</v>
          </cell>
          <cell r="D1404" t="str">
            <v>Row Labels</v>
          </cell>
          <cell r="E1404" t="str">
            <v>Sum of Qty</v>
          </cell>
        </row>
        <row r="1405">
          <cell r="C1405" t="str">
            <v>A4EU011</v>
          </cell>
          <cell r="D1405" t="str">
            <v>BIZHUB PRESS 1250</v>
          </cell>
          <cell r="E1405">
            <v>40</v>
          </cell>
          <cell r="F1405">
            <v>1</v>
          </cell>
        </row>
        <row r="1406">
          <cell r="C1406" t="str">
            <v>A4F3WY1</v>
          </cell>
          <cell r="D1406" t="str">
            <v>FS-532 STAPLING FINISHER</v>
          </cell>
          <cell r="E1406">
            <v>39</v>
          </cell>
          <cell r="F1406">
            <v>0.97499999999999998</v>
          </cell>
        </row>
        <row r="1407">
          <cell r="C1407" t="str">
            <v>A4FCWY1</v>
          </cell>
          <cell r="D1407" t="str">
            <v>RU-510 RELAY UNIT</v>
          </cell>
          <cell r="E1407">
            <v>38</v>
          </cell>
          <cell r="F1407">
            <v>0.95</v>
          </cell>
        </row>
        <row r="1408">
          <cell r="C1408">
            <v>7640014726</v>
          </cell>
          <cell r="D1408" t="str">
            <v>INNOVOLT POWER MANAGER 30AMP/208-240V</v>
          </cell>
          <cell r="E1408">
            <v>33</v>
          </cell>
          <cell r="F1408">
            <v>0.82499999999999996</v>
          </cell>
        </row>
        <row r="1409">
          <cell r="C1409" t="str">
            <v>A0GDWY2</v>
          </cell>
          <cell r="D1409" t="str">
            <v>PF-703 PAPER FEED UNIT</v>
          </cell>
          <cell r="E1409">
            <v>20</v>
          </cell>
          <cell r="F1409">
            <v>0.5</v>
          </cell>
        </row>
        <row r="1410">
          <cell r="C1410" t="str">
            <v>A0H0W11</v>
          </cell>
          <cell r="D1410" t="str">
            <v>FD-503 MULTIFOLDING UNIT GENERIC</v>
          </cell>
          <cell r="E1410">
            <v>19</v>
          </cell>
          <cell r="F1410">
            <v>0.47499999999999998</v>
          </cell>
        </row>
        <row r="1411">
          <cell r="C1411" t="str">
            <v>A0H2WY2</v>
          </cell>
          <cell r="D1411" t="str">
            <v>SD-506 SADDLE STITCH UNIT</v>
          </cell>
          <cell r="E1411">
            <v>19</v>
          </cell>
          <cell r="F1411">
            <v>0.47499999999999998</v>
          </cell>
        </row>
        <row r="1412">
          <cell r="C1412">
            <v>7640014723</v>
          </cell>
          <cell r="D1412" t="str">
            <v>INNOVOLT POWER MANAGER 15AMP</v>
          </cell>
          <cell r="E1412">
            <v>12</v>
          </cell>
          <cell r="F1412">
            <v>0.3</v>
          </cell>
        </row>
        <row r="1413">
          <cell r="C1413" t="str">
            <v>A4EYWY1</v>
          </cell>
          <cell r="D1413" t="str">
            <v>PF-706 PAPER FEED UNIT</v>
          </cell>
          <cell r="E1413">
            <v>7</v>
          </cell>
          <cell r="F1413">
            <v>0.17499999999999999</v>
          </cell>
        </row>
        <row r="1414">
          <cell r="C1414" t="str">
            <v>A0N9W11</v>
          </cell>
          <cell r="D1414" t="str">
            <v>GP-501 GBC PUNCH UNIT</v>
          </cell>
          <cell r="E1414">
            <v>6</v>
          </cell>
          <cell r="F1414">
            <v>0.15</v>
          </cell>
        </row>
        <row r="1415">
          <cell r="C1415" t="str">
            <v>A4FAW11</v>
          </cell>
          <cell r="D1415" t="str">
            <v>PK-522 2/3-HOLE PUNCH KIT FOR FS-532</v>
          </cell>
          <cell r="E1415">
            <v>6</v>
          </cell>
          <cell r="F1415">
            <v>0.15</v>
          </cell>
        </row>
        <row r="1416">
          <cell r="C1416" t="str">
            <v>A4F4WY1</v>
          </cell>
          <cell r="D1416" t="str">
            <v>SD-510 SADDLE STITCH UNIT</v>
          </cell>
          <cell r="E1416">
            <v>6</v>
          </cell>
          <cell r="F1416">
            <v>0.15</v>
          </cell>
        </row>
        <row r="1417">
          <cell r="C1417" t="str">
            <v>A15AWY1</v>
          </cell>
          <cell r="D1417" t="str">
            <v>HT-505 HEATER FAN UNIT</v>
          </cell>
          <cell r="E1417">
            <v>5</v>
          </cell>
          <cell r="F1417">
            <v>0.125</v>
          </cell>
        </row>
        <row r="1418">
          <cell r="C1418" t="str">
            <v>A2A2W12</v>
          </cell>
          <cell r="D1418" t="str">
            <v>RU-509 RELAY UNIT</v>
          </cell>
          <cell r="E1418">
            <v>5</v>
          </cell>
          <cell r="F1418">
            <v>0.125</v>
          </cell>
        </row>
        <row r="1419">
          <cell r="C1419" t="str">
            <v>A0NCW11</v>
          </cell>
          <cell r="D1419" t="str">
            <v>DS-502 19 HOLE CERLOX PUNCH DIE</v>
          </cell>
          <cell r="E1419">
            <v>4</v>
          </cell>
          <cell r="F1419">
            <v>0.1</v>
          </cell>
        </row>
        <row r="1420">
          <cell r="C1420" t="str">
            <v>A4F2WY1</v>
          </cell>
          <cell r="D1420" t="str">
            <v>EF-102 FUSER UNIT</v>
          </cell>
          <cell r="E1420">
            <v>4</v>
          </cell>
          <cell r="F1420">
            <v>0.1</v>
          </cell>
        </row>
        <row r="1421">
          <cell r="C1421" t="str">
            <v>A4F5WY1</v>
          </cell>
          <cell r="D1421" t="str">
            <v>MK-732 MOUNT KIT FOR PI-506</v>
          </cell>
          <cell r="E1421">
            <v>3</v>
          </cell>
          <cell r="F1421">
            <v>7.4999999999999997E-2</v>
          </cell>
        </row>
        <row r="1422">
          <cell r="C1422" t="str">
            <v>A04HWY2</v>
          </cell>
          <cell r="D1422" t="str">
            <v>PI-502 POST INSERTER FOR FS-532</v>
          </cell>
          <cell r="E1422">
            <v>3</v>
          </cell>
          <cell r="F1422">
            <v>7.4999999999999997E-2</v>
          </cell>
        </row>
        <row r="1423">
          <cell r="C1423" t="str">
            <v>A0NAW11</v>
          </cell>
          <cell r="D1423" t="str">
            <v>DS-501 3 HOLE PUNCH DIE</v>
          </cell>
          <cell r="E1423">
            <v>2</v>
          </cell>
          <cell r="F1423">
            <v>0.05</v>
          </cell>
        </row>
        <row r="1424">
          <cell r="C1424" t="str">
            <v>A0NFW11</v>
          </cell>
          <cell r="D1424" t="str">
            <v>DS-505 44 HOLE COLOR COIL PUNCH DIE</v>
          </cell>
          <cell r="E1424">
            <v>2</v>
          </cell>
          <cell r="F1424">
            <v>0.05</v>
          </cell>
        </row>
        <row r="1425">
          <cell r="C1425" t="str">
            <v>A0GFWY1</v>
          </cell>
          <cell r="D1425" t="str">
            <v>FA-501 PI-PFU KIT</v>
          </cell>
          <cell r="E1425">
            <v>2</v>
          </cell>
          <cell r="F1425">
            <v>0.05</v>
          </cell>
        </row>
        <row r="1426">
          <cell r="C1426" t="str">
            <v>A15XW12</v>
          </cell>
          <cell r="D1426" t="str">
            <v>PB-503 PERFECT BINDER</v>
          </cell>
          <cell r="E1426">
            <v>2</v>
          </cell>
          <cell r="F1426">
            <v>0.05</v>
          </cell>
        </row>
        <row r="1427">
          <cell r="D1427" t="str">
            <v>CONVENIENCE STAPLER CS-1</v>
          </cell>
          <cell r="E1427">
            <v>1</v>
          </cell>
          <cell r="F1427">
            <v>2.5000000000000001E-2</v>
          </cell>
        </row>
        <row r="1428">
          <cell r="C1428" t="str">
            <v>A0NDW11</v>
          </cell>
          <cell r="D1428" t="str">
            <v>DS-503 32 HOLE WIREBIND PUNCH DIE</v>
          </cell>
          <cell r="E1428">
            <v>1</v>
          </cell>
          <cell r="F1428">
            <v>2.5000000000000001E-2</v>
          </cell>
        </row>
        <row r="1429">
          <cell r="C1429" t="str">
            <v>A0NEW11</v>
          </cell>
          <cell r="D1429" t="str">
            <v>DS-504 21 HOLE WIREBIND PUNCH DIE</v>
          </cell>
          <cell r="E1429">
            <v>1</v>
          </cell>
          <cell r="F1429">
            <v>2.5000000000000001E-2</v>
          </cell>
        </row>
        <row r="1430">
          <cell r="C1430" t="str">
            <v>A4F6W11</v>
          </cell>
          <cell r="D1430" t="str">
            <v>GP-502 IN-LINE RING BINDER</v>
          </cell>
          <cell r="E1430">
            <v>1</v>
          </cell>
          <cell r="F1430">
            <v>2.5000000000000001E-2</v>
          </cell>
        </row>
        <row r="1431">
          <cell r="C1431" t="str">
            <v>A0W5WY1</v>
          </cell>
          <cell r="D1431" t="str">
            <v>HD-511 INNER CASE FOR RH-101</v>
          </cell>
          <cell r="E1431">
            <v>1</v>
          </cell>
          <cell r="F1431">
            <v>2.5000000000000001E-2</v>
          </cell>
        </row>
        <row r="1432">
          <cell r="C1432" t="str">
            <v>A1AHWY1</v>
          </cell>
          <cell r="D1432" t="str">
            <v>LC-501 ROLLAWAY CART FOR LS-505</v>
          </cell>
          <cell r="E1432">
            <v>1</v>
          </cell>
          <cell r="F1432">
            <v>2.5000000000000001E-2</v>
          </cell>
        </row>
        <row r="1433">
          <cell r="C1433" t="str">
            <v>A0H1W12</v>
          </cell>
          <cell r="D1433" t="str">
            <v>LS-505 LARGE CAPACITY STACKER</v>
          </cell>
          <cell r="E1433">
            <v>1</v>
          </cell>
          <cell r="F1433">
            <v>2.5000000000000001E-2</v>
          </cell>
        </row>
        <row r="1434">
          <cell r="C1434" t="str">
            <v>A4F7WY1</v>
          </cell>
          <cell r="D1434" t="str">
            <v>RB-101 Black Element for GP-502 (1,000)</v>
          </cell>
          <cell r="E1434">
            <v>1</v>
          </cell>
          <cell r="F1434">
            <v>2.5000000000000001E-2</v>
          </cell>
        </row>
        <row r="1436">
          <cell r="D1436" t="str">
            <v>Row Labels</v>
          </cell>
          <cell r="E1436" t="str">
            <v>Sum of qty</v>
          </cell>
        </row>
        <row r="1437">
          <cell r="C1437" t="str">
            <v>A4EX011</v>
          </cell>
          <cell r="D1437" t="str">
            <v>BIZHUB PRESS 1250P</v>
          </cell>
          <cell r="E1437">
            <v>45</v>
          </cell>
          <cell r="F1437">
            <v>1</v>
          </cell>
        </row>
        <row r="1438">
          <cell r="C1438">
            <v>7640014726</v>
          </cell>
          <cell r="D1438" t="str">
            <v>INNOVOLT POWER MANAGER 30AMP/208-240V</v>
          </cell>
          <cell r="E1438">
            <v>39</v>
          </cell>
          <cell r="F1438">
            <v>0.8666666666666667</v>
          </cell>
        </row>
        <row r="1439">
          <cell r="C1439" t="str">
            <v>A4FCWY1</v>
          </cell>
          <cell r="D1439" t="str">
            <v>RU-510 RELAY UNIT</v>
          </cell>
          <cell r="E1439">
            <v>36</v>
          </cell>
          <cell r="F1439">
            <v>0.8</v>
          </cell>
        </row>
        <row r="1440">
          <cell r="C1440" t="str">
            <v>A4F3WY1</v>
          </cell>
          <cell r="D1440" t="str">
            <v>FS-532 STAPLING FINISHER</v>
          </cell>
          <cell r="E1440">
            <v>25</v>
          </cell>
          <cell r="F1440">
            <v>0.55555555555555558</v>
          </cell>
        </row>
        <row r="1441">
          <cell r="C1441" t="str">
            <v>A0GDWY2</v>
          </cell>
          <cell r="D1441" t="str">
            <v>PF-703 PAPER FEED UNIT</v>
          </cell>
          <cell r="E1441">
            <v>24</v>
          </cell>
          <cell r="F1441">
            <v>0.53333333333333333</v>
          </cell>
        </row>
        <row r="1442">
          <cell r="C1442" t="str">
            <v>A0H1W12</v>
          </cell>
          <cell r="D1442" t="str">
            <v>LS-505 LARGE CAPACITY STACKER</v>
          </cell>
          <cell r="E1442">
            <v>23</v>
          </cell>
          <cell r="F1442">
            <v>0.51111111111111107</v>
          </cell>
        </row>
        <row r="1443">
          <cell r="C1443">
            <v>7640014723</v>
          </cell>
          <cell r="D1443" t="str">
            <v>INNOVOLT POWER MANAGER 15AMP</v>
          </cell>
          <cell r="E1443">
            <v>14</v>
          </cell>
          <cell r="F1443">
            <v>0.31111111111111112</v>
          </cell>
        </row>
        <row r="1444">
          <cell r="C1444" t="str">
            <v>A0H2WY2</v>
          </cell>
          <cell r="D1444" t="str">
            <v>SD-506 SADDLE STITCH UNIT</v>
          </cell>
          <cell r="E1444">
            <v>11</v>
          </cell>
          <cell r="F1444">
            <v>0.24444444444444444</v>
          </cell>
        </row>
        <row r="1445">
          <cell r="C1445" t="str">
            <v>A1AHWY1</v>
          </cell>
          <cell r="D1445" t="str">
            <v>LC-501 ROLLAWAY CART FOR LS-505</v>
          </cell>
          <cell r="E1445">
            <v>10</v>
          </cell>
          <cell r="F1445">
            <v>0.22222222222222221</v>
          </cell>
        </row>
        <row r="1446">
          <cell r="C1446" t="str">
            <v>A2A2W12</v>
          </cell>
          <cell r="D1446" t="str">
            <v>RU-509 RELAY UNIT</v>
          </cell>
          <cell r="E1446">
            <v>8</v>
          </cell>
          <cell r="F1446">
            <v>0.17777777777777778</v>
          </cell>
        </row>
        <row r="1447">
          <cell r="C1447" t="str">
            <v>A0GFWY1</v>
          </cell>
          <cell r="D1447" t="str">
            <v>FA-501 PI-PFU KIT</v>
          </cell>
          <cell r="E1447">
            <v>6</v>
          </cell>
          <cell r="F1447">
            <v>0.13333333333333333</v>
          </cell>
        </row>
        <row r="1448">
          <cell r="C1448" t="str">
            <v>A0H0W11</v>
          </cell>
          <cell r="D1448" t="str">
            <v>FD-503 MULTIFOLDING UNIT GENERIC</v>
          </cell>
          <cell r="E1448">
            <v>5</v>
          </cell>
          <cell r="F1448">
            <v>0.1111111111111111</v>
          </cell>
        </row>
        <row r="1449">
          <cell r="C1449" t="str">
            <v>A2A3WY2</v>
          </cell>
          <cell r="D1449" t="str">
            <v>HM-102 HUMIDIFICATION UNIT</v>
          </cell>
          <cell r="E1449">
            <v>4</v>
          </cell>
          <cell r="F1449">
            <v>8.8888888888888892E-2</v>
          </cell>
        </row>
        <row r="1450">
          <cell r="C1450" t="str">
            <v>A15AWY1</v>
          </cell>
          <cell r="D1450" t="str">
            <v>HT-505 HEATER FAN UNIT</v>
          </cell>
          <cell r="E1450">
            <v>4</v>
          </cell>
          <cell r="F1450">
            <v>8.8888888888888892E-2</v>
          </cell>
        </row>
        <row r="1451">
          <cell r="C1451" t="str">
            <v>A0GDWY1</v>
          </cell>
          <cell r="D1451" t="str">
            <v>*PF-703 PAPER FEED UNIT</v>
          </cell>
          <cell r="E1451">
            <v>1</v>
          </cell>
          <cell r="F1451">
            <v>2.2222222222222223E-2</v>
          </cell>
        </row>
        <row r="1452">
          <cell r="C1452" t="str">
            <v>A0NAW11</v>
          </cell>
          <cell r="D1452" t="str">
            <v>DS-501 3 HOLE PUNCH DIE</v>
          </cell>
          <cell r="E1452">
            <v>1</v>
          </cell>
          <cell r="F1452">
            <v>2.2222222222222223E-2</v>
          </cell>
        </row>
        <row r="1453">
          <cell r="C1453" t="str">
            <v>A0NCW11</v>
          </cell>
          <cell r="D1453" t="str">
            <v>DS-502 19 HOLE CERLOX PUNCH DIE</v>
          </cell>
          <cell r="E1453">
            <v>1</v>
          </cell>
          <cell r="F1453">
            <v>2.2222222222222223E-2</v>
          </cell>
        </row>
        <row r="1454">
          <cell r="C1454" t="str">
            <v>A0GYWY1</v>
          </cell>
          <cell r="D1454" t="str">
            <v>FS-521 STAPLE FINISHER</v>
          </cell>
          <cell r="E1454">
            <v>1</v>
          </cell>
          <cell r="F1454">
            <v>2.2222222222222223E-2</v>
          </cell>
        </row>
        <row r="1455">
          <cell r="C1455" t="str">
            <v>A0N9W11</v>
          </cell>
          <cell r="D1455" t="str">
            <v>GP-501 GBC PUNCH UNIT</v>
          </cell>
          <cell r="E1455">
            <v>1</v>
          </cell>
          <cell r="F1455">
            <v>2.2222222222222223E-2</v>
          </cell>
        </row>
        <row r="1456">
          <cell r="C1456" t="str">
            <v>A4F5WY1</v>
          </cell>
          <cell r="D1456" t="str">
            <v>MK-732 MOUNT KIT FOR PI-506</v>
          </cell>
          <cell r="E1456">
            <v>1</v>
          </cell>
          <cell r="F1456">
            <v>2.2222222222222223E-2</v>
          </cell>
        </row>
        <row r="1457">
          <cell r="C1457" t="str">
            <v>A15XW12</v>
          </cell>
          <cell r="D1457" t="str">
            <v>PB-503 PERFECT BINDER</v>
          </cell>
          <cell r="E1457">
            <v>1</v>
          </cell>
          <cell r="F1457">
            <v>2.2222222222222223E-2</v>
          </cell>
        </row>
        <row r="1458">
          <cell r="C1458" t="str">
            <v>A4EYWY1</v>
          </cell>
          <cell r="D1458" t="str">
            <v>PF-706 PAPER FEED UNIT</v>
          </cell>
          <cell r="E1458">
            <v>1</v>
          </cell>
          <cell r="F1458">
            <v>2.2222222222222223E-2</v>
          </cell>
        </row>
        <row r="1460">
          <cell r="D1460" t="str">
            <v>Row Labels</v>
          </cell>
          <cell r="E1460" t="str">
            <v>Sum of Qty</v>
          </cell>
        </row>
        <row r="1461">
          <cell r="D1461" t="str">
            <v>C6000L 60PPM COLOR COPIER/PRINT ENGINE</v>
          </cell>
          <cell r="E1461">
            <v>189</v>
          </cell>
          <cell r="F1461">
            <v>1</v>
          </cell>
        </row>
        <row r="1462">
          <cell r="D1462" t="str">
            <v>HD-514 HARD DISK DRIVE KIT (160GB X 6)</v>
          </cell>
          <cell r="E1462">
            <v>179</v>
          </cell>
          <cell r="F1462">
            <v>0.94708994708994709</v>
          </cell>
        </row>
        <row r="1463">
          <cell r="C1463" t="str">
            <v>A21GWY1</v>
          </cell>
          <cell r="D1463" t="str">
            <v>PH-102 PREVIEW UPGRADE KIT</v>
          </cell>
          <cell r="E1463">
            <v>178</v>
          </cell>
          <cell r="F1463">
            <v>0.94179894179894175</v>
          </cell>
        </row>
        <row r="1464">
          <cell r="D1464" t="str">
            <v>INNOVOLT POWER MANAGER 30AMP/208-240V</v>
          </cell>
          <cell r="E1464">
            <v>164</v>
          </cell>
          <cell r="F1464">
            <v>0.86772486772486768</v>
          </cell>
        </row>
        <row r="1465">
          <cell r="C1465" t="str">
            <v>A1TWWY1</v>
          </cell>
          <cell r="D1465" t="str">
            <v>DF-622 DOCUMENT FEEDER</v>
          </cell>
          <cell r="E1465">
            <v>148</v>
          </cell>
          <cell r="F1465">
            <v>0.78306878306878303</v>
          </cell>
        </row>
        <row r="1466">
          <cell r="C1466" t="str">
            <v>A1TVWY1</v>
          </cell>
          <cell r="D1466" t="str">
            <v>FS-612 BOOKLET FINISHER</v>
          </cell>
          <cell r="E1466">
            <v>146</v>
          </cell>
          <cell r="F1466">
            <v>0.77248677248677244</v>
          </cell>
        </row>
        <row r="1467">
          <cell r="C1467" t="str">
            <v>A03WWW0</v>
          </cell>
          <cell r="D1467" t="str">
            <v>LU202 LARGE CAPACITY TRAY</v>
          </cell>
          <cell r="E1467">
            <v>136</v>
          </cell>
          <cell r="F1467">
            <v>0.71957671957671954</v>
          </cell>
        </row>
        <row r="1468">
          <cell r="C1468" t="str">
            <v>A21EWY1</v>
          </cell>
          <cell r="D1468" t="str">
            <v>MB-504 MULTI BYPASS TRAY UNIT</v>
          </cell>
          <cell r="E1468">
            <v>121</v>
          </cell>
          <cell r="F1468">
            <v>0.64021164021164023</v>
          </cell>
        </row>
        <row r="1469">
          <cell r="D1469" t="str">
            <v>C6000L IC413 COLOR COPIER/PRT ENGINE PKG</v>
          </cell>
          <cell r="E1469">
            <v>114</v>
          </cell>
          <cell r="F1469">
            <v>0.60317460317460314</v>
          </cell>
        </row>
        <row r="1470">
          <cell r="D1470" t="str">
            <v>INNOVOLT POWER MANAGER 15AMP</v>
          </cell>
          <cell r="E1470">
            <v>78</v>
          </cell>
          <cell r="F1470">
            <v>0.41269841269841268</v>
          </cell>
        </row>
        <row r="1471">
          <cell r="C1471" t="str">
            <v>A04F0Y1</v>
          </cell>
          <cell r="D1471" t="str">
            <v>PK-512 SELECTABLE 2/3-HOLE PUNCH KIT</v>
          </cell>
          <cell r="E1471">
            <v>76</v>
          </cell>
          <cell r="F1471">
            <v>0.40211640211640209</v>
          </cell>
        </row>
        <row r="1472">
          <cell r="D1472" t="str">
            <v>EFI SPECTROPHOTOMETER ES-1000 V.2.0</v>
          </cell>
          <cell r="E1472">
            <v>51</v>
          </cell>
          <cell r="F1472">
            <v>0.26984126984126983</v>
          </cell>
        </row>
        <row r="1473">
          <cell r="C1473" t="str">
            <v>A0410Y0</v>
          </cell>
          <cell r="D1473" t="str">
            <v>HT-503 DEHUMID HEATER FOR LU-202</v>
          </cell>
          <cell r="E1473">
            <v>32</v>
          </cell>
          <cell r="F1473">
            <v>0.1693121693121693</v>
          </cell>
        </row>
        <row r="1474">
          <cell r="D1474" t="str">
            <v>C6000L IC601 COLOR COPIER/PRT ENGINE PKG</v>
          </cell>
          <cell r="E1474">
            <v>27</v>
          </cell>
          <cell r="F1474">
            <v>0.14285714285714285</v>
          </cell>
        </row>
        <row r="1475">
          <cell r="D1475" t="str">
            <v>PI-502 POST INSERTER FOR FS-532</v>
          </cell>
          <cell r="E1475">
            <v>26</v>
          </cell>
          <cell r="F1475">
            <v>0.13756613756613756</v>
          </cell>
        </row>
        <row r="1476">
          <cell r="D1476" t="str">
            <v>XRITE I1 SPECTROPHOTOMETER-HDWR ONLY</v>
          </cell>
          <cell r="E1476">
            <v>21</v>
          </cell>
          <cell r="F1476">
            <v>0.1111111111111111</v>
          </cell>
        </row>
        <row r="1477">
          <cell r="C1477" t="str">
            <v>A0430Y0</v>
          </cell>
          <cell r="D1477" t="str">
            <v>OT-502 OFFSET TRAY</v>
          </cell>
          <cell r="E1477">
            <v>17</v>
          </cell>
          <cell r="F1477">
            <v>8.9947089947089942E-2</v>
          </cell>
        </row>
        <row r="1478">
          <cell r="C1478">
            <v>7640009476</v>
          </cell>
          <cell r="D1478" t="str">
            <v>EFI FIERY SEEQUENCE IMPOSE</v>
          </cell>
          <cell r="E1478">
            <v>16</v>
          </cell>
          <cell r="F1478">
            <v>8.4656084656084651E-2</v>
          </cell>
        </row>
        <row r="1479">
          <cell r="C1479" t="str">
            <v>A2A4WY1</v>
          </cell>
          <cell r="D1479" t="str">
            <v>FS-531 STAPLING FINISHER</v>
          </cell>
          <cell r="E1479">
            <v>13</v>
          </cell>
          <cell r="F1479">
            <v>6.8783068783068779E-2</v>
          </cell>
        </row>
        <row r="1480">
          <cell r="C1480" t="str">
            <v>A0420Y0</v>
          </cell>
          <cell r="D1480" t="str">
            <v>OC-506 ORIGINAL COVER</v>
          </cell>
          <cell r="E1480">
            <v>13</v>
          </cell>
          <cell r="F1480">
            <v>6.8783068783068779E-2</v>
          </cell>
        </row>
        <row r="1481">
          <cell r="C1481" t="str">
            <v>A21FWY1</v>
          </cell>
          <cell r="D1481" t="str">
            <v>WT-508 WORKING TABLE</v>
          </cell>
          <cell r="E1481">
            <v>13</v>
          </cell>
          <cell r="F1481">
            <v>6.8783068783068779E-2</v>
          </cell>
        </row>
        <row r="1482">
          <cell r="D1482" t="str">
            <v>KIT,OPTION,ES-2000,HARDWARE ONLY</v>
          </cell>
          <cell r="E1482">
            <v>12</v>
          </cell>
          <cell r="F1482">
            <v>6.3492063492063489E-2</v>
          </cell>
        </row>
        <row r="1483">
          <cell r="C1483">
            <v>7640014503</v>
          </cell>
          <cell r="D1483" t="str">
            <v>HOT FOLDERS + VIRTUAL PTRS FOR IC-413</v>
          </cell>
          <cell r="E1483">
            <v>10</v>
          </cell>
          <cell r="F1483">
            <v>5.2910052910052907E-2</v>
          </cell>
        </row>
        <row r="1484">
          <cell r="C1484">
            <v>7640004314</v>
          </cell>
          <cell r="D1484" t="str">
            <v>**EFI SPECTROPHOTOMETER ES-1000 V.2.0</v>
          </cell>
          <cell r="E1484">
            <v>5</v>
          </cell>
          <cell r="F1484">
            <v>2.6455026455026454E-2</v>
          </cell>
        </row>
        <row r="1485">
          <cell r="C1485" t="str">
            <v>A04HWY1</v>
          </cell>
          <cell r="D1485" t="str">
            <v>*PI-502 COVER INSERTER  GENERIC</v>
          </cell>
          <cell r="E1485">
            <v>5</v>
          </cell>
          <cell r="F1485">
            <v>2.6455026455026454E-2</v>
          </cell>
        </row>
        <row r="1486">
          <cell r="D1486" t="str">
            <v>ESP XG-PCS-15D NEXT GEN PCS 120V/15A</v>
          </cell>
          <cell r="E1486">
            <v>5</v>
          </cell>
          <cell r="F1486">
            <v>2.6455026455026454E-2</v>
          </cell>
        </row>
        <row r="1487">
          <cell r="D1487" t="str">
            <v>SB,KIT,FIERY CPS V4.0 INCLUDES ES-2000</v>
          </cell>
          <cell r="E1487">
            <v>5</v>
          </cell>
          <cell r="F1487">
            <v>2.6455026455026454E-2</v>
          </cell>
        </row>
        <row r="1488">
          <cell r="D1488" t="str">
            <v>EFI FIERY CPS V3.0 UV ES-1000</v>
          </cell>
          <cell r="E1488">
            <v>4</v>
          </cell>
          <cell r="F1488">
            <v>2.1164021164021163E-2</v>
          </cell>
        </row>
        <row r="1489">
          <cell r="C1489">
            <v>7640009478</v>
          </cell>
          <cell r="D1489" t="str">
            <v>EFI FIERY SEEQUENCE IMPOSE+COMPOSE SUITE</v>
          </cell>
          <cell r="E1489">
            <v>4</v>
          </cell>
          <cell r="F1489">
            <v>2.1164021164021163E-2</v>
          </cell>
        </row>
        <row r="1490">
          <cell r="C1490">
            <v>7640014504</v>
          </cell>
          <cell r="D1490" t="str">
            <v>EFI AUTO TRAP FOR FIERY IC-413</v>
          </cell>
          <cell r="E1490">
            <v>3</v>
          </cell>
          <cell r="F1490">
            <v>1.5873015873015872E-2</v>
          </cell>
        </row>
        <row r="1491">
          <cell r="C1491">
            <v>7640014501</v>
          </cell>
          <cell r="D1491" t="str">
            <v>PRODUCTIVITY PACKAGE FOR FIERY IC-413</v>
          </cell>
          <cell r="E1491">
            <v>3</v>
          </cell>
          <cell r="F1491">
            <v>1.5873015873015872E-2</v>
          </cell>
        </row>
        <row r="1492">
          <cell r="D1492" t="str">
            <v>PI-502 COVER INSERTER  GENERIC</v>
          </cell>
          <cell r="E1492">
            <v>2</v>
          </cell>
          <cell r="F1492">
            <v>1.0582010582010581E-2</v>
          </cell>
        </row>
        <row r="1493">
          <cell r="D1493" t="str">
            <v>DF-609 DOCUMENT FEEDER</v>
          </cell>
          <cell r="E1493">
            <v>1</v>
          </cell>
          <cell r="F1493">
            <v>5.2910052910052907E-3</v>
          </cell>
        </row>
      </sheetData>
      <sheetData sheetId="43">
        <row r="1">
          <cell r="B1" t="str">
            <v>SRP</v>
          </cell>
          <cell r="C1">
            <v>3</v>
          </cell>
        </row>
        <row r="2">
          <cell r="B2" t="str">
            <v>STD</v>
          </cell>
          <cell r="C2">
            <v>4</v>
          </cell>
        </row>
        <row r="3">
          <cell r="B3" t="str">
            <v>LDN</v>
          </cell>
          <cell r="C3">
            <v>5</v>
          </cell>
        </row>
        <row r="4">
          <cell r="B4" t="str">
            <v>Direct Cost</v>
          </cell>
          <cell r="C4">
            <v>6</v>
          </cell>
        </row>
        <row r="5">
          <cell r="B5" t="str">
            <v>Level 6</v>
          </cell>
          <cell r="C5">
            <v>7</v>
          </cell>
        </row>
        <row r="6">
          <cell r="B6" t="str">
            <v>Level 5</v>
          </cell>
          <cell r="C6">
            <v>8</v>
          </cell>
        </row>
        <row r="7">
          <cell r="B7" t="str">
            <v>Level 4</v>
          </cell>
          <cell r="C7">
            <v>9</v>
          </cell>
        </row>
        <row r="8">
          <cell r="B8" t="str">
            <v>Level 3</v>
          </cell>
          <cell r="C8">
            <v>10</v>
          </cell>
        </row>
        <row r="9">
          <cell r="B9" t="str">
            <v>Level 2</v>
          </cell>
          <cell r="C9">
            <v>11</v>
          </cell>
        </row>
        <row r="10">
          <cell r="B10" t="str">
            <v>List Price</v>
          </cell>
          <cell r="C10">
            <v>12</v>
          </cell>
        </row>
      </sheetData>
      <sheetData sheetId="44" refreshError="1"/>
      <sheetData sheetId="45"/>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CAT"/>
      <sheetName val="Item master formula"/>
      <sheetName val="Item Master MFP"/>
      <sheetName val="# CHECK"/>
      <sheetName val="Cover"/>
      <sheetName val="Instruction"/>
      <sheetName val="FAX2900-3900"/>
      <sheetName val="C360-280-220"/>
      <sheetName val="C452"/>
      <sheetName val="C652 C552"/>
      <sheetName val="C652DS C552DS"/>
      <sheetName val="C5501"/>
      <sheetName val="C6501"/>
      <sheetName val="C65hc"/>
      <sheetName val="bizhub 160 - 161f"/>
      <sheetName val="bizhub 181"/>
      <sheetName val="bizhub 222 282 362 "/>
      <sheetName val="bizhub 361 421 501 "/>
      <sheetName val="bizhub 751-601 "/>
      <sheetName val="bizhub PRO 950"/>
      <sheetName val="bizhub PRO 1051"/>
      <sheetName val="bizhub PRO 1200 1200P"/>
      <sheetName val="bizhub PRO 1600P 2000P 2500P"/>
      <sheetName val="Kodak EX Series"/>
      <sheetName val="Closeout Cover"/>
      <sheetName val="Closeout Instruction"/>
      <sheetName val="bizhub 200 250 350"/>
      <sheetName val="bizhub 360-420-500"/>
      <sheetName val="bizhub 750-600"/>
      <sheetName val="bizhub PRO 920"/>
      <sheetName val="C200"/>
      <sheetName val="C252_C252P"/>
      <sheetName val="C300-C352-C352P"/>
      <sheetName val="C550"/>
      <sheetName val="C650"/>
      <sheetName val="C5500"/>
      <sheetName val="C6500"/>
      <sheetName val="C353-253-203"/>
      <sheetName val="C353P"/>
      <sheetName val="C451"/>
      <sheetName val="bizhub PRO 1050e-1050eP"/>
      <sheetName val="OBSOLETE"/>
      <sheetName val="bizhub 180"/>
      <sheetName val="ESP Power Filters"/>
      <sheetName val="C500"/>
      <sheetName val="USED"/>
      <sheetName val="bizhub PRO 1050e-1050eP Demo"/>
      <sheetName val="C353-253-203 Demo"/>
      <sheetName val="C451 Demo"/>
      <sheetName val="C353-253 Demo"/>
      <sheetName val="bizhub PRO 1050e-1050eP pend CO"/>
      <sheetName val="Closeout Notes"/>
      <sheetName val="Instruction (2)"/>
      <sheetName val="bizhub PRO 1050e-1050eP 1st"/>
      <sheetName val="C203"/>
      <sheetName val="Validation"/>
      <sheetName val="Terms and Conditions"/>
      <sheetName val="Profile"/>
      <sheetName val="APPROVED PRICING"/>
      <sheetName val="Bid Desk Lowest"/>
      <sheetName val="Sheet1"/>
      <sheetName val="Sheet2"/>
      <sheetName val="Sheet3"/>
      <sheetName val="MFP-FAX"/>
      <sheetName val="Std Cost"/>
      <sheetName val="Maintenance"/>
      <sheetName val="VP Workbench"/>
      <sheetName val="Summary Page"/>
      <sheetName val="NEW Summary"/>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Quote Tool"/>
      <sheetName val="Database"/>
      <sheetName val="Rules"/>
      <sheetName val="Printers"/>
      <sheetName val="Validations"/>
      <sheetName val="C3350"/>
      <sheetName val="C3850"/>
      <sheetName val="C224e"/>
      <sheetName val="C284e"/>
      <sheetName val="C364e"/>
      <sheetName val="C454e"/>
      <sheetName val="C554e"/>
      <sheetName val="C654e"/>
      <sheetName val="C754e"/>
      <sheetName val="C6000L"/>
      <sheetName val="C1060L"/>
      <sheetName val="C1060"/>
      <sheetName val="C1070"/>
      <sheetName val="C7000P"/>
      <sheetName val="C70hc"/>
      <sheetName val="C8000"/>
      <sheetName val="C1085"/>
      <sheetName val="C1100"/>
      <sheetName val="Color Mgnt Tools"/>
      <sheetName val="bizhub 25e"/>
      <sheetName val="bizhub 4750"/>
      <sheetName val="bizhub 4050"/>
      <sheetName val="bizhub 215"/>
      <sheetName val="bizhub 223"/>
      <sheetName val="bizhub 224e"/>
      <sheetName val="bizhub 284e"/>
      <sheetName val="bizhub 364e"/>
      <sheetName val="bizhub 454e"/>
      <sheetName val="bizhub 554e"/>
      <sheetName val="bizhub 654e"/>
      <sheetName val="bizhub 754e"/>
      <sheetName val="bizhub PRO 951"/>
      <sheetName val="bizhub PRESS 1052"/>
      <sheetName val="bizhub PRESS 1250 1250P"/>
      <sheetName val="bizhub PRESS 2250P"/>
      <sheetName val="Pre-owned"/>
      <sheetName val="C7000 NLA"/>
      <sheetName val="C6000 NLA"/>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C754 nla"/>
      <sheetName val="bizhub 654 nla"/>
      <sheetName val="bizhub 754 nla"/>
      <sheetName val="INCREASED"/>
    </sheetNames>
    <sheetDataSet>
      <sheetData sheetId="0"/>
      <sheetData sheetId="1"/>
      <sheetData sheetId="2"/>
      <sheetData sheetId="3">
        <row r="4">
          <cell r="B4" t="str">
            <v>CAT</v>
          </cell>
          <cell r="C4" t="str">
            <v>STD CAT</v>
          </cell>
          <cell r="D4" t="str">
            <v>Vend</v>
          </cell>
          <cell r="E4" t="str">
            <v>DIV</v>
          </cell>
          <cell r="F4" t="str">
            <v>Set Up Date</v>
          </cell>
          <cell r="G4" t="str">
            <v>Latest Revision Date</v>
          </cell>
          <cell r="H4" t="str">
            <v>ITEM NUMBER (SAP)</v>
          </cell>
          <cell r="I4" t="str">
            <v>ITEM NUMBER (ORACLE)</v>
          </cell>
          <cell r="J4" t="str">
            <v>Vendor Item Number</v>
          </cell>
          <cell r="K4" t="str">
            <v>DESCRIPTION</v>
          </cell>
          <cell r="L4" t="str">
            <v>SRP</v>
          </cell>
          <cell r="M4" t="str">
            <v>FOB</v>
          </cell>
          <cell r="N4" t="str">
            <v>STD</v>
          </cell>
          <cell r="O4" t="str">
            <v>GM%
(STD)</v>
          </cell>
          <cell r="P4" t="str">
            <v>Sub</v>
          </cell>
          <cell r="Q4" t="str">
            <v>BCA/BMX</v>
          </cell>
          <cell r="R4" t="str">
            <v>BCA (C$)</v>
          </cell>
          <cell r="S4" t="str">
            <v>LDN</v>
          </cell>
          <cell r="T4" t="str">
            <v>GM% at STD</v>
          </cell>
          <cell r="U4" t="str">
            <v>KMAP L8</v>
          </cell>
          <cell r="V4" t="str">
            <v>GM% at STD</v>
          </cell>
          <cell r="W4" t="str">
            <v>Direct Cost</v>
          </cell>
          <cell r="X4" t="str">
            <v>vs LDN</v>
          </cell>
          <cell r="Y4" t="str">
            <v>Delivery</v>
          </cell>
          <cell r="Z4" t="str">
            <v>Installation</v>
          </cell>
          <cell r="AA4" t="str">
            <v>GSA</v>
          </cell>
          <cell r="AB4" t="str">
            <v>Level 6</v>
          </cell>
          <cell r="AC4" t="str">
            <v>Level 6 DNU</v>
          </cell>
          <cell r="AD4" t="str">
            <v>Level 5</v>
          </cell>
          <cell r="AE4" t="str">
            <v>LEVEL 9 not used</v>
          </cell>
          <cell r="AF4" t="str">
            <v>GM%
at DC</v>
          </cell>
          <cell r="AG4" t="str">
            <v>GM%
at STD</v>
          </cell>
          <cell r="AH4" t="str">
            <v>Level 4</v>
          </cell>
          <cell r="AI4" t="str">
            <v>Level 3</v>
          </cell>
          <cell r="AJ4" t="str">
            <v>GM%
at DC</v>
          </cell>
          <cell r="AK4" t="str">
            <v>LEVEL 6 not used</v>
          </cell>
          <cell r="AL4" t="str">
            <v>LEVEL 2</v>
          </cell>
          <cell r="AM4" t="str">
            <v>GM%
at DC</v>
          </cell>
          <cell r="AN4" t="str">
            <v>LEVEL 4 not used</v>
          </cell>
          <cell r="AO4" t="str">
            <v>LEVEL 3 not used</v>
          </cell>
          <cell r="AP4" t="str">
            <v>LEVEL 2 not used</v>
          </cell>
          <cell r="AQ4" t="str">
            <v>STRATEGIC POINTS</v>
          </cell>
          <cell r="AR4" t="str">
            <v>Installation Comp (Zone A)</v>
          </cell>
          <cell r="AS4" t="str">
            <v>List Price</v>
          </cell>
          <cell r="AT4" t="str">
            <v>LIST GM%</v>
          </cell>
          <cell r="AV4" t="str">
            <v>startdate</v>
          </cell>
          <cell r="AW4" t="str">
            <v>enddate</v>
          </cell>
        </row>
        <row r="5">
          <cell r="B5" t="str">
            <v>AC</v>
          </cell>
          <cell r="C5" t="str">
            <v>DDP</v>
          </cell>
          <cell r="D5" t="str">
            <v>Oce</v>
          </cell>
          <cell r="E5" t="str">
            <v>08</v>
          </cell>
          <cell r="F5">
            <v>39924</v>
          </cell>
          <cell r="G5">
            <v>39924</v>
          </cell>
          <cell r="H5" t="str">
            <v>A0XC011</v>
          </cell>
          <cell r="I5" t="str">
            <v>6KMA0XC011_N</v>
          </cell>
          <cell r="J5">
            <v>0</v>
          </cell>
          <cell r="K5" t="str">
            <v>Paper Input Module-Standard</v>
          </cell>
          <cell r="L5">
            <v>25000</v>
          </cell>
          <cell r="M5">
            <v>9525</v>
          </cell>
          <cell r="N5">
            <v>9525</v>
          </cell>
          <cell r="O5">
            <v>0.17905623787976729</v>
          </cell>
          <cell r="P5">
            <v>11602.5</v>
          </cell>
          <cell r="Q5">
            <v>9802.43</v>
          </cell>
          <cell r="R5">
            <v>11076.75</v>
          </cell>
          <cell r="S5">
            <v>13650</v>
          </cell>
          <cell r="T5">
            <v>0.30219780219780218</v>
          </cell>
          <cell r="U5">
            <v>10570.56</v>
          </cell>
          <cell r="V5">
            <v>9.8912451185178413E-2</v>
          </cell>
          <cell r="W5">
            <v>11602.5</v>
          </cell>
          <cell r="X5">
            <v>0.85</v>
          </cell>
          <cell r="Y5">
            <v>0</v>
          </cell>
          <cell r="Z5">
            <v>0</v>
          </cell>
          <cell r="AA5">
            <v>17500</v>
          </cell>
          <cell r="AB5">
            <v>11603</v>
          </cell>
          <cell r="AC5">
            <v>14150</v>
          </cell>
          <cell r="AD5">
            <v>16004</v>
          </cell>
          <cell r="AE5">
            <v>17857</v>
          </cell>
          <cell r="AF5">
            <v>0.3502548020384163</v>
          </cell>
          <cell r="AG5">
            <v>0.46659573276586214</v>
          </cell>
          <cell r="AH5">
            <v>19286</v>
          </cell>
          <cell r="AI5">
            <v>20715</v>
          </cell>
          <cell r="AJ5">
            <v>0.4398986241853729</v>
          </cell>
          <cell r="AK5">
            <v>22143.5</v>
          </cell>
          <cell r="AL5">
            <v>23572</v>
          </cell>
          <cell r="AM5">
            <v>0.50778465976582388</v>
          </cell>
          <cell r="AN5">
            <v>25000</v>
          </cell>
          <cell r="AO5">
            <v>0</v>
          </cell>
          <cell r="AP5">
            <v>0</v>
          </cell>
          <cell r="AQ5">
            <v>0</v>
          </cell>
          <cell r="AS5">
            <v>25000</v>
          </cell>
        </row>
        <row r="6">
          <cell r="B6" t="str">
            <v>AC</v>
          </cell>
          <cell r="C6" t="str">
            <v>DDP</v>
          </cell>
          <cell r="D6" t="str">
            <v>Oce</v>
          </cell>
          <cell r="E6" t="str">
            <v>08</v>
          </cell>
          <cell r="F6">
            <v>39924</v>
          </cell>
          <cell r="G6">
            <v>39924</v>
          </cell>
          <cell r="H6" t="str">
            <v>A0XC012</v>
          </cell>
          <cell r="I6" t="str">
            <v>6KMA0XC012_N</v>
          </cell>
          <cell r="J6">
            <v>0</v>
          </cell>
          <cell r="K6" t="str">
            <v>Paper Input Module-Optional</v>
          </cell>
          <cell r="L6">
            <v>25000</v>
          </cell>
          <cell r="M6">
            <v>9525</v>
          </cell>
          <cell r="N6">
            <v>9525</v>
          </cell>
          <cell r="O6">
            <v>0.13800904977375567</v>
          </cell>
          <cell r="P6">
            <v>11050</v>
          </cell>
          <cell r="Q6">
            <v>9802.43</v>
          </cell>
          <cell r="R6">
            <v>11076.75</v>
          </cell>
          <cell r="S6">
            <v>13000</v>
          </cell>
          <cell r="T6">
            <v>0.2673076923076923</v>
          </cell>
          <cell r="U6">
            <v>10067.199999999999</v>
          </cell>
          <cell r="V6">
            <v>5.3858073744437275E-2</v>
          </cell>
          <cell r="W6">
            <v>11050</v>
          </cell>
          <cell r="X6">
            <v>0.85</v>
          </cell>
          <cell r="Y6">
            <v>0</v>
          </cell>
          <cell r="Z6">
            <v>200</v>
          </cell>
          <cell r="AA6">
            <v>16667</v>
          </cell>
          <cell r="AB6">
            <v>11050</v>
          </cell>
          <cell r="AC6">
            <v>13476</v>
          </cell>
          <cell r="AD6">
            <v>15242</v>
          </cell>
          <cell r="AE6">
            <v>17007</v>
          </cell>
          <cell r="AF6">
            <v>0.35026753689657197</v>
          </cell>
          <cell r="AG6">
            <v>0.43993649673663787</v>
          </cell>
          <cell r="AH6">
            <v>18646</v>
          </cell>
          <cell r="AI6">
            <v>20285</v>
          </cell>
          <cell r="AJ6">
            <v>0.45526250924328321</v>
          </cell>
          <cell r="AK6">
            <v>21923.5</v>
          </cell>
          <cell r="AL6">
            <v>23562</v>
          </cell>
          <cell r="AM6">
            <v>0.53102453102453107</v>
          </cell>
          <cell r="AN6">
            <v>25200</v>
          </cell>
          <cell r="AO6">
            <v>0</v>
          </cell>
          <cell r="AP6">
            <v>0</v>
          </cell>
          <cell r="AQ6">
            <v>0</v>
          </cell>
          <cell r="AS6">
            <v>25200</v>
          </cell>
        </row>
        <row r="7">
          <cell r="B7" t="str">
            <v>AC</v>
          </cell>
          <cell r="C7" t="str">
            <v>DDP</v>
          </cell>
          <cell r="D7" t="str">
            <v>Oce</v>
          </cell>
          <cell r="E7" t="str">
            <v>08</v>
          </cell>
          <cell r="F7">
            <v>39924</v>
          </cell>
          <cell r="G7">
            <v>39924</v>
          </cell>
          <cell r="H7" t="str">
            <v>A0XD011</v>
          </cell>
          <cell r="I7" t="str">
            <v>6KMA0XD011_N</v>
          </cell>
          <cell r="J7">
            <v>0</v>
          </cell>
          <cell r="K7" t="str">
            <v>High Capacity Stacker without Finisher</v>
          </cell>
          <cell r="L7">
            <v>17000</v>
          </cell>
          <cell r="M7">
            <v>8075</v>
          </cell>
          <cell r="N7">
            <v>8075</v>
          </cell>
          <cell r="O7">
            <v>5.884683970675645E-2</v>
          </cell>
          <cell r="P7">
            <v>8579.9</v>
          </cell>
          <cell r="Q7">
            <v>8310.19</v>
          </cell>
          <cell r="R7">
            <v>9390.51</v>
          </cell>
          <cell r="S7">
            <v>10094</v>
          </cell>
          <cell r="T7">
            <v>0.20001981375074301</v>
          </cell>
          <cell r="U7">
            <v>8680.84</v>
          </cell>
          <cell r="V7">
            <v>6.9790481105515154E-2</v>
          </cell>
          <cell r="W7">
            <v>8579.9</v>
          </cell>
          <cell r="X7">
            <v>0.85</v>
          </cell>
          <cell r="Y7">
            <v>0</v>
          </cell>
          <cell r="Z7">
            <v>600</v>
          </cell>
          <cell r="AA7">
            <v>12941</v>
          </cell>
          <cell r="AB7">
            <v>8580</v>
          </cell>
          <cell r="AC7">
            <v>10464</v>
          </cell>
          <cell r="AD7">
            <v>11835</v>
          </cell>
          <cell r="AE7">
            <v>13205</v>
          </cell>
          <cell r="AF7">
            <v>0.35025369178341542</v>
          </cell>
          <cell r="AG7">
            <v>0.38848920863309355</v>
          </cell>
          <cell r="AH7">
            <v>14084</v>
          </cell>
          <cell r="AI7">
            <v>14963</v>
          </cell>
          <cell r="AJ7">
            <v>0.42659226091024527</v>
          </cell>
          <cell r="AK7">
            <v>15842</v>
          </cell>
          <cell r="AL7">
            <v>16721</v>
          </cell>
          <cell r="AM7">
            <v>0.48687877519287126</v>
          </cell>
          <cell r="AN7">
            <v>17600</v>
          </cell>
          <cell r="AO7">
            <v>0</v>
          </cell>
          <cell r="AP7">
            <v>0</v>
          </cell>
          <cell r="AQ7">
            <v>0</v>
          </cell>
          <cell r="AS7">
            <v>17600</v>
          </cell>
        </row>
        <row r="8">
          <cell r="B8" t="str">
            <v>AC</v>
          </cell>
          <cell r="C8" t="str">
            <v>DDP</v>
          </cell>
          <cell r="D8" t="str">
            <v>Oce</v>
          </cell>
          <cell r="E8" t="str">
            <v>08</v>
          </cell>
          <cell r="F8">
            <v>39924</v>
          </cell>
          <cell r="G8">
            <v>39924</v>
          </cell>
          <cell r="H8" t="str">
            <v>A0XE011</v>
          </cell>
          <cell r="I8" t="str">
            <v>6KMA0XE011_N</v>
          </cell>
          <cell r="J8">
            <v>0</v>
          </cell>
          <cell r="K8" t="str">
            <v>High Capacity Stacker with Finisher</v>
          </cell>
          <cell r="L8">
            <v>26800</v>
          </cell>
          <cell r="M8">
            <v>13375</v>
          </cell>
          <cell r="N8">
            <v>13375</v>
          </cell>
          <cell r="O8">
            <v>5.8837602868170392E-2</v>
          </cell>
          <cell r="P8">
            <v>14211.15</v>
          </cell>
          <cell r="Q8">
            <v>13764.56</v>
          </cell>
          <cell r="R8">
            <v>15553.95</v>
          </cell>
          <cell r="S8">
            <v>16719</v>
          </cell>
          <cell r="T8">
            <v>0.20001196243794486</v>
          </cell>
          <cell r="U8">
            <v>14378.34</v>
          </cell>
          <cell r="V8">
            <v>6.978135167202891E-2</v>
          </cell>
          <cell r="W8">
            <v>14211.15</v>
          </cell>
          <cell r="X8">
            <v>0.85</v>
          </cell>
          <cell r="Y8">
            <v>0</v>
          </cell>
          <cell r="Z8">
            <v>200</v>
          </cell>
          <cell r="AA8">
            <v>21435</v>
          </cell>
          <cell r="AB8">
            <v>14212</v>
          </cell>
          <cell r="AC8">
            <v>17331</v>
          </cell>
          <cell r="AD8">
            <v>19602</v>
          </cell>
          <cell r="AE8">
            <v>21872</v>
          </cell>
          <cell r="AF8">
            <v>0.3502583211411851</v>
          </cell>
          <cell r="AG8">
            <v>0.38848756400877837</v>
          </cell>
          <cell r="AH8">
            <v>22898</v>
          </cell>
          <cell r="AI8">
            <v>23924</v>
          </cell>
          <cell r="AJ8">
            <v>0.40598771108510284</v>
          </cell>
          <cell r="AK8">
            <v>24949.5</v>
          </cell>
          <cell r="AL8">
            <v>25975</v>
          </cell>
          <cell r="AM8">
            <v>0.4528912415784408</v>
          </cell>
          <cell r="AN8">
            <v>27000</v>
          </cell>
          <cell r="AO8">
            <v>0</v>
          </cell>
          <cell r="AP8">
            <v>0</v>
          </cell>
          <cell r="AQ8">
            <v>0</v>
          </cell>
          <cell r="AS8">
            <v>27000</v>
          </cell>
        </row>
        <row r="9">
          <cell r="B9" t="str">
            <v>AC</v>
          </cell>
          <cell r="C9" t="str">
            <v>DDP</v>
          </cell>
          <cell r="D9" t="str">
            <v>Oce</v>
          </cell>
          <cell r="E9" t="str">
            <v>08</v>
          </cell>
          <cell r="F9">
            <v>39924</v>
          </cell>
          <cell r="G9">
            <v>39924</v>
          </cell>
          <cell r="H9" t="str">
            <v>A0XF011</v>
          </cell>
          <cell r="I9" t="str">
            <v>3KMHA0XF011</v>
          </cell>
          <cell r="J9">
            <v>0</v>
          </cell>
          <cell r="K9" t="str">
            <v>Image Controller</v>
          </cell>
          <cell r="L9">
            <v>3600</v>
          </cell>
          <cell r="M9">
            <v>1250</v>
          </cell>
          <cell r="N9">
            <v>1250</v>
          </cell>
          <cell r="O9">
            <v>0.34958503525249107</v>
          </cell>
          <cell r="P9">
            <v>1921.85</v>
          </cell>
          <cell r="Q9">
            <v>1286.4100000000001</v>
          </cell>
          <cell r="R9">
            <v>1453.64</v>
          </cell>
          <cell r="S9">
            <v>2261</v>
          </cell>
          <cell r="T9">
            <v>0.44714727996461745</v>
          </cell>
          <cell r="U9">
            <v>1750.9184</v>
          </cell>
          <cell r="V9">
            <v>0.28608894623530146</v>
          </cell>
          <cell r="W9">
            <v>1921.85</v>
          </cell>
          <cell r="X9">
            <v>0.85</v>
          </cell>
          <cell r="Y9">
            <v>0</v>
          </cell>
          <cell r="Z9">
            <v>0</v>
          </cell>
          <cell r="AA9">
            <v>2899</v>
          </cell>
          <cell r="AB9">
            <v>1922</v>
          </cell>
          <cell r="AC9">
            <v>2344</v>
          </cell>
          <cell r="AD9">
            <v>2651</v>
          </cell>
          <cell r="AE9">
            <v>2958</v>
          </cell>
          <cell r="AF9">
            <v>0.35028735632183911</v>
          </cell>
          <cell r="AG9">
            <v>0.57741717376605817</v>
          </cell>
          <cell r="AH9">
            <v>3087</v>
          </cell>
          <cell r="AI9">
            <v>3215</v>
          </cell>
          <cell r="AJ9">
            <v>0.4022239502332815</v>
          </cell>
          <cell r="AK9">
            <v>3343.5</v>
          </cell>
          <cell r="AL9">
            <v>3472</v>
          </cell>
          <cell r="AM9">
            <v>0.44647177419354839</v>
          </cell>
          <cell r="AN9">
            <v>3600</v>
          </cell>
          <cell r="AO9">
            <v>0</v>
          </cell>
          <cell r="AP9">
            <v>0</v>
          </cell>
          <cell r="AQ9">
            <v>0</v>
          </cell>
          <cell r="AS9">
            <v>3600</v>
          </cell>
        </row>
        <row r="10">
          <cell r="B10" t="str">
            <v>AC</v>
          </cell>
          <cell r="C10" t="str">
            <v>DDP</v>
          </cell>
          <cell r="D10" t="str">
            <v>Oce</v>
          </cell>
          <cell r="E10" t="str">
            <v>08</v>
          </cell>
          <cell r="F10">
            <v>39924</v>
          </cell>
          <cell r="G10">
            <v>39924</v>
          </cell>
          <cell r="H10" t="str">
            <v>A0XF0Y0</v>
          </cell>
          <cell r="I10" t="str">
            <v>3KMBA0XF0Y0</v>
          </cell>
          <cell r="J10">
            <v>0</v>
          </cell>
          <cell r="K10" t="str">
            <v>Netware NPDS</v>
          </cell>
          <cell r="L10">
            <v>450</v>
          </cell>
          <cell r="M10">
            <v>250</v>
          </cell>
          <cell r="N10">
            <v>250</v>
          </cell>
          <cell r="O10">
            <v>1.9607843137254902E-2</v>
          </cell>
          <cell r="P10">
            <v>255</v>
          </cell>
          <cell r="Q10">
            <v>257.27999999999997</v>
          </cell>
          <cell r="R10">
            <v>290.73</v>
          </cell>
          <cell r="S10">
            <v>300</v>
          </cell>
          <cell r="T10">
            <v>0.16666666666666666</v>
          </cell>
          <cell r="U10">
            <v>258</v>
          </cell>
          <cell r="V10">
            <v>3.1007751937984496E-2</v>
          </cell>
          <cell r="W10">
            <v>255</v>
          </cell>
          <cell r="X10">
            <v>0.85</v>
          </cell>
          <cell r="Y10">
            <v>0</v>
          </cell>
          <cell r="Z10">
            <v>0</v>
          </cell>
          <cell r="AA10">
            <v>385</v>
          </cell>
          <cell r="AB10">
            <v>255</v>
          </cell>
          <cell r="AC10">
            <v>311</v>
          </cell>
          <cell r="AD10">
            <v>352</v>
          </cell>
          <cell r="AE10">
            <v>393</v>
          </cell>
          <cell r="AF10">
            <v>0.35114503816793891</v>
          </cell>
          <cell r="AG10">
            <v>0.36386768447837148</v>
          </cell>
          <cell r="AH10">
            <v>405</v>
          </cell>
          <cell r="AI10">
            <v>416</v>
          </cell>
          <cell r="AJ10">
            <v>0.38701923076923078</v>
          </cell>
          <cell r="AK10">
            <v>427.5</v>
          </cell>
          <cell r="AL10">
            <v>439</v>
          </cell>
          <cell r="AM10">
            <v>0.4191343963553531</v>
          </cell>
          <cell r="AN10">
            <v>450</v>
          </cell>
          <cell r="AO10">
            <v>0</v>
          </cell>
          <cell r="AP10">
            <v>0</v>
          </cell>
          <cell r="AQ10">
            <v>0</v>
          </cell>
          <cell r="AS10">
            <v>450</v>
          </cell>
        </row>
        <row r="11">
          <cell r="B11" t="str">
            <v>AC</v>
          </cell>
          <cell r="C11" t="str">
            <v>DDP</v>
          </cell>
          <cell r="D11" t="str">
            <v>Oce</v>
          </cell>
          <cell r="E11" t="str">
            <v>08</v>
          </cell>
          <cell r="F11">
            <v>39924</v>
          </cell>
          <cell r="G11">
            <v>39924</v>
          </cell>
          <cell r="H11" t="str">
            <v>A0XF0Y2</v>
          </cell>
          <cell r="I11" t="str">
            <v>3KMHA0XF0Y2</v>
          </cell>
          <cell r="J11">
            <v>0</v>
          </cell>
          <cell r="K11" t="str">
            <v>Speed Upgrade License 160 to 200 ppm</v>
          </cell>
          <cell r="L11">
            <v>69000</v>
          </cell>
          <cell r="M11">
            <v>10000</v>
          </cell>
          <cell r="N11">
            <v>10000</v>
          </cell>
          <cell r="O11">
            <v>0.57219251336898391</v>
          </cell>
          <cell r="P11">
            <v>23375</v>
          </cell>
          <cell r="Q11">
            <v>10291.26</v>
          </cell>
          <cell r="R11">
            <v>11629.12</v>
          </cell>
          <cell r="S11">
            <v>27500</v>
          </cell>
          <cell r="T11">
            <v>0.63636363636363635</v>
          </cell>
          <cell r="U11">
            <v>21296</v>
          </cell>
          <cell r="V11">
            <v>0.5304282494365139</v>
          </cell>
          <cell r="W11">
            <v>23375</v>
          </cell>
          <cell r="X11">
            <v>0.85</v>
          </cell>
          <cell r="Y11">
            <v>0</v>
          </cell>
          <cell r="Z11">
            <v>0</v>
          </cell>
          <cell r="AA11">
            <v>58212</v>
          </cell>
          <cell r="AB11">
            <v>23375</v>
          </cell>
          <cell r="AC11">
            <v>28507</v>
          </cell>
          <cell r="AD11">
            <v>43954</v>
          </cell>
          <cell r="AE11">
            <v>59400</v>
          </cell>
          <cell r="AF11">
            <v>0.60648148148148151</v>
          </cell>
          <cell r="AG11">
            <v>0.83164983164983164</v>
          </cell>
          <cell r="AH11">
            <v>61320</v>
          </cell>
          <cell r="AI11">
            <v>63240</v>
          </cell>
          <cell r="AJ11">
            <v>0.6303763440860215</v>
          </cell>
          <cell r="AK11">
            <v>65160</v>
          </cell>
          <cell r="AL11">
            <v>67080</v>
          </cell>
          <cell r="AM11">
            <v>0.65153548002385209</v>
          </cell>
          <cell r="AN11">
            <v>69000</v>
          </cell>
          <cell r="AO11">
            <v>0</v>
          </cell>
          <cell r="AP11">
            <v>0</v>
          </cell>
          <cell r="AQ11">
            <v>0</v>
          </cell>
          <cell r="AS11">
            <v>69000</v>
          </cell>
        </row>
        <row r="12">
          <cell r="B12" t="str">
            <v>AC</v>
          </cell>
          <cell r="C12" t="str">
            <v>DDP</v>
          </cell>
          <cell r="D12" t="str">
            <v>Oce</v>
          </cell>
          <cell r="E12" t="str">
            <v>08</v>
          </cell>
          <cell r="F12">
            <v>39924</v>
          </cell>
          <cell r="G12">
            <v>39924</v>
          </cell>
          <cell r="H12" t="str">
            <v>A0XF0Y3</v>
          </cell>
          <cell r="I12" t="str">
            <v>3KMHA0XF0Y3</v>
          </cell>
          <cell r="J12">
            <v>0</v>
          </cell>
          <cell r="K12" t="str">
            <v>Speed Upgrade License 200 to 250 ppm</v>
          </cell>
          <cell r="L12">
            <v>44000</v>
          </cell>
          <cell r="M12">
            <v>20000</v>
          </cell>
          <cell r="N12">
            <v>20000</v>
          </cell>
          <cell r="O12">
            <v>0.14438502673796791</v>
          </cell>
          <cell r="P12">
            <v>23375</v>
          </cell>
          <cell r="Q12">
            <v>20582.52</v>
          </cell>
          <cell r="R12">
            <v>23258.25</v>
          </cell>
          <cell r="S12">
            <v>27500</v>
          </cell>
          <cell r="T12">
            <v>0.27272727272727271</v>
          </cell>
          <cell r="U12">
            <v>21296</v>
          </cell>
          <cell r="V12">
            <v>6.0856498873027798E-2</v>
          </cell>
          <cell r="W12">
            <v>23375</v>
          </cell>
          <cell r="X12">
            <v>0.85</v>
          </cell>
          <cell r="Y12">
            <v>0</v>
          </cell>
          <cell r="Z12">
            <v>0</v>
          </cell>
          <cell r="AA12">
            <v>35241</v>
          </cell>
          <cell r="AB12">
            <v>23375</v>
          </cell>
          <cell r="AC12">
            <v>28507</v>
          </cell>
          <cell r="AD12">
            <v>32234</v>
          </cell>
          <cell r="AE12">
            <v>35960</v>
          </cell>
          <cell r="AF12">
            <v>0.349972191323693</v>
          </cell>
          <cell r="AG12">
            <v>0.44382647385984425</v>
          </cell>
          <cell r="AH12">
            <v>37568</v>
          </cell>
          <cell r="AI12">
            <v>39176</v>
          </cell>
          <cell r="AJ12">
            <v>0.40333367367776191</v>
          </cell>
          <cell r="AK12">
            <v>40784</v>
          </cell>
          <cell r="AL12">
            <v>42392</v>
          </cell>
          <cell r="AM12">
            <v>0.44859879222494808</v>
          </cell>
          <cell r="AN12">
            <v>44000</v>
          </cell>
          <cell r="AO12">
            <v>0</v>
          </cell>
          <cell r="AP12">
            <v>0</v>
          </cell>
          <cell r="AQ12">
            <v>0</v>
          </cell>
          <cell r="AS12">
            <v>44000</v>
          </cell>
        </row>
        <row r="13">
          <cell r="B13" t="str">
            <v>AC</v>
          </cell>
          <cell r="C13" t="str">
            <v>DDP</v>
          </cell>
          <cell r="D13" t="str">
            <v>Oce</v>
          </cell>
          <cell r="E13" t="str">
            <v>08</v>
          </cell>
          <cell r="F13">
            <v>39924</v>
          </cell>
          <cell r="G13">
            <v>39925</v>
          </cell>
          <cell r="H13" t="str">
            <v>A0XF0Y5</v>
          </cell>
          <cell r="I13" t="str">
            <v>3KMBA0XF0Y5</v>
          </cell>
          <cell r="J13">
            <v>0</v>
          </cell>
          <cell r="K13" t="str">
            <v>Speed-Up License 160 to 200ppm for Trial</v>
          </cell>
          <cell r="L13">
            <v>16</v>
          </cell>
          <cell r="M13">
            <v>1</v>
          </cell>
          <cell r="N13">
            <v>1</v>
          </cell>
          <cell r="O13">
            <v>0.88235294117647056</v>
          </cell>
          <cell r="P13">
            <v>8.5</v>
          </cell>
          <cell r="Q13">
            <v>1.03</v>
          </cell>
          <cell r="R13">
            <v>1.1599999999999999</v>
          </cell>
          <cell r="S13">
            <v>10</v>
          </cell>
          <cell r="T13">
            <v>0.9</v>
          </cell>
          <cell r="U13">
            <v>7.7439999999999998</v>
          </cell>
          <cell r="V13">
            <v>0.87086776859504134</v>
          </cell>
          <cell r="W13">
            <v>8.5</v>
          </cell>
          <cell r="X13">
            <v>0.85</v>
          </cell>
          <cell r="Y13">
            <v>0</v>
          </cell>
          <cell r="Z13">
            <v>0</v>
          </cell>
          <cell r="AA13">
            <v>14</v>
          </cell>
          <cell r="AB13">
            <v>9</v>
          </cell>
          <cell r="AC13">
            <v>11</v>
          </cell>
          <cell r="AD13">
            <v>13</v>
          </cell>
          <cell r="AE13">
            <v>14</v>
          </cell>
          <cell r="AF13">
            <v>0.39285714285714285</v>
          </cell>
          <cell r="AG13">
            <v>0.9285714285714286</v>
          </cell>
          <cell r="AH13">
            <v>15</v>
          </cell>
          <cell r="AI13">
            <v>15</v>
          </cell>
          <cell r="AJ13">
            <v>0.43333333333333335</v>
          </cell>
          <cell r="AK13">
            <v>15.5</v>
          </cell>
          <cell r="AL13">
            <v>16</v>
          </cell>
          <cell r="AM13">
            <v>0.46875</v>
          </cell>
          <cell r="AN13">
            <v>16</v>
          </cell>
          <cell r="AO13">
            <v>0</v>
          </cell>
          <cell r="AP13">
            <v>0</v>
          </cell>
          <cell r="AQ13">
            <v>0</v>
          </cell>
          <cell r="AS13">
            <v>16</v>
          </cell>
        </row>
        <row r="14">
          <cell r="B14" t="str">
            <v>AC</v>
          </cell>
          <cell r="C14" t="str">
            <v>DDP</v>
          </cell>
          <cell r="D14" t="str">
            <v>Oce</v>
          </cell>
          <cell r="E14" t="str">
            <v>08</v>
          </cell>
          <cell r="F14">
            <v>39924</v>
          </cell>
          <cell r="G14">
            <v>39925</v>
          </cell>
          <cell r="H14" t="str">
            <v>A0XF0Y6</v>
          </cell>
          <cell r="I14" t="str">
            <v>3KMBA0XF0Y6</v>
          </cell>
          <cell r="J14">
            <v>0</v>
          </cell>
          <cell r="K14" t="str">
            <v>Speed-Up License 200 to 250ppm for Trial</v>
          </cell>
          <cell r="L14">
            <v>16</v>
          </cell>
          <cell r="M14">
            <v>1</v>
          </cell>
          <cell r="N14">
            <v>1</v>
          </cell>
          <cell r="O14">
            <v>0.88235294117647056</v>
          </cell>
          <cell r="P14">
            <v>8.5</v>
          </cell>
          <cell r="Q14">
            <v>1.03</v>
          </cell>
          <cell r="R14">
            <v>1.1599999999999999</v>
          </cell>
          <cell r="S14">
            <v>10</v>
          </cell>
          <cell r="T14">
            <v>0.9</v>
          </cell>
          <cell r="U14">
            <v>7.7439999999999998</v>
          </cell>
          <cell r="V14">
            <v>0.87086776859504134</v>
          </cell>
          <cell r="W14">
            <v>8.5</v>
          </cell>
          <cell r="X14">
            <v>0.85</v>
          </cell>
          <cell r="Y14">
            <v>0</v>
          </cell>
          <cell r="Z14">
            <v>0</v>
          </cell>
          <cell r="AA14">
            <v>14</v>
          </cell>
          <cell r="AB14">
            <v>9</v>
          </cell>
          <cell r="AC14">
            <v>11</v>
          </cell>
          <cell r="AD14">
            <v>13</v>
          </cell>
          <cell r="AE14">
            <v>14</v>
          </cell>
          <cell r="AF14">
            <v>0.39285714285714285</v>
          </cell>
          <cell r="AG14">
            <v>0.9285714285714286</v>
          </cell>
          <cell r="AH14">
            <v>15</v>
          </cell>
          <cell r="AI14">
            <v>15</v>
          </cell>
          <cell r="AJ14">
            <v>0.43333333333333335</v>
          </cell>
          <cell r="AK14">
            <v>15.5</v>
          </cell>
          <cell r="AL14">
            <v>16</v>
          </cell>
          <cell r="AM14">
            <v>0.46875</v>
          </cell>
          <cell r="AN14">
            <v>16</v>
          </cell>
          <cell r="AO14">
            <v>0</v>
          </cell>
          <cell r="AP14">
            <v>0</v>
          </cell>
          <cell r="AQ14">
            <v>0</v>
          </cell>
          <cell r="AS14">
            <v>16</v>
          </cell>
        </row>
        <row r="15">
          <cell r="B15" t="str">
            <v>AC</v>
          </cell>
          <cell r="C15" t="str">
            <v>DDP</v>
          </cell>
          <cell r="D15" t="str">
            <v>Oce</v>
          </cell>
          <cell r="E15" t="str">
            <v>08</v>
          </cell>
          <cell r="F15">
            <v>39924</v>
          </cell>
          <cell r="G15">
            <v>39924</v>
          </cell>
          <cell r="H15" t="str">
            <v>A0XF0Y7</v>
          </cell>
          <cell r="I15" t="str">
            <v>3KMBA0XF0Y7</v>
          </cell>
          <cell r="J15">
            <v>0</v>
          </cell>
          <cell r="K15" t="str">
            <v>PCL</v>
          </cell>
          <cell r="L15">
            <v>720</v>
          </cell>
          <cell r="M15">
            <v>250</v>
          </cell>
          <cell r="N15">
            <v>250</v>
          </cell>
          <cell r="O15">
            <v>0.34929724102030191</v>
          </cell>
          <cell r="P15">
            <v>384.2</v>
          </cell>
          <cell r="Q15">
            <v>257.27999999999997</v>
          </cell>
          <cell r="R15">
            <v>290.73</v>
          </cell>
          <cell r="S15">
            <v>452</v>
          </cell>
          <cell r="T15">
            <v>0.44690265486725661</v>
          </cell>
          <cell r="U15">
            <v>350.02879999999999</v>
          </cell>
          <cell r="V15">
            <v>0.28577305638850287</v>
          </cell>
          <cell r="W15">
            <v>384.2</v>
          </cell>
          <cell r="X15">
            <v>0.85</v>
          </cell>
          <cell r="Y15">
            <v>0</v>
          </cell>
          <cell r="Z15">
            <v>0</v>
          </cell>
          <cell r="AA15">
            <v>579</v>
          </cell>
          <cell r="AB15">
            <v>385</v>
          </cell>
          <cell r="AC15">
            <v>469</v>
          </cell>
          <cell r="AD15">
            <v>530</v>
          </cell>
          <cell r="AE15">
            <v>591</v>
          </cell>
          <cell r="AF15">
            <v>0.34991539763113372</v>
          </cell>
          <cell r="AG15">
            <v>0.5769881556683587</v>
          </cell>
          <cell r="AH15">
            <v>617</v>
          </cell>
          <cell r="AI15">
            <v>643</v>
          </cell>
          <cell r="AJ15">
            <v>0.40248833592534994</v>
          </cell>
          <cell r="AK15">
            <v>669</v>
          </cell>
          <cell r="AL15">
            <v>695</v>
          </cell>
          <cell r="AM15">
            <v>0.44719424460431656</v>
          </cell>
          <cell r="AN15">
            <v>720</v>
          </cell>
          <cell r="AO15">
            <v>0</v>
          </cell>
          <cell r="AP15">
            <v>0</v>
          </cell>
          <cell r="AQ15">
            <v>0</v>
          </cell>
          <cell r="AS15">
            <v>720</v>
          </cell>
        </row>
        <row r="16">
          <cell r="B16" t="str">
            <v>AC</v>
          </cell>
          <cell r="C16" t="str">
            <v>DDP</v>
          </cell>
          <cell r="D16" t="str">
            <v>Oce</v>
          </cell>
          <cell r="E16" t="str">
            <v>08</v>
          </cell>
          <cell r="F16">
            <v>39924</v>
          </cell>
          <cell r="G16">
            <v>39924</v>
          </cell>
          <cell r="H16" t="str">
            <v>A0XF0Y8</v>
          </cell>
          <cell r="I16" t="str">
            <v>3KMBA0XF0Y8</v>
          </cell>
          <cell r="J16">
            <v>0</v>
          </cell>
          <cell r="K16" t="str">
            <v>PostScript</v>
          </cell>
          <cell r="L16">
            <v>3600</v>
          </cell>
          <cell r="M16">
            <v>1250</v>
          </cell>
          <cell r="N16">
            <v>1250</v>
          </cell>
          <cell r="O16">
            <v>0.34958503525249107</v>
          </cell>
          <cell r="P16">
            <v>1921.85</v>
          </cell>
          <cell r="Q16">
            <v>1286.4100000000001</v>
          </cell>
          <cell r="R16">
            <v>1453.64</v>
          </cell>
          <cell r="S16">
            <v>2261</v>
          </cell>
          <cell r="T16">
            <v>0.44714727996461745</v>
          </cell>
          <cell r="U16">
            <v>1750.9184</v>
          </cell>
          <cell r="V16">
            <v>0.28608894623530146</v>
          </cell>
          <cell r="W16">
            <v>1921.85</v>
          </cell>
          <cell r="X16">
            <v>0.85</v>
          </cell>
          <cell r="Y16">
            <v>0</v>
          </cell>
          <cell r="Z16">
            <v>0</v>
          </cell>
          <cell r="AA16">
            <v>2899</v>
          </cell>
          <cell r="AB16">
            <v>1922</v>
          </cell>
          <cell r="AC16">
            <v>2344</v>
          </cell>
          <cell r="AD16">
            <v>2651</v>
          </cell>
          <cell r="AE16">
            <v>2958</v>
          </cell>
          <cell r="AF16">
            <v>0.35028735632183911</v>
          </cell>
          <cell r="AG16">
            <v>0.57741717376605817</v>
          </cell>
          <cell r="AH16">
            <v>3087</v>
          </cell>
          <cell r="AI16">
            <v>3215</v>
          </cell>
          <cell r="AJ16">
            <v>0.4022239502332815</v>
          </cell>
          <cell r="AK16">
            <v>3343.5</v>
          </cell>
          <cell r="AL16">
            <v>3472</v>
          </cell>
          <cell r="AM16">
            <v>0.44647177419354839</v>
          </cell>
          <cell r="AN16">
            <v>3600</v>
          </cell>
          <cell r="AO16">
            <v>0</v>
          </cell>
          <cell r="AP16">
            <v>0</v>
          </cell>
          <cell r="AQ16">
            <v>0</v>
          </cell>
          <cell r="AS16">
            <v>3600</v>
          </cell>
        </row>
        <row r="17">
          <cell r="B17" t="str">
            <v>AC</v>
          </cell>
          <cell r="C17" t="str">
            <v>DDP</v>
          </cell>
          <cell r="D17" t="str">
            <v>Oce</v>
          </cell>
          <cell r="E17" t="str">
            <v>08</v>
          </cell>
          <cell r="F17">
            <v>39924</v>
          </cell>
          <cell r="G17">
            <v>39924</v>
          </cell>
          <cell r="H17" t="str">
            <v>A0XF0Y9</v>
          </cell>
          <cell r="I17" t="str">
            <v>3KMBA0XF0Y9</v>
          </cell>
          <cell r="J17">
            <v>0</v>
          </cell>
          <cell r="K17" t="str">
            <v>DP Link</v>
          </cell>
          <cell r="L17">
            <v>3000</v>
          </cell>
          <cell r="M17">
            <v>1250</v>
          </cell>
          <cell r="N17">
            <v>1250</v>
          </cell>
          <cell r="O17">
            <v>0.18300653594771241</v>
          </cell>
          <cell r="P17">
            <v>1530</v>
          </cell>
          <cell r="Q17">
            <v>1286.4100000000001</v>
          </cell>
          <cell r="R17">
            <v>1453.64</v>
          </cell>
          <cell r="S17">
            <v>1800</v>
          </cell>
          <cell r="T17">
            <v>0.30555555555555558</v>
          </cell>
          <cell r="U17">
            <v>1393.92</v>
          </cell>
          <cell r="V17">
            <v>0.10324839302112034</v>
          </cell>
          <cell r="W17">
            <v>1530</v>
          </cell>
          <cell r="X17">
            <v>0.85</v>
          </cell>
          <cell r="Y17">
            <v>0</v>
          </cell>
          <cell r="Z17">
            <v>0</v>
          </cell>
          <cell r="AA17">
            <v>2308</v>
          </cell>
          <cell r="AB17">
            <v>1530</v>
          </cell>
          <cell r="AC17">
            <v>1866</v>
          </cell>
          <cell r="AD17">
            <v>2111</v>
          </cell>
          <cell r="AE17">
            <v>2355</v>
          </cell>
          <cell r="AF17">
            <v>0.3503184713375796</v>
          </cell>
          <cell r="AG17">
            <v>0.46921443736730362</v>
          </cell>
          <cell r="AH17">
            <v>2484</v>
          </cell>
          <cell r="AI17">
            <v>2613</v>
          </cell>
          <cell r="AJ17">
            <v>0.41446613088404133</v>
          </cell>
          <cell r="AK17">
            <v>2742</v>
          </cell>
          <cell r="AL17">
            <v>2871</v>
          </cell>
          <cell r="AM17">
            <v>0.4670846394984326</v>
          </cell>
          <cell r="AN17">
            <v>3000</v>
          </cell>
          <cell r="AO17">
            <v>0</v>
          </cell>
          <cell r="AP17">
            <v>0</v>
          </cell>
          <cell r="AQ17">
            <v>0</v>
          </cell>
          <cell r="AS17">
            <v>3000</v>
          </cell>
        </row>
        <row r="18">
          <cell r="B18" t="str">
            <v>AC</v>
          </cell>
          <cell r="C18" t="str">
            <v>DDP</v>
          </cell>
          <cell r="D18" t="str">
            <v>Oce</v>
          </cell>
          <cell r="E18" t="str">
            <v>08</v>
          </cell>
          <cell r="F18">
            <v>39924</v>
          </cell>
          <cell r="G18">
            <v>39924</v>
          </cell>
          <cell r="H18" t="str">
            <v>A0XF0YA</v>
          </cell>
          <cell r="I18" t="str">
            <v>3KMBA0XF0YA</v>
          </cell>
          <cell r="J18">
            <v>0</v>
          </cell>
          <cell r="K18" t="str">
            <v>E-Shredding</v>
          </cell>
          <cell r="L18">
            <v>430</v>
          </cell>
          <cell r="M18">
            <v>250</v>
          </cell>
          <cell r="N18">
            <v>250</v>
          </cell>
          <cell r="O18">
            <v>1.9607843137254902E-2</v>
          </cell>
          <cell r="P18">
            <v>255</v>
          </cell>
          <cell r="Q18">
            <v>257.27999999999997</v>
          </cell>
          <cell r="R18">
            <v>290.73</v>
          </cell>
          <cell r="S18">
            <v>300</v>
          </cell>
          <cell r="T18">
            <v>0.16666666666666666</v>
          </cell>
          <cell r="U18">
            <v>258</v>
          </cell>
          <cell r="V18">
            <v>3.1007751937984496E-2</v>
          </cell>
          <cell r="W18">
            <v>255</v>
          </cell>
          <cell r="X18">
            <v>0.85</v>
          </cell>
          <cell r="Y18">
            <v>0</v>
          </cell>
          <cell r="Z18">
            <v>0</v>
          </cell>
          <cell r="AA18">
            <v>385</v>
          </cell>
          <cell r="AB18">
            <v>255</v>
          </cell>
          <cell r="AC18">
            <v>311</v>
          </cell>
          <cell r="AD18">
            <v>352</v>
          </cell>
          <cell r="AE18">
            <v>393</v>
          </cell>
          <cell r="AF18">
            <v>0.35114503816793891</v>
          </cell>
          <cell r="AG18">
            <v>0.36386768447837148</v>
          </cell>
          <cell r="AH18">
            <v>401</v>
          </cell>
          <cell r="AI18">
            <v>408</v>
          </cell>
          <cell r="AJ18">
            <v>0.375</v>
          </cell>
          <cell r="AK18">
            <v>415.5</v>
          </cell>
          <cell r="AL18">
            <v>423</v>
          </cell>
          <cell r="AM18">
            <v>0.3971631205673759</v>
          </cell>
          <cell r="AN18">
            <v>430</v>
          </cell>
          <cell r="AO18">
            <v>0</v>
          </cell>
          <cell r="AP18">
            <v>0</v>
          </cell>
          <cell r="AQ18">
            <v>0</v>
          </cell>
          <cell r="AS18">
            <v>430</v>
          </cell>
        </row>
        <row r="19">
          <cell r="B19" t="str">
            <v>AC</v>
          </cell>
          <cell r="C19" t="str">
            <v>DDP</v>
          </cell>
          <cell r="D19" t="str">
            <v>Oce</v>
          </cell>
          <cell r="E19" t="str">
            <v>08</v>
          </cell>
          <cell r="F19">
            <v>39924</v>
          </cell>
          <cell r="G19">
            <v>39924</v>
          </cell>
          <cell r="H19" t="str">
            <v>A0XF0YC</v>
          </cell>
          <cell r="I19" t="str">
            <v>3KMBA0XF0YC</v>
          </cell>
          <cell r="J19">
            <v>0</v>
          </cell>
          <cell r="K19" t="str">
            <v>Streaming</v>
          </cell>
          <cell r="L19">
            <v>7250</v>
          </cell>
          <cell r="M19">
            <v>2500</v>
          </cell>
          <cell r="N19">
            <v>2500</v>
          </cell>
          <cell r="O19">
            <v>0.34958503525249107</v>
          </cell>
          <cell r="P19">
            <v>3843.7</v>
          </cell>
          <cell r="Q19">
            <v>2572.8200000000002</v>
          </cell>
          <cell r="R19">
            <v>2907.29</v>
          </cell>
          <cell r="S19">
            <v>4522</v>
          </cell>
          <cell r="T19">
            <v>0.44714727996461745</v>
          </cell>
          <cell r="U19">
            <v>3501.8368</v>
          </cell>
          <cell r="V19">
            <v>0.28608894623530146</v>
          </cell>
          <cell r="W19">
            <v>3843.7</v>
          </cell>
          <cell r="X19">
            <v>0.85</v>
          </cell>
          <cell r="Y19">
            <v>0</v>
          </cell>
          <cell r="Z19">
            <v>0</v>
          </cell>
          <cell r="AA19">
            <v>5797</v>
          </cell>
          <cell r="AB19">
            <v>3844</v>
          </cell>
          <cell r="AC19">
            <v>4688</v>
          </cell>
          <cell r="AD19">
            <v>5302</v>
          </cell>
          <cell r="AE19">
            <v>5915</v>
          </cell>
          <cell r="AF19">
            <v>0.35017751479289944</v>
          </cell>
          <cell r="AG19">
            <v>0.57734573119188504</v>
          </cell>
          <cell r="AH19">
            <v>6182</v>
          </cell>
          <cell r="AI19">
            <v>6449</v>
          </cell>
          <cell r="AJ19">
            <v>0.40398511397115833</v>
          </cell>
          <cell r="AK19">
            <v>6716</v>
          </cell>
          <cell r="AL19">
            <v>6983</v>
          </cell>
          <cell r="AM19">
            <v>0.44956322497493917</v>
          </cell>
          <cell r="AN19">
            <v>7250</v>
          </cell>
          <cell r="AO19">
            <v>0</v>
          </cell>
          <cell r="AP19">
            <v>0</v>
          </cell>
          <cell r="AQ19">
            <v>0</v>
          </cell>
          <cell r="AS19">
            <v>7250</v>
          </cell>
        </row>
        <row r="20">
          <cell r="B20" t="str">
            <v>AC</v>
          </cell>
          <cell r="C20" t="str">
            <v>DDP</v>
          </cell>
          <cell r="D20" t="str">
            <v>Oce</v>
          </cell>
          <cell r="E20" t="str">
            <v>08</v>
          </cell>
          <cell r="F20">
            <v>39924</v>
          </cell>
          <cell r="G20">
            <v>39924</v>
          </cell>
          <cell r="H20" t="str">
            <v>A0XH011</v>
          </cell>
          <cell r="I20" t="str">
            <v>3KMHA0XH011</v>
          </cell>
          <cell r="J20">
            <v>0</v>
          </cell>
          <cell r="K20" t="str">
            <v>Input Interface Module</v>
          </cell>
          <cell r="L20">
            <v>10000</v>
          </cell>
          <cell r="M20">
            <v>3550</v>
          </cell>
          <cell r="N20">
            <v>3550</v>
          </cell>
          <cell r="O20">
            <v>0.34956072446109737</v>
          </cell>
          <cell r="P20">
            <v>5457.85</v>
          </cell>
          <cell r="Q20">
            <v>3653.4</v>
          </cell>
          <cell r="R20">
            <v>4128.34</v>
          </cell>
          <cell r="S20">
            <v>6421</v>
          </cell>
          <cell r="T20">
            <v>0.44712661579193275</v>
          </cell>
          <cell r="U20">
            <v>4972.4223999999995</v>
          </cell>
          <cell r="V20">
            <v>0.28606226212801222</v>
          </cell>
          <cell r="W20">
            <v>5457.85</v>
          </cell>
          <cell r="X20">
            <v>0.85000000000000009</v>
          </cell>
          <cell r="Y20">
            <v>0</v>
          </cell>
          <cell r="Z20">
            <v>0</v>
          </cell>
          <cell r="AA20">
            <v>8232</v>
          </cell>
          <cell r="AB20">
            <v>5458</v>
          </cell>
          <cell r="AC20">
            <v>6656</v>
          </cell>
          <cell r="AD20">
            <v>7528</v>
          </cell>
          <cell r="AE20">
            <v>8400</v>
          </cell>
          <cell r="AF20">
            <v>0.35025595238095236</v>
          </cell>
          <cell r="AG20">
            <v>0.57738095238095233</v>
          </cell>
          <cell r="AH20">
            <v>8720</v>
          </cell>
          <cell r="AI20">
            <v>9040</v>
          </cell>
          <cell r="AJ20">
            <v>0.39625553097345129</v>
          </cell>
          <cell r="AK20">
            <v>9360</v>
          </cell>
          <cell r="AL20">
            <v>9680</v>
          </cell>
          <cell r="AM20">
            <v>0.43617252066115697</v>
          </cell>
          <cell r="AN20">
            <v>10000</v>
          </cell>
          <cell r="AO20">
            <v>0</v>
          </cell>
          <cell r="AP20">
            <v>0</v>
          </cell>
          <cell r="AQ20">
            <v>0</v>
          </cell>
          <cell r="AS20">
            <v>10000</v>
          </cell>
        </row>
        <row r="21">
          <cell r="B21" t="str">
            <v>AC</v>
          </cell>
          <cell r="C21" t="str">
            <v>DDP</v>
          </cell>
          <cell r="D21" t="str">
            <v>Oce</v>
          </cell>
          <cell r="E21" t="str">
            <v>08</v>
          </cell>
          <cell r="F21">
            <v>39924</v>
          </cell>
          <cell r="G21">
            <v>39924</v>
          </cell>
          <cell r="H21" t="str">
            <v>A0XJ011</v>
          </cell>
          <cell r="I21" t="str">
            <v>3KMHA0XJ011</v>
          </cell>
          <cell r="J21">
            <v>0</v>
          </cell>
          <cell r="K21" t="str">
            <v>Paperlift with 5 pallets</v>
          </cell>
          <cell r="L21">
            <v>11950</v>
          </cell>
          <cell r="M21">
            <v>4002.35</v>
          </cell>
          <cell r="N21">
            <v>4002.35</v>
          </cell>
          <cell r="O21">
            <v>0.36906779327032974</v>
          </cell>
          <cell r="P21">
            <v>6343.55</v>
          </cell>
          <cell r="Q21">
            <v>4118.92</v>
          </cell>
          <cell r="R21">
            <v>4654.38</v>
          </cell>
          <cell r="S21">
            <v>7463</v>
          </cell>
          <cell r="T21">
            <v>0.46370762427978024</v>
          </cell>
          <cell r="U21">
            <v>5779.3472000000002</v>
          </cell>
          <cell r="V21">
            <v>0.30747368837781541</v>
          </cell>
          <cell r="W21">
            <v>6343.55</v>
          </cell>
          <cell r="X21">
            <v>0.85</v>
          </cell>
          <cell r="Y21">
            <v>0</v>
          </cell>
          <cell r="Z21">
            <v>0</v>
          </cell>
          <cell r="AA21">
            <v>9568</v>
          </cell>
          <cell r="AB21">
            <v>6344</v>
          </cell>
          <cell r="AC21">
            <v>7737</v>
          </cell>
          <cell r="AD21">
            <v>8750</v>
          </cell>
          <cell r="AE21">
            <v>9763</v>
          </cell>
          <cell r="AF21">
            <v>0.35024582607804977</v>
          </cell>
          <cell r="AG21">
            <v>0.59004916521560991</v>
          </cell>
          <cell r="AH21">
            <v>10201</v>
          </cell>
          <cell r="AI21">
            <v>10638</v>
          </cell>
          <cell r="AJ21">
            <v>0.40368960330889264</v>
          </cell>
          <cell r="AK21">
            <v>11075.5</v>
          </cell>
          <cell r="AL21">
            <v>11513</v>
          </cell>
          <cell r="AM21">
            <v>0.44900981499174847</v>
          </cell>
          <cell r="AN21">
            <v>11950</v>
          </cell>
          <cell r="AO21">
            <v>0</v>
          </cell>
          <cell r="AP21">
            <v>0</v>
          </cell>
          <cell r="AQ21">
            <v>0</v>
          </cell>
          <cell r="AS21">
            <v>11950</v>
          </cell>
        </row>
        <row r="22">
          <cell r="B22" t="str">
            <v>AC</v>
          </cell>
          <cell r="C22" t="str">
            <v>DDP</v>
          </cell>
          <cell r="D22" t="str">
            <v>Oce</v>
          </cell>
          <cell r="E22" t="str">
            <v>08</v>
          </cell>
          <cell r="F22">
            <v>39924</v>
          </cell>
          <cell r="G22">
            <v>39924</v>
          </cell>
          <cell r="H22" t="str">
            <v>A0XK011</v>
          </cell>
          <cell r="I22" t="str">
            <v>3KMHA0XK011</v>
          </cell>
          <cell r="J22">
            <v>0</v>
          </cell>
          <cell r="K22" t="str">
            <v>Right-Sided Docking Module</v>
          </cell>
          <cell r="L22">
            <v>115</v>
          </cell>
          <cell r="M22">
            <v>40</v>
          </cell>
          <cell r="N22">
            <v>40</v>
          </cell>
          <cell r="O22">
            <v>0.34640522875816998</v>
          </cell>
          <cell r="P22">
            <v>61.2</v>
          </cell>
          <cell r="Q22">
            <v>41.17</v>
          </cell>
          <cell r="R22">
            <v>46.52</v>
          </cell>
          <cell r="S22">
            <v>72</v>
          </cell>
          <cell r="T22">
            <v>0.44444444444444442</v>
          </cell>
          <cell r="U22">
            <v>55.756799999999998</v>
          </cell>
          <cell r="V22">
            <v>0.28259871441689621</v>
          </cell>
          <cell r="W22">
            <v>61.2</v>
          </cell>
          <cell r="X22">
            <v>0.85000000000000009</v>
          </cell>
          <cell r="Y22">
            <v>0</v>
          </cell>
          <cell r="Z22">
            <v>0</v>
          </cell>
          <cell r="AA22">
            <v>92</v>
          </cell>
          <cell r="AB22">
            <v>62</v>
          </cell>
          <cell r="AC22">
            <v>75</v>
          </cell>
          <cell r="AD22">
            <v>85</v>
          </cell>
          <cell r="AE22">
            <v>94</v>
          </cell>
          <cell r="AF22">
            <v>0.34893617021276591</v>
          </cell>
          <cell r="AG22">
            <v>0.57446808510638303</v>
          </cell>
          <cell r="AH22">
            <v>99</v>
          </cell>
          <cell r="AI22">
            <v>103</v>
          </cell>
          <cell r="AJ22">
            <v>0.40582524271844655</v>
          </cell>
          <cell r="AK22">
            <v>107</v>
          </cell>
          <cell r="AL22">
            <v>111</v>
          </cell>
          <cell r="AM22">
            <v>0.44864864864864862</v>
          </cell>
          <cell r="AN22">
            <v>115</v>
          </cell>
          <cell r="AO22">
            <v>0</v>
          </cell>
          <cell r="AP22">
            <v>0</v>
          </cell>
          <cell r="AQ22">
            <v>0</v>
          </cell>
          <cell r="AS22">
            <v>115</v>
          </cell>
        </row>
        <row r="23">
          <cell r="B23" t="str">
            <v>AC</v>
          </cell>
          <cell r="C23" t="str">
            <v>DDP</v>
          </cell>
          <cell r="D23" t="str">
            <v>Oce</v>
          </cell>
          <cell r="E23" t="str">
            <v>08</v>
          </cell>
          <cell r="F23">
            <v>39924</v>
          </cell>
          <cell r="G23">
            <v>39924</v>
          </cell>
          <cell r="H23" t="str">
            <v>A0XX001</v>
          </cell>
          <cell r="I23" t="str">
            <v>3KMHA0XX001</v>
          </cell>
          <cell r="J23" t="str">
            <v>x</v>
          </cell>
          <cell r="K23" t="str">
            <v>Speed Upgrade License 160 to 250 ppm</v>
          </cell>
          <cell r="L23">
            <v>112000</v>
          </cell>
          <cell r="M23">
            <v>30000</v>
          </cell>
          <cell r="N23">
            <v>30000</v>
          </cell>
          <cell r="O23">
            <v>0.35828877005347592</v>
          </cell>
          <cell r="P23">
            <v>46750</v>
          </cell>
          <cell r="Q23">
            <v>30873.79</v>
          </cell>
          <cell r="R23">
            <v>34887.379999999997</v>
          </cell>
          <cell r="S23">
            <v>55000</v>
          </cell>
          <cell r="T23">
            <v>0.45454545454545453</v>
          </cell>
          <cell r="U23">
            <v>42592</v>
          </cell>
          <cell r="V23">
            <v>0.29564237415477085</v>
          </cell>
          <cell r="W23">
            <v>46750</v>
          </cell>
          <cell r="X23">
            <v>0.85</v>
          </cell>
          <cell r="Y23">
            <v>0</v>
          </cell>
          <cell r="Z23">
            <v>0</v>
          </cell>
          <cell r="AA23">
            <v>92806</v>
          </cell>
          <cell r="AB23">
            <v>46750</v>
          </cell>
          <cell r="AC23">
            <v>57013</v>
          </cell>
          <cell r="AD23">
            <v>75857</v>
          </cell>
          <cell r="AE23">
            <v>94700</v>
          </cell>
          <cell r="AF23">
            <v>0.50633579725448785</v>
          </cell>
          <cell r="AG23">
            <v>0.6832101372756072</v>
          </cell>
          <cell r="AH23">
            <v>98160</v>
          </cell>
          <cell r="AI23">
            <v>101620</v>
          </cell>
          <cell r="AJ23">
            <v>0.53995276520370006</v>
          </cell>
          <cell r="AK23">
            <v>105080</v>
          </cell>
          <cell r="AL23">
            <v>108540</v>
          </cell>
          <cell r="AM23">
            <v>0.56928321356182054</v>
          </cell>
          <cell r="AN23">
            <v>112000</v>
          </cell>
          <cell r="AO23">
            <v>0</v>
          </cell>
          <cell r="AP23">
            <v>0</v>
          </cell>
          <cell r="AQ23">
            <v>0</v>
          </cell>
          <cell r="AS23">
            <v>112000</v>
          </cell>
        </row>
        <row r="24">
          <cell r="B24" t="str">
            <v>AC</v>
          </cell>
          <cell r="C24" t="str">
            <v>DDP</v>
          </cell>
          <cell r="D24" t="str">
            <v>Oce</v>
          </cell>
          <cell r="E24" t="str">
            <v>08</v>
          </cell>
          <cell r="F24">
            <v>39924</v>
          </cell>
          <cell r="G24">
            <v>39924</v>
          </cell>
          <cell r="H24" t="str">
            <v>A119011</v>
          </cell>
          <cell r="I24" t="str">
            <v>3KMHA119011</v>
          </cell>
          <cell r="J24">
            <v>0</v>
          </cell>
          <cell r="K24" t="str">
            <v>Touch Screen</v>
          </cell>
          <cell r="L24">
            <v>3850</v>
          </cell>
          <cell r="M24">
            <v>1338</v>
          </cell>
          <cell r="N24">
            <v>1338</v>
          </cell>
          <cell r="O24">
            <v>0.34656801699509199</v>
          </cell>
          <cell r="P24">
            <v>2047.65</v>
          </cell>
          <cell r="Q24">
            <v>1376.97</v>
          </cell>
          <cell r="R24">
            <v>1555.98</v>
          </cell>
          <cell r="S24">
            <v>2409</v>
          </cell>
          <cell r="T24">
            <v>0.44458281444582815</v>
          </cell>
          <cell r="U24">
            <v>1865.5295999999998</v>
          </cell>
          <cell r="V24">
            <v>0.28277739468727803</v>
          </cell>
          <cell r="W24">
            <v>2047.65</v>
          </cell>
          <cell r="X24">
            <v>0.85000000000000009</v>
          </cell>
          <cell r="Y24">
            <v>0</v>
          </cell>
          <cell r="Z24">
            <v>0</v>
          </cell>
          <cell r="AA24">
            <v>3088</v>
          </cell>
          <cell r="AB24">
            <v>2048</v>
          </cell>
          <cell r="AC24">
            <v>2498</v>
          </cell>
          <cell r="AD24">
            <v>2825</v>
          </cell>
          <cell r="AE24">
            <v>3151</v>
          </cell>
          <cell r="AF24">
            <v>0.35015867978419546</v>
          </cell>
          <cell r="AG24">
            <v>0.57537289749285936</v>
          </cell>
          <cell r="AH24">
            <v>3291</v>
          </cell>
          <cell r="AI24">
            <v>3431</v>
          </cell>
          <cell r="AJ24">
            <v>0.40319148936170213</v>
          </cell>
          <cell r="AK24">
            <v>3571</v>
          </cell>
          <cell r="AL24">
            <v>3711</v>
          </cell>
          <cell r="AM24">
            <v>0.44822150363783342</v>
          </cell>
          <cell r="AN24">
            <v>3850</v>
          </cell>
          <cell r="AO24">
            <v>0</v>
          </cell>
          <cell r="AP24">
            <v>0</v>
          </cell>
          <cell r="AQ24">
            <v>0</v>
          </cell>
          <cell r="AS24">
            <v>3850</v>
          </cell>
        </row>
        <row r="25">
          <cell r="B25" t="str">
            <v>AC</v>
          </cell>
          <cell r="C25" t="str">
            <v>DDP</v>
          </cell>
          <cell r="D25" t="str">
            <v>Oce</v>
          </cell>
          <cell r="E25" t="str">
            <v>08</v>
          </cell>
          <cell r="F25">
            <v>39924</v>
          </cell>
          <cell r="G25">
            <v>39924</v>
          </cell>
          <cell r="H25" t="str">
            <v>A126011</v>
          </cell>
          <cell r="I25" t="str">
            <v>3KMHA126011</v>
          </cell>
          <cell r="J25">
            <v>0</v>
          </cell>
          <cell r="K25" t="str">
            <v>Box with 5 Pallets for Powerlift</v>
          </cell>
          <cell r="L25">
            <v>450</v>
          </cell>
          <cell r="M25">
            <v>149.5</v>
          </cell>
          <cell r="N25">
            <v>149.5</v>
          </cell>
          <cell r="O25">
            <v>0.36959730128610585</v>
          </cell>
          <cell r="P25">
            <v>237.15</v>
          </cell>
          <cell r="Q25">
            <v>153.85</v>
          </cell>
          <cell r="R25">
            <v>173.85</v>
          </cell>
          <cell r="S25">
            <v>279</v>
          </cell>
          <cell r="T25">
            <v>0.46415770609318996</v>
          </cell>
          <cell r="U25">
            <v>216.05759999999998</v>
          </cell>
          <cell r="V25">
            <v>0.30805488906661921</v>
          </cell>
          <cell r="W25">
            <v>237.15</v>
          </cell>
          <cell r="X25">
            <v>0.85</v>
          </cell>
          <cell r="Y25">
            <v>0</v>
          </cell>
          <cell r="Z25">
            <v>0</v>
          </cell>
          <cell r="AA25">
            <v>358</v>
          </cell>
          <cell r="AB25">
            <v>238</v>
          </cell>
          <cell r="AC25">
            <v>290</v>
          </cell>
          <cell r="AD25">
            <v>328</v>
          </cell>
          <cell r="AE25">
            <v>365</v>
          </cell>
          <cell r="AF25">
            <v>0.35027397260273974</v>
          </cell>
          <cell r="AG25">
            <v>0.59041095890410955</v>
          </cell>
          <cell r="AH25">
            <v>382</v>
          </cell>
          <cell r="AI25">
            <v>399</v>
          </cell>
          <cell r="AJ25">
            <v>0.40563909774436091</v>
          </cell>
          <cell r="AK25">
            <v>416</v>
          </cell>
          <cell r="AL25">
            <v>433</v>
          </cell>
          <cell r="AM25">
            <v>0.45230946882217088</v>
          </cell>
          <cell r="AN25">
            <v>450</v>
          </cell>
          <cell r="AO25">
            <v>0</v>
          </cell>
          <cell r="AP25">
            <v>0</v>
          </cell>
          <cell r="AQ25">
            <v>0</v>
          </cell>
          <cell r="AS25">
            <v>450</v>
          </cell>
        </row>
        <row r="26">
          <cell r="B26" t="str">
            <v>AC</v>
          </cell>
          <cell r="C26" t="str">
            <v>DDP</v>
          </cell>
          <cell r="D26" t="str">
            <v>Oce</v>
          </cell>
          <cell r="E26" t="str">
            <v>08</v>
          </cell>
          <cell r="F26" t="str">
            <v>10/7/09</v>
          </cell>
          <cell r="G26" t="str">
            <v>10/7/09</v>
          </cell>
          <cell r="H26" t="str">
            <v>A15E011</v>
          </cell>
          <cell r="I26" t="str">
            <v>6KMPF501_N</v>
          </cell>
          <cell r="J26">
            <v>0</v>
          </cell>
          <cell r="K26" t="str">
            <v>Bookletmaker 25</v>
          </cell>
          <cell r="L26">
            <v>16000</v>
          </cell>
          <cell r="M26">
            <v>12375</v>
          </cell>
          <cell r="N26">
            <v>12375</v>
          </cell>
          <cell r="O26">
            <v>0</v>
          </cell>
          <cell r="P26">
            <v>12375</v>
          </cell>
          <cell r="Q26">
            <v>12735.44</v>
          </cell>
          <cell r="R26">
            <v>14391.05</v>
          </cell>
          <cell r="S26">
            <v>13750</v>
          </cell>
          <cell r="T26">
            <v>0.1</v>
          </cell>
          <cell r="U26">
            <v>12375</v>
          </cell>
          <cell r="V26">
            <v>0</v>
          </cell>
          <cell r="W26">
            <v>12375</v>
          </cell>
          <cell r="X26">
            <v>0.9</v>
          </cell>
          <cell r="Y26">
            <v>400</v>
          </cell>
          <cell r="Z26">
            <v>200</v>
          </cell>
          <cell r="AA26">
            <v>15227</v>
          </cell>
          <cell r="AB26">
            <v>12375</v>
          </cell>
          <cell r="AC26">
            <v>15092</v>
          </cell>
          <cell r="AD26">
            <v>15315</v>
          </cell>
          <cell r="AE26">
            <v>15537.5</v>
          </cell>
          <cell r="AF26">
            <v>0.20353982300884957</v>
          </cell>
          <cell r="AG26">
            <v>0.20353982300884957</v>
          </cell>
          <cell r="AH26">
            <v>15751</v>
          </cell>
          <cell r="AI26">
            <v>15963</v>
          </cell>
          <cell r="AJ26">
            <v>0.22476978011651946</v>
          </cell>
          <cell r="AK26">
            <v>16175.5</v>
          </cell>
          <cell r="AL26">
            <v>16388</v>
          </cell>
          <cell r="AM26">
            <v>0.24487429826702464</v>
          </cell>
          <cell r="AN26">
            <v>16600</v>
          </cell>
          <cell r="AO26">
            <v>0</v>
          </cell>
          <cell r="AP26">
            <v>0</v>
          </cell>
          <cell r="AQ26">
            <v>0</v>
          </cell>
          <cell r="AS26">
            <v>16600</v>
          </cell>
        </row>
        <row r="27">
          <cell r="B27" t="str">
            <v>AC</v>
          </cell>
          <cell r="C27" t="str">
            <v>DDP</v>
          </cell>
          <cell r="D27" t="str">
            <v>Oce</v>
          </cell>
          <cell r="E27" t="str">
            <v>08</v>
          </cell>
          <cell r="F27" t="str">
            <v>10/7/09</v>
          </cell>
          <cell r="G27" t="str">
            <v>10/7/09</v>
          </cell>
          <cell r="H27" t="str">
            <v>A15F011</v>
          </cell>
          <cell r="I27" t="str">
            <v>6KMFS511_N</v>
          </cell>
          <cell r="J27">
            <v>0</v>
          </cell>
          <cell r="K27" t="str">
            <v>Bookletmaker 25 Trimmer unit</v>
          </cell>
          <cell r="L27">
            <v>9000</v>
          </cell>
          <cell r="M27">
            <v>7020</v>
          </cell>
          <cell r="N27">
            <v>7020</v>
          </cell>
          <cell r="O27">
            <v>0</v>
          </cell>
          <cell r="P27">
            <v>7020</v>
          </cell>
          <cell r="Q27">
            <v>7224.47</v>
          </cell>
          <cell r="R27">
            <v>8163.65</v>
          </cell>
          <cell r="S27">
            <v>7800</v>
          </cell>
          <cell r="T27">
            <v>0.1</v>
          </cell>
          <cell r="U27">
            <v>7020</v>
          </cell>
          <cell r="V27">
            <v>0</v>
          </cell>
          <cell r="W27">
            <v>7020</v>
          </cell>
          <cell r="X27">
            <v>0.9</v>
          </cell>
          <cell r="Y27">
            <v>0</v>
          </cell>
          <cell r="Z27">
            <v>0</v>
          </cell>
          <cell r="AA27">
            <v>8638</v>
          </cell>
          <cell r="AB27">
            <v>7020</v>
          </cell>
          <cell r="AC27">
            <v>8561</v>
          </cell>
          <cell r="AD27">
            <v>8688</v>
          </cell>
          <cell r="AE27">
            <v>8814</v>
          </cell>
          <cell r="AF27">
            <v>0.20353982300884957</v>
          </cell>
          <cell r="AG27">
            <v>0.20353982300884957</v>
          </cell>
          <cell r="AH27">
            <v>8852</v>
          </cell>
          <cell r="AI27">
            <v>8889</v>
          </cell>
          <cell r="AJ27">
            <v>0.2102598717516031</v>
          </cell>
          <cell r="AK27">
            <v>8926</v>
          </cell>
          <cell r="AL27">
            <v>8963</v>
          </cell>
          <cell r="AM27">
            <v>0.21678009595001674</v>
          </cell>
          <cell r="AN27">
            <v>9000</v>
          </cell>
          <cell r="AO27">
            <v>0</v>
          </cell>
          <cell r="AP27">
            <v>0</v>
          </cell>
          <cell r="AQ27">
            <v>0</v>
          </cell>
          <cell r="AR27">
            <v>213</v>
          </cell>
          <cell r="AS27">
            <v>9000</v>
          </cell>
        </row>
        <row r="28">
          <cell r="B28" t="str">
            <v>AC</v>
          </cell>
          <cell r="C28" t="str">
            <v>DDP</v>
          </cell>
          <cell r="D28" t="str">
            <v>Oce</v>
          </cell>
          <cell r="E28" t="str">
            <v>08</v>
          </cell>
          <cell r="F28" t="str">
            <v>10/7/09</v>
          </cell>
          <cell r="G28" t="str">
            <v>10/7/09</v>
          </cell>
          <cell r="H28" t="str">
            <v>A15G011</v>
          </cell>
          <cell r="I28" t="str">
            <v>7KMADU504_N</v>
          </cell>
          <cell r="J28">
            <v>0</v>
          </cell>
          <cell r="K28" t="str">
            <v>Bookeltmaker 25 Square Fold Module</v>
          </cell>
          <cell r="L28">
            <v>9500</v>
          </cell>
          <cell r="M28">
            <v>7020</v>
          </cell>
          <cell r="N28">
            <v>7020</v>
          </cell>
          <cell r="O28">
            <v>0</v>
          </cell>
          <cell r="P28">
            <v>7020</v>
          </cell>
          <cell r="Q28">
            <v>7224.47</v>
          </cell>
          <cell r="R28">
            <v>8163.65</v>
          </cell>
          <cell r="S28">
            <v>7800</v>
          </cell>
          <cell r="T28">
            <v>0.1</v>
          </cell>
          <cell r="U28">
            <v>7020</v>
          </cell>
          <cell r="V28">
            <v>0</v>
          </cell>
          <cell r="W28">
            <v>7020</v>
          </cell>
          <cell r="X28">
            <v>0.9</v>
          </cell>
          <cell r="Y28">
            <v>0</v>
          </cell>
          <cell r="Z28">
            <v>0</v>
          </cell>
          <cell r="AA28">
            <v>8638</v>
          </cell>
          <cell r="AB28">
            <v>7020</v>
          </cell>
          <cell r="AC28">
            <v>8561</v>
          </cell>
          <cell r="AD28">
            <v>8688</v>
          </cell>
          <cell r="AE28">
            <v>8814</v>
          </cell>
          <cell r="AF28">
            <v>0.20353982300884957</v>
          </cell>
          <cell r="AG28">
            <v>0.20353982300884957</v>
          </cell>
          <cell r="AH28">
            <v>8952</v>
          </cell>
          <cell r="AI28">
            <v>9089</v>
          </cell>
          <cell r="AJ28">
            <v>0.22763780393882715</v>
          </cell>
          <cell r="AK28">
            <v>9226</v>
          </cell>
          <cell r="AL28">
            <v>9363</v>
          </cell>
          <cell r="AM28">
            <v>0.25024030759371996</v>
          </cell>
          <cell r="AN28">
            <v>9500</v>
          </cell>
          <cell r="AO28">
            <v>0</v>
          </cell>
          <cell r="AP28">
            <v>0</v>
          </cell>
          <cell r="AQ28">
            <v>0</v>
          </cell>
          <cell r="AR28">
            <v>198</v>
          </cell>
          <cell r="AS28">
            <v>9500</v>
          </cell>
        </row>
        <row r="29">
          <cell r="B29" t="str">
            <v>AC</v>
          </cell>
          <cell r="C29" t="str">
            <v>DDP</v>
          </cell>
          <cell r="D29" t="str">
            <v>Oce</v>
          </cell>
          <cell r="E29" t="str">
            <v>08</v>
          </cell>
          <cell r="F29" t="str">
            <v>10/7/09</v>
          </cell>
          <cell r="G29" t="str">
            <v>10/7/09</v>
          </cell>
          <cell r="H29" t="str">
            <v>A15K011</v>
          </cell>
          <cell r="I29" t="str">
            <v>3KMKFK503FAXKIT</v>
          </cell>
          <cell r="J29">
            <v>0</v>
          </cell>
          <cell r="K29" t="str">
            <v>Bookletmaker 25 Rotator Module</v>
          </cell>
          <cell r="L29">
            <v>10500</v>
          </cell>
          <cell r="M29">
            <v>8640</v>
          </cell>
          <cell r="N29">
            <v>8640</v>
          </cell>
          <cell r="O29">
            <v>0</v>
          </cell>
          <cell r="P29">
            <v>8640</v>
          </cell>
          <cell r="Q29">
            <v>8891.65</v>
          </cell>
          <cell r="R29">
            <v>10047.56</v>
          </cell>
          <cell r="S29">
            <v>9600</v>
          </cell>
          <cell r="T29">
            <v>0.1</v>
          </cell>
          <cell r="U29">
            <v>8640</v>
          </cell>
          <cell r="V29">
            <v>0</v>
          </cell>
          <cell r="W29">
            <v>8640</v>
          </cell>
          <cell r="X29">
            <v>0.9</v>
          </cell>
          <cell r="Y29">
            <v>0</v>
          </cell>
          <cell r="Z29">
            <v>0</v>
          </cell>
          <cell r="AA29">
            <v>10631</v>
          </cell>
          <cell r="AB29">
            <v>8640</v>
          </cell>
          <cell r="AC29">
            <v>10537</v>
          </cell>
          <cell r="AD29">
            <v>10693</v>
          </cell>
          <cell r="AE29">
            <v>10848</v>
          </cell>
          <cell r="AF29">
            <v>0.20353982300884957</v>
          </cell>
          <cell r="AG29">
            <v>0.20353982300884957</v>
          </cell>
          <cell r="AH29">
            <v>10779</v>
          </cell>
          <cell r="AI29">
            <v>10709</v>
          </cell>
          <cell r="AJ29">
            <v>0.19320197964329069</v>
          </cell>
          <cell r="AK29">
            <v>10639.5</v>
          </cell>
          <cell r="AL29">
            <v>10570</v>
          </cell>
          <cell r="AM29">
            <v>0.1825922421948912</v>
          </cell>
          <cell r="AN29">
            <v>10500</v>
          </cell>
          <cell r="AO29">
            <v>0</v>
          </cell>
          <cell r="AP29">
            <v>0</v>
          </cell>
          <cell r="AQ29">
            <v>0</v>
          </cell>
          <cell r="AS29">
            <v>10500</v>
          </cell>
        </row>
        <row r="30">
          <cell r="B30" t="str">
            <v>AC</v>
          </cell>
          <cell r="C30" t="str">
            <v>DDP</v>
          </cell>
          <cell r="D30" t="str">
            <v>Oce</v>
          </cell>
          <cell r="E30" t="str">
            <v>08</v>
          </cell>
          <cell r="F30" t="str">
            <v>10/7/09</v>
          </cell>
          <cell r="G30" t="str">
            <v>10/7/09</v>
          </cell>
          <cell r="H30" t="str">
            <v>A15M011</v>
          </cell>
          <cell r="I30" t="str">
            <v>3KMHML502FAXML</v>
          </cell>
          <cell r="J30">
            <v>0</v>
          </cell>
          <cell r="K30" t="str">
            <v>DFD2 Interface</v>
          </cell>
          <cell r="L30">
            <v>650</v>
          </cell>
          <cell r="M30">
            <v>300</v>
          </cell>
          <cell r="N30">
            <v>300</v>
          </cell>
          <cell r="O30">
            <v>0.21568627450980393</v>
          </cell>
          <cell r="P30">
            <v>382.5</v>
          </cell>
          <cell r="Q30">
            <v>308.74</v>
          </cell>
          <cell r="R30">
            <v>348.88</v>
          </cell>
          <cell r="S30">
            <v>450</v>
          </cell>
          <cell r="T30">
            <v>0.33333333333333331</v>
          </cell>
          <cell r="U30">
            <v>348.48</v>
          </cell>
          <cell r="V30">
            <v>0.13911845730027553</v>
          </cell>
          <cell r="W30">
            <v>382.5</v>
          </cell>
          <cell r="X30">
            <v>0.85</v>
          </cell>
          <cell r="Y30">
            <v>0</v>
          </cell>
          <cell r="Z30">
            <v>0</v>
          </cell>
          <cell r="AA30">
            <v>498</v>
          </cell>
          <cell r="AB30">
            <v>383</v>
          </cell>
          <cell r="AC30">
            <v>467</v>
          </cell>
          <cell r="AD30">
            <v>488</v>
          </cell>
          <cell r="AE30">
            <v>508.5</v>
          </cell>
          <cell r="AF30">
            <v>0.24778761061946902</v>
          </cell>
          <cell r="AG30">
            <v>0.41002949852507375</v>
          </cell>
          <cell r="AH30">
            <v>538</v>
          </cell>
          <cell r="AI30">
            <v>566</v>
          </cell>
          <cell r="AJ30">
            <v>0.32420494699646646</v>
          </cell>
          <cell r="AK30">
            <v>594</v>
          </cell>
          <cell r="AL30">
            <v>622</v>
          </cell>
          <cell r="AM30">
            <v>0.385048231511254</v>
          </cell>
          <cell r="AN30">
            <v>650</v>
          </cell>
          <cell r="AO30">
            <v>0</v>
          </cell>
          <cell r="AP30">
            <v>0</v>
          </cell>
          <cell r="AQ30">
            <v>0</v>
          </cell>
          <cell r="AS30">
            <v>650</v>
          </cell>
        </row>
        <row r="31">
          <cell r="B31" t="str">
            <v>AC</v>
          </cell>
          <cell r="C31" t="str">
            <v>DDP</v>
          </cell>
          <cell r="D31" t="str">
            <v>Oce</v>
          </cell>
          <cell r="E31" t="str">
            <v>08</v>
          </cell>
          <cell r="F31" t="str">
            <v>10/7/09</v>
          </cell>
          <cell r="G31" t="str">
            <v>10/7/09</v>
          </cell>
          <cell r="H31" t="str">
            <v>A15P011</v>
          </cell>
          <cell r="I31" t="str">
            <v>3KMMEM303EMU32MB</v>
          </cell>
          <cell r="J31">
            <v>0</v>
          </cell>
          <cell r="K31" t="str">
            <v>Bookletmaker 50</v>
          </cell>
          <cell r="L31">
            <v>63900</v>
          </cell>
          <cell r="M31">
            <v>38143.629999999997</v>
          </cell>
          <cell r="N31">
            <v>38143.629999999997</v>
          </cell>
          <cell r="O31">
            <v>0</v>
          </cell>
          <cell r="P31">
            <v>38143.629999999997</v>
          </cell>
          <cell r="Q31">
            <v>39254.61</v>
          </cell>
          <cell r="R31">
            <v>44357.71</v>
          </cell>
          <cell r="S31">
            <v>42400</v>
          </cell>
          <cell r="T31">
            <v>0.10038608490566044</v>
          </cell>
          <cell r="U31">
            <v>38143.629999999997</v>
          </cell>
          <cell r="V31">
            <v>0</v>
          </cell>
          <cell r="W31">
            <v>38143.629999999997</v>
          </cell>
          <cell r="X31">
            <v>0.89961391509433952</v>
          </cell>
          <cell r="Y31">
            <v>400</v>
          </cell>
          <cell r="Z31">
            <v>200</v>
          </cell>
          <cell r="AA31">
            <v>46954</v>
          </cell>
          <cell r="AB31">
            <v>38144</v>
          </cell>
          <cell r="AC31">
            <v>46517</v>
          </cell>
          <cell r="AD31">
            <v>47215</v>
          </cell>
          <cell r="AE31">
            <v>47912</v>
          </cell>
          <cell r="AF31">
            <v>0.20388149106695613</v>
          </cell>
          <cell r="AG31">
            <v>0.20388149106695613</v>
          </cell>
          <cell r="AH31">
            <v>51230</v>
          </cell>
          <cell r="AI31">
            <v>54548</v>
          </cell>
          <cell r="AJ31">
            <v>0.30073274913837361</v>
          </cell>
          <cell r="AK31">
            <v>57865.5</v>
          </cell>
          <cell r="AL31">
            <v>61183</v>
          </cell>
          <cell r="AM31">
            <v>0.37656489547750194</v>
          </cell>
          <cell r="AN31">
            <v>64500</v>
          </cell>
          <cell r="AO31">
            <v>0</v>
          </cell>
          <cell r="AP31">
            <v>0</v>
          </cell>
          <cell r="AQ31">
            <v>0</v>
          </cell>
          <cell r="AS31">
            <v>64500</v>
          </cell>
        </row>
        <row r="32">
          <cell r="B32" t="str">
            <v>AC</v>
          </cell>
          <cell r="C32" t="str">
            <v>DDP</v>
          </cell>
          <cell r="D32" t="str">
            <v>Oce</v>
          </cell>
          <cell r="E32" t="str">
            <v>08</v>
          </cell>
          <cell r="F32" t="str">
            <v>10/7/09</v>
          </cell>
          <cell r="G32" t="str">
            <v>10/7/09</v>
          </cell>
          <cell r="H32" t="str">
            <v>A15R011</v>
          </cell>
          <cell r="I32" t="str">
            <v>3KMMEM304EMU64MB</v>
          </cell>
          <cell r="J32">
            <v>0</v>
          </cell>
          <cell r="K32" t="str">
            <v>Bookletmaker 50 Bridge Cover</v>
          </cell>
          <cell r="L32">
            <v>3300</v>
          </cell>
          <cell r="M32">
            <v>1939.02</v>
          </cell>
          <cell r="N32">
            <v>1939.02</v>
          </cell>
          <cell r="O32">
            <v>0</v>
          </cell>
          <cell r="P32">
            <v>1939.02</v>
          </cell>
          <cell r="Q32">
            <v>1995.5</v>
          </cell>
          <cell r="R32">
            <v>2254.92</v>
          </cell>
          <cell r="S32">
            <v>2100</v>
          </cell>
          <cell r="T32">
            <v>7.6657142857142868E-2</v>
          </cell>
          <cell r="U32">
            <v>1939.02</v>
          </cell>
          <cell r="V32">
            <v>0</v>
          </cell>
          <cell r="W32">
            <v>1939.02</v>
          </cell>
          <cell r="X32">
            <v>0.92334285714285713</v>
          </cell>
          <cell r="Y32">
            <v>0</v>
          </cell>
          <cell r="Z32">
            <v>0</v>
          </cell>
          <cell r="AA32">
            <v>2326</v>
          </cell>
          <cell r="AB32">
            <v>1940</v>
          </cell>
          <cell r="AC32">
            <v>2365</v>
          </cell>
          <cell r="AD32">
            <v>2369</v>
          </cell>
          <cell r="AE32">
            <v>2373</v>
          </cell>
          <cell r="AF32">
            <v>0.18288242730720608</v>
          </cell>
          <cell r="AG32">
            <v>0.18288242730720608</v>
          </cell>
          <cell r="AH32">
            <v>2559</v>
          </cell>
          <cell r="AI32">
            <v>2744</v>
          </cell>
          <cell r="AJ32">
            <v>0.29336005830903789</v>
          </cell>
          <cell r="AK32">
            <v>2929.5</v>
          </cell>
          <cell r="AL32">
            <v>3115</v>
          </cell>
          <cell r="AM32">
            <v>0.37752166934189407</v>
          </cell>
          <cell r="AN32">
            <v>3300</v>
          </cell>
          <cell r="AO32">
            <v>0</v>
          </cell>
          <cell r="AP32">
            <v>0</v>
          </cell>
          <cell r="AQ32">
            <v>0</v>
          </cell>
          <cell r="AS32">
            <v>3300</v>
          </cell>
        </row>
        <row r="33">
          <cell r="B33" t="str">
            <v>AC</v>
          </cell>
          <cell r="C33" t="str">
            <v>DDP</v>
          </cell>
          <cell r="D33" t="str">
            <v>Oce</v>
          </cell>
          <cell r="E33" t="str">
            <v>08</v>
          </cell>
          <cell r="F33" t="str">
            <v>10/7/09</v>
          </cell>
          <cell r="G33" t="str">
            <v>10/7/09</v>
          </cell>
          <cell r="H33" t="str">
            <v>A15T011</v>
          </cell>
          <cell r="I33" t="str">
            <v>3KMMEM305EMU128MB</v>
          </cell>
          <cell r="J33">
            <v>0</v>
          </cell>
          <cell r="K33" t="str">
            <v>Bookletmaker 50 Bridge</v>
          </cell>
          <cell r="L33">
            <v>12800</v>
          </cell>
          <cell r="M33">
            <v>7617.34</v>
          </cell>
          <cell r="N33">
            <v>7617.34</v>
          </cell>
          <cell r="O33">
            <v>0</v>
          </cell>
          <cell r="P33">
            <v>7617.34</v>
          </cell>
          <cell r="Q33">
            <v>7839.2</v>
          </cell>
          <cell r="R33">
            <v>8858.2999999999993</v>
          </cell>
          <cell r="S33">
            <v>8500</v>
          </cell>
          <cell r="T33">
            <v>0.10384235294117646</v>
          </cell>
          <cell r="U33">
            <v>7617.34</v>
          </cell>
          <cell r="V33">
            <v>0</v>
          </cell>
          <cell r="W33">
            <v>7617.34</v>
          </cell>
          <cell r="X33">
            <v>0.8961576470588235</v>
          </cell>
          <cell r="Y33">
            <v>0</v>
          </cell>
          <cell r="Z33">
            <v>0</v>
          </cell>
          <cell r="AA33">
            <v>9413</v>
          </cell>
          <cell r="AB33">
            <v>7618</v>
          </cell>
          <cell r="AC33">
            <v>9290</v>
          </cell>
          <cell r="AD33">
            <v>9448</v>
          </cell>
          <cell r="AE33">
            <v>9605</v>
          </cell>
          <cell r="AF33">
            <v>0.20694013534617386</v>
          </cell>
          <cell r="AG33">
            <v>0.20694013534617386</v>
          </cell>
          <cell r="AH33">
            <v>10244</v>
          </cell>
          <cell r="AI33">
            <v>10883</v>
          </cell>
          <cell r="AJ33">
            <v>0.30006983368556461</v>
          </cell>
          <cell r="AK33">
            <v>11522</v>
          </cell>
          <cell r="AL33">
            <v>12161</v>
          </cell>
          <cell r="AM33">
            <v>0.37362552421675849</v>
          </cell>
          <cell r="AN33">
            <v>12800</v>
          </cell>
          <cell r="AO33">
            <v>0</v>
          </cell>
          <cell r="AP33">
            <v>0</v>
          </cell>
          <cell r="AQ33">
            <v>0</v>
          </cell>
          <cell r="AR33">
            <v>308</v>
          </cell>
          <cell r="AS33">
            <v>12800</v>
          </cell>
        </row>
        <row r="34">
          <cell r="B34" t="str">
            <v>AC</v>
          </cell>
          <cell r="C34" t="str">
            <v>DDP</v>
          </cell>
          <cell r="D34" t="str">
            <v>Oce</v>
          </cell>
          <cell r="E34" t="str">
            <v>08</v>
          </cell>
          <cell r="F34" t="str">
            <v>10/7/09</v>
          </cell>
          <cell r="G34" t="str">
            <v>10/7/09</v>
          </cell>
          <cell r="H34" t="str">
            <v>A1H60Y1</v>
          </cell>
          <cell r="I34" t="str">
            <v>3KMHOC502OC</v>
          </cell>
          <cell r="J34">
            <v>0</v>
          </cell>
          <cell r="K34" t="str">
            <v>Print Makeready Base Licence V4</v>
          </cell>
          <cell r="L34">
            <v>8900</v>
          </cell>
          <cell r="M34">
            <v>6075</v>
          </cell>
          <cell r="N34">
            <v>6075</v>
          </cell>
          <cell r="O34">
            <v>0</v>
          </cell>
          <cell r="P34">
            <v>6075</v>
          </cell>
          <cell r="Q34">
            <v>6251.94</v>
          </cell>
          <cell r="R34">
            <v>7064.69</v>
          </cell>
          <cell r="S34">
            <v>6750</v>
          </cell>
          <cell r="T34">
            <v>0.1</v>
          </cell>
          <cell r="U34">
            <v>6075</v>
          </cell>
          <cell r="V34">
            <v>0</v>
          </cell>
          <cell r="W34">
            <v>6075</v>
          </cell>
          <cell r="X34">
            <v>0.9</v>
          </cell>
          <cell r="Y34">
            <v>50</v>
          </cell>
          <cell r="Z34">
            <v>30</v>
          </cell>
          <cell r="AA34">
            <v>7475</v>
          </cell>
          <cell r="AB34">
            <v>6075</v>
          </cell>
          <cell r="AC34">
            <v>7409</v>
          </cell>
          <cell r="AD34">
            <v>7519</v>
          </cell>
          <cell r="AE34">
            <v>7627.5</v>
          </cell>
          <cell r="AF34">
            <v>0.20353982300884957</v>
          </cell>
          <cell r="AG34">
            <v>0.20353982300884957</v>
          </cell>
          <cell r="AH34">
            <v>7899</v>
          </cell>
          <cell r="AI34">
            <v>8169</v>
          </cell>
          <cell r="AJ34">
            <v>0.25633492471538744</v>
          </cell>
          <cell r="AK34">
            <v>8439.5</v>
          </cell>
          <cell r="AL34">
            <v>8710</v>
          </cell>
          <cell r="AM34">
            <v>0.30252583237657865</v>
          </cell>
          <cell r="AN34">
            <v>8980</v>
          </cell>
          <cell r="AO34">
            <v>0</v>
          </cell>
          <cell r="AP34">
            <v>0</v>
          </cell>
          <cell r="AQ34">
            <v>0</v>
          </cell>
          <cell r="AS34">
            <v>8980</v>
          </cell>
        </row>
        <row r="35">
          <cell r="B35" t="str">
            <v>AC</v>
          </cell>
          <cell r="C35" t="str">
            <v>DDP</v>
          </cell>
          <cell r="D35" t="str">
            <v>Oce</v>
          </cell>
          <cell r="E35" t="str">
            <v>08</v>
          </cell>
          <cell r="F35" t="str">
            <v>10/7/09</v>
          </cell>
          <cell r="G35" t="str">
            <v>10/7/09</v>
          </cell>
          <cell r="H35" t="str">
            <v>A1H60Y2</v>
          </cell>
          <cell r="I35" t="str">
            <v>3KMHOC510_</v>
          </cell>
          <cell r="J35">
            <v>0</v>
          </cell>
          <cell r="K35" t="str">
            <v>Demo License Print Makeready 60 days</v>
          </cell>
          <cell r="L35">
            <v>16</v>
          </cell>
          <cell r="M35">
            <v>1</v>
          </cell>
          <cell r="N35">
            <v>1</v>
          </cell>
          <cell r="O35">
            <v>0.88235294117647056</v>
          </cell>
          <cell r="P35">
            <v>8.5</v>
          </cell>
          <cell r="Q35">
            <v>1.03</v>
          </cell>
          <cell r="R35">
            <v>1.1599999999999999</v>
          </cell>
          <cell r="S35">
            <v>10</v>
          </cell>
          <cell r="T35">
            <v>0.9</v>
          </cell>
          <cell r="U35">
            <v>7.7439999999999998</v>
          </cell>
          <cell r="V35">
            <v>0.87086776859504134</v>
          </cell>
          <cell r="W35">
            <v>8.5</v>
          </cell>
          <cell r="X35">
            <v>0.85</v>
          </cell>
          <cell r="Y35">
            <v>0</v>
          </cell>
          <cell r="Z35">
            <v>0</v>
          </cell>
          <cell r="AA35">
            <v>11</v>
          </cell>
          <cell r="AB35">
            <v>9</v>
          </cell>
          <cell r="AC35">
            <v>11</v>
          </cell>
          <cell r="AD35">
            <v>12</v>
          </cell>
          <cell r="AE35">
            <v>11.3</v>
          </cell>
          <cell r="AF35">
            <v>0.24778761061946908</v>
          </cell>
          <cell r="AG35">
            <v>0.91150442477876104</v>
          </cell>
          <cell r="AH35">
            <v>13</v>
          </cell>
          <cell r="AI35">
            <v>14</v>
          </cell>
          <cell r="AJ35">
            <v>0.39285714285714285</v>
          </cell>
          <cell r="AK35">
            <v>15</v>
          </cell>
          <cell r="AL35">
            <v>16</v>
          </cell>
          <cell r="AM35">
            <v>0.46875</v>
          </cell>
          <cell r="AN35">
            <v>16</v>
          </cell>
          <cell r="AO35">
            <v>0</v>
          </cell>
          <cell r="AP35">
            <v>0</v>
          </cell>
          <cell r="AQ35">
            <v>0</v>
          </cell>
          <cell r="AS35">
            <v>16</v>
          </cell>
        </row>
        <row r="36">
          <cell r="B36" t="str">
            <v>AC</v>
          </cell>
          <cell r="C36" t="str">
            <v>DDP</v>
          </cell>
          <cell r="D36" t="str">
            <v>Oce</v>
          </cell>
          <cell r="E36" t="str">
            <v>08</v>
          </cell>
          <cell r="F36" t="str">
            <v>10/7/09</v>
          </cell>
          <cell r="G36" t="str">
            <v>10/7/09</v>
          </cell>
          <cell r="H36" t="str">
            <v>A1H60Y3</v>
          </cell>
          <cell r="I36" t="str">
            <v>3KMKVK501</v>
          </cell>
          <cell r="J36">
            <v>0</v>
          </cell>
          <cell r="K36" t="str">
            <v>Print Makeready Yearly maintenance Fee</v>
          </cell>
          <cell r="L36">
            <v>1780</v>
          </cell>
          <cell r="M36">
            <v>975</v>
          </cell>
          <cell r="N36">
            <v>975</v>
          </cell>
          <cell r="O36">
            <v>0.15032679738562091</v>
          </cell>
          <cell r="P36">
            <v>1147.5</v>
          </cell>
          <cell r="Q36">
            <v>1003.4</v>
          </cell>
          <cell r="R36">
            <v>1133.8399999999999</v>
          </cell>
          <cell r="S36">
            <v>1350</v>
          </cell>
          <cell r="T36">
            <v>0.27777777777777779</v>
          </cell>
          <cell r="U36">
            <v>1045.44</v>
          </cell>
          <cell r="V36">
            <v>6.7378328741965157E-2</v>
          </cell>
          <cell r="W36">
            <v>1147.5</v>
          </cell>
          <cell r="X36">
            <v>0.85</v>
          </cell>
          <cell r="Y36">
            <v>0</v>
          </cell>
          <cell r="Z36">
            <v>0</v>
          </cell>
          <cell r="AA36">
            <v>1495</v>
          </cell>
          <cell r="AB36">
            <v>1148</v>
          </cell>
          <cell r="AC36">
            <v>1400</v>
          </cell>
          <cell r="AD36">
            <v>1463</v>
          </cell>
          <cell r="AE36">
            <v>1525.5</v>
          </cell>
          <cell r="AF36">
            <v>0.24778761061946902</v>
          </cell>
          <cell r="AG36">
            <v>0.36086529006882989</v>
          </cell>
          <cell r="AH36">
            <v>1577</v>
          </cell>
          <cell r="AI36">
            <v>1628</v>
          </cell>
          <cell r="AJ36">
            <v>0.29514742014742013</v>
          </cell>
          <cell r="AK36">
            <v>1679</v>
          </cell>
          <cell r="AL36">
            <v>1730</v>
          </cell>
          <cell r="AM36">
            <v>0.33670520231213874</v>
          </cell>
          <cell r="AN36">
            <v>1780</v>
          </cell>
          <cell r="AO36">
            <v>0</v>
          </cell>
          <cell r="AP36">
            <v>0</v>
          </cell>
          <cell r="AQ36">
            <v>0</v>
          </cell>
          <cell r="AS36">
            <v>1780</v>
          </cell>
        </row>
        <row r="37">
          <cell r="B37" t="str">
            <v>AC</v>
          </cell>
          <cell r="C37" t="str">
            <v>DDP</v>
          </cell>
          <cell r="D37" t="str">
            <v>Oce</v>
          </cell>
          <cell r="E37" t="str">
            <v>08</v>
          </cell>
          <cell r="F37" t="str">
            <v>10/7/09</v>
          </cell>
          <cell r="G37" t="str">
            <v>10/7/09</v>
          </cell>
          <cell r="H37" t="str">
            <v>A1H70Y1</v>
          </cell>
          <cell r="I37" t="str">
            <v>3KMHMC502</v>
          </cell>
          <cell r="J37">
            <v>0</v>
          </cell>
          <cell r="K37" t="str">
            <v>Dongle for Dpconvert</v>
          </cell>
          <cell r="L37">
            <v>8900</v>
          </cell>
          <cell r="M37">
            <v>112</v>
          </cell>
          <cell r="N37">
            <v>112</v>
          </cell>
          <cell r="O37">
            <v>0.42611190817790529</v>
          </cell>
          <cell r="P37">
            <v>195.16</v>
          </cell>
          <cell r="Q37">
            <v>115.26</v>
          </cell>
          <cell r="R37">
            <v>130.24</v>
          </cell>
          <cell r="S37">
            <v>229.6</v>
          </cell>
          <cell r="T37">
            <v>0.51219512195121952</v>
          </cell>
          <cell r="U37">
            <v>177.80223999999998</v>
          </cell>
          <cell r="V37">
            <v>0.37008667607337226</v>
          </cell>
          <cell r="W37">
            <v>195.16</v>
          </cell>
          <cell r="X37">
            <v>0.85</v>
          </cell>
          <cell r="Y37">
            <v>0</v>
          </cell>
          <cell r="Z37">
            <v>0</v>
          </cell>
          <cell r="AA37">
            <v>254</v>
          </cell>
          <cell r="AB37">
            <v>196</v>
          </cell>
          <cell r="AC37">
            <v>238</v>
          </cell>
          <cell r="AD37">
            <v>249</v>
          </cell>
          <cell r="AE37">
            <v>259.45</v>
          </cell>
          <cell r="AF37">
            <v>0.24779340913470801</v>
          </cell>
          <cell r="AG37">
            <v>0.56831759491231448</v>
          </cell>
          <cell r="AH37">
            <v>1988</v>
          </cell>
          <cell r="AI37">
            <v>3716</v>
          </cell>
          <cell r="AJ37">
            <v>0.94748116254036607</v>
          </cell>
          <cell r="AK37">
            <v>5444</v>
          </cell>
          <cell r="AL37">
            <v>7172</v>
          </cell>
          <cell r="AM37">
            <v>0.97278862242052433</v>
          </cell>
          <cell r="AN37">
            <v>8900</v>
          </cell>
          <cell r="AO37">
            <v>0</v>
          </cell>
          <cell r="AP37">
            <v>0</v>
          </cell>
          <cell r="AQ37">
            <v>0</v>
          </cell>
          <cell r="AS37">
            <v>8900</v>
          </cell>
        </row>
        <row r="38">
          <cell r="B38" t="str">
            <v>AC</v>
          </cell>
          <cell r="C38" t="str">
            <v>DDP</v>
          </cell>
          <cell r="D38" t="str">
            <v>Oce</v>
          </cell>
          <cell r="E38" t="str">
            <v>08</v>
          </cell>
          <cell r="F38" t="str">
            <v>10/7/09</v>
          </cell>
          <cell r="G38" t="str">
            <v>10/7/09</v>
          </cell>
          <cell r="H38" t="str">
            <v>A1H70Y2</v>
          </cell>
          <cell r="I38" t="str">
            <v>3KMKSA501SAK</v>
          </cell>
          <cell r="J38" t="str">
            <v>x</v>
          </cell>
          <cell r="K38" t="str">
            <v>Dpconvert Licence for 250000 pages V2</v>
          </cell>
          <cell r="L38">
            <v>20826</v>
          </cell>
          <cell r="M38">
            <v>7190</v>
          </cell>
          <cell r="N38">
            <v>7190</v>
          </cell>
          <cell r="O38">
            <v>0.11622121265758063</v>
          </cell>
          <cell r="P38">
            <v>8135.52</v>
          </cell>
          <cell r="Q38">
            <v>7399.42</v>
          </cell>
          <cell r="R38">
            <v>8361.34</v>
          </cell>
          <cell r="S38">
            <v>9571.2000000000007</v>
          </cell>
          <cell r="T38">
            <v>0.24878803075894357</v>
          </cell>
          <cell r="U38">
            <v>8231.232</v>
          </cell>
          <cell r="V38">
            <v>0.12649771018481801</v>
          </cell>
          <cell r="W38">
            <v>8135.52</v>
          </cell>
          <cell r="X38">
            <v>0.85</v>
          </cell>
          <cell r="Y38">
            <v>50</v>
          </cell>
          <cell r="Z38">
            <v>30</v>
          </cell>
          <cell r="AA38">
            <v>10599</v>
          </cell>
          <cell r="AB38">
            <v>8136</v>
          </cell>
          <cell r="AC38">
            <v>9922</v>
          </cell>
          <cell r="AD38">
            <v>10369</v>
          </cell>
          <cell r="AE38">
            <v>10815.46</v>
          </cell>
          <cell r="AF38">
            <v>0.24778788881841354</v>
          </cell>
          <cell r="AG38">
            <v>0.33521089255565639</v>
          </cell>
          <cell r="AH38">
            <v>12834</v>
          </cell>
          <cell r="AI38">
            <v>14852</v>
          </cell>
          <cell r="AJ38">
            <v>0.45222730945327227</v>
          </cell>
          <cell r="AK38">
            <v>16870</v>
          </cell>
          <cell r="AL38">
            <v>18888</v>
          </cell>
          <cell r="AM38">
            <v>0.56927573062261749</v>
          </cell>
          <cell r="AN38">
            <v>20906</v>
          </cell>
          <cell r="AO38">
            <v>0</v>
          </cell>
          <cell r="AP38">
            <v>0</v>
          </cell>
          <cell r="AQ38">
            <v>0</v>
          </cell>
          <cell r="AS38">
            <v>20906</v>
          </cell>
        </row>
        <row r="39">
          <cell r="B39" t="str">
            <v>AC</v>
          </cell>
          <cell r="C39" t="str">
            <v>DDP</v>
          </cell>
          <cell r="D39" t="str">
            <v>Oce</v>
          </cell>
          <cell r="E39" t="str">
            <v>08</v>
          </cell>
          <cell r="F39" t="str">
            <v>10/7/09</v>
          </cell>
          <cell r="G39" t="str">
            <v>10/7/09</v>
          </cell>
          <cell r="H39" t="str">
            <v>A1H70Y3</v>
          </cell>
          <cell r="I39" t="str">
            <v>3KMKML501</v>
          </cell>
          <cell r="J39" t="str">
            <v>x</v>
          </cell>
          <cell r="K39" t="str">
            <v>Dpconvert Licence for 500000 pages V2</v>
          </cell>
          <cell r="L39">
            <v>27315</v>
          </cell>
          <cell r="M39">
            <v>9430</v>
          </cell>
          <cell r="N39">
            <v>9430</v>
          </cell>
          <cell r="O39">
            <v>0.17208077260755048</v>
          </cell>
          <cell r="P39">
            <v>11390</v>
          </cell>
          <cell r="Q39">
            <v>9704.66</v>
          </cell>
          <cell r="R39">
            <v>10966.27</v>
          </cell>
          <cell r="S39">
            <v>13400</v>
          </cell>
          <cell r="T39">
            <v>0.29626865671641789</v>
          </cell>
          <cell r="U39">
            <v>10376.959999999999</v>
          </cell>
          <cell r="V39">
            <v>9.1256013321820567E-2</v>
          </cell>
          <cell r="W39">
            <v>11390</v>
          </cell>
          <cell r="X39">
            <v>0.85</v>
          </cell>
          <cell r="Y39">
            <v>50</v>
          </cell>
          <cell r="Z39">
            <v>30</v>
          </cell>
          <cell r="AA39">
            <v>14839</v>
          </cell>
          <cell r="AB39">
            <v>11390</v>
          </cell>
          <cell r="AC39">
            <v>13891</v>
          </cell>
          <cell r="AD39">
            <v>14517</v>
          </cell>
          <cell r="AE39">
            <v>15142</v>
          </cell>
          <cell r="AF39">
            <v>0.24778761061946902</v>
          </cell>
          <cell r="AG39">
            <v>0.37722889974904239</v>
          </cell>
          <cell r="AH39">
            <v>17593</v>
          </cell>
          <cell r="AI39">
            <v>20044</v>
          </cell>
          <cell r="AJ39">
            <v>0.43175014967072439</v>
          </cell>
          <cell r="AK39">
            <v>22494.5</v>
          </cell>
          <cell r="AL39">
            <v>24945</v>
          </cell>
          <cell r="AM39">
            <v>0.54339547003407496</v>
          </cell>
          <cell r="AN39">
            <v>27395</v>
          </cell>
          <cell r="AO39">
            <v>0</v>
          </cell>
          <cell r="AP39">
            <v>0</v>
          </cell>
          <cell r="AQ39">
            <v>0</v>
          </cell>
          <cell r="AS39">
            <v>27395</v>
          </cell>
        </row>
        <row r="40">
          <cell r="B40" t="str">
            <v>AC</v>
          </cell>
          <cell r="C40" t="str">
            <v>DDP</v>
          </cell>
          <cell r="D40" t="str">
            <v>Oce</v>
          </cell>
          <cell r="E40" t="str">
            <v>08</v>
          </cell>
          <cell r="F40" t="str">
            <v>10/7/09</v>
          </cell>
          <cell r="G40" t="str">
            <v>10/7/09</v>
          </cell>
          <cell r="H40" t="str">
            <v>A1H70Y4</v>
          </cell>
          <cell r="I40" t="str">
            <v>3KMKSC503HDDEK</v>
          </cell>
          <cell r="J40" t="str">
            <v>x</v>
          </cell>
          <cell r="K40" t="str">
            <v>Dpconvert Licence for 1000000 pages V2</v>
          </cell>
          <cell r="L40">
            <v>32094</v>
          </cell>
          <cell r="M40">
            <v>11080</v>
          </cell>
          <cell r="N40">
            <v>11080</v>
          </cell>
          <cell r="O40">
            <v>0.31903553798650858</v>
          </cell>
          <cell r="P40">
            <v>16271.04</v>
          </cell>
          <cell r="Q40">
            <v>11402.72</v>
          </cell>
          <cell r="R40">
            <v>12885.07</v>
          </cell>
          <cell r="S40">
            <v>19142.400000000001</v>
          </cell>
          <cell r="T40">
            <v>0.42118020728853228</v>
          </cell>
          <cell r="U40">
            <v>14823.87456</v>
          </cell>
          <cell r="V40">
            <v>0.25255708585812536</v>
          </cell>
          <cell r="W40">
            <v>16271.04</v>
          </cell>
          <cell r="X40">
            <v>0.85</v>
          </cell>
          <cell r="Y40">
            <v>50</v>
          </cell>
          <cell r="Z40">
            <v>30</v>
          </cell>
          <cell r="AA40">
            <v>21198</v>
          </cell>
          <cell r="AB40">
            <v>16272</v>
          </cell>
          <cell r="AC40">
            <v>19843</v>
          </cell>
          <cell r="AD40">
            <v>20737</v>
          </cell>
          <cell r="AE40">
            <v>21630.91</v>
          </cell>
          <cell r="AF40">
            <v>0.24778754106970066</v>
          </cell>
          <cell r="AG40">
            <v>0.48777004758468323</v>
          </cell>
          <cell r="AH40">
            <v>23740</v>
          </cell>
          <cell r="AI40">
            <v>25849</v>
          </cell>
          <cell r="AJ40">
            <v>0.37053503036867963</v>
          </cell>
          <cell r="AK40">
            <v>27957.5</v>
          </cell>
          <cell r="AL40">
            <v>30066</v>
          </cell>
          <cell r="AM40">
            <v>0.45882259030133704</v>
          </cell>
          <cell r="AN40">
            <v>32174</v>
          </cell>
          <cell r="AO40">
            <v>0</v>
          </cell>
          <cell r="AP40">
            <v>0</v>
          </cell>
          <cell r="AQ40">
            <v>0</v>
          </cell>
          <cell r="AS40">
            <v>32174</v>
          </cell>
        </row>
        <row r="41">
          <cell r="B41" t="str">
            <v>AC</v>
          </cell>
          <cell r="C41" t="str">
            <v>DDP</v>
          </cell>
          <cell r="D41" t="str">
            <v>Oce</v>
          </cell>
          <cell r="E41" t="str">
            <v>08</v>
          </cell>
          <cell r="F41" t="str">
            <v>10/7/09</v>
          </cell>
          <cell r="G41" t="str">
            <v>10/7/09</v>
          </cell>
          <cell r="H41" t="str">
            <v>A1H70Y5</v>
          </cell>
          <cell r="I41" t="str">
            <v>3KMKSC504HDDEK</v>
          </cell>
          <cell r="J41">
            <v>0</v>
          </cell>
          <cell r="K41" t="str">
            <v>Dpconvert Licence V2 Demo</v>
          </cell>
          <cell r="L41">
            <v>253</v>
          </cell>
          <cell r="M41">
            <v>87.5</v>
          </cell>
          <cell r="N41">
            <v>87.5</v>
          </cell>
          <cell r="O41">
            <v>0.34847356664184664</v>
          </cell>
          <cell r="P41">
            <v>134.30000000000001</v>
          </cell>
          <cell r="Q41">
            <v>90.05</v>
          </cell>
          <cell r="R41">
            <v>101.76</v>
          </cell>
          <cell r="S41">
            <v>158</v>
          </cell>
          <cell r="T41">
            <v>0.44620253164556961</v>
          </cell>
          <cell r="U41">
            <v>122.3552</v>
          </cell>
          <cell r="V41">
            <v>0.28486897164975411</v>
          </cell>
          <cell r="W41">
            <v>134.30000000000001</v>
          </cell>
          <cell r="X41">
            <v>0.85000000000000009</v>
          </cell>
          <cell r="Y41">
            <v>0</v>
          </cell>
          <cell r="Z41">
            <v>0</v>
          </cell>
          <cell r="AA41">
            <v>175</v>
          </cell>
          <cell r="AB41">
            <v>135</v>
          </cell>
          <cell r="AC41">
            <v>164</v>
          </cell>
          <cell r="AD41">
            <v>172</v>
          </cell>
          <cell r="AE41">
            <v>178.54</v>
          </cell>
          <cell r="AF41">
            <v>0.24778761061946894</v>
          </cell>
          <cell r="AG41">
            <v>0.50991374481908813</v>
          </cell>
          <cell r="AH41">
            <v>194</v>
          </cell>
          <cell r="AI41">
            <v>209</v>
          </cell>
          <cell r="AJ41">
            <v>0.35741626794258369</v>
          </cell>
          <cell r="AK41">
            <v>224</v>
          </cell>
          <cell r="AL41">
            <v>239</v>
          </cell>
          <cell r="AM41">
            <v>0.43807531380753134</v>
          </cell>
          <cell r="AN41">
            <v>253</v>
          </cell>
          <cell r="AO41">
            <v>0</v>
          </cell>
          <cell r="AP41">
            <v>0</v>
          </cell>
          <cell r="AQ41">
            <v>0</v>
          </cell>
          <cell r="AS41">
            <v>253</v>
          </cell>
        </row>
        <row r="42">
          <cell r="B42" t="str">
            <v>AC</v>
          </cell>
          <cell r="C42" t="str">
            <v>DDP</v>
          </cell>
          <cell r="D42" t="str">
            <v>Oce</v>
          </cell>
          <cell r="E42" t="str">
            <v>08</v>
          </cell>
          <cell r="F42" t="str">
            <v>10/7/09</v>
          </cell>
          <cell r="G42" t="str">
            <v>10/7/09</v>
          </cell>
          <cell r="H42" t="str">
            <v>A1H80Y1</v>
          </cell>
          <cell r="I42" t="str">
            <v>3KMHHD50440GHDD</v>
          </cell>
          <cell r="J42">
            <v>0</v>
          </cell>
          <cell r="K42" t="str">
            <v>Print Console</v>
          </cell>
          <cell r="L42">
            <v>8900</v>
          </cell>
          <cell r="M42">
            <v>3500</v>
          </cell>
          <cell r="N42">
            <v>3500</v>
          </cell>
          <cell r="O42">
            <v>0.34640522875816993</v>
          </cell>
          <cell r="P42">
            <v>5355</v>
          </cell>
          <cell r="Q42">
            <v>3601.94</v>
          </cell>
          <cell r="R42">
            <v>4070.19</v>
          </cell>
          <cell r="S42">
            <v>6300</v>
          </cell>
          <cell r="T42">
            <v>0.44444444444444442</v>
          </cell>
          <cell r="U42">
            <v>4878.72</v>
          </cell>
          <cell r="V42">
            <v>0.28259871441689627</v>
          </cell>
          <cell r="W42">
            <v>5355</v>
          </cell>
          <cell r="X42">
            <v>0.85</v>
          </cell>
          <cell r="Y42">
            <v>50</v>
          </cell>
          <cell r="Z42">
            <v>30</v>
          </cell>
          <cell r="AA42">
            <v>6977</v>
          </cell>
          <cell r="AB42">
            <v>5355</v>
          </cell>
          <cell r="AC42">
            <v>6531</v>
          </cell>
          <cell r="AD42">
            <v>6825</v>
          </cell>
          <cell r="AE42">
            <v>7119</v>
          </cell>
          <cell r="AF42">
            <v>0.24778761061946902</v>
          </cell>
          <cell r="AG42">
            <v>0.50835791543756148</v>
          </cell>
          <cell r="AH42">
            <v>7492</v>
          </cell>
          <cell r="AI42">
            <v>7864</v>
          </cell>
          <cell r="AJ42">
            <v>0.31904883011190233</v>
          </cell>
          <cell r="AK42">
            <v>8236</v>
          </cell>
          <cell r="AL42">
            <v>8608</v>
          </cell>
          <cell r="AM42">
            <v>0.37790427509293678</v>
          </cell>
          <cell r="AN42">
            <v>8980</v>
          </cell>
          <cell r="AO42">
            <v>0</v>
          </cell>
          <cell r="AP42">
            <v>0</v>
          </cell>
          <cell r="AQ42">
            <v>0</v>
          </cell>
          <cell r="AS42">
            <v>8980</v>
          </cell>
        </row>
        <row r="43">
          <cell r="B43" t="str">
            <v>AC</v>
          </cell>
          <cell r="C43" t="str">
            <v>DDP</v>
          </cell>
          <cell r="D43" t="str">
            <v>Oce</v>
          </cell>
          <cell r="E43" t="str">
            <v>08</v>
          </cell>
          <cell r="F43" t="str">
            <v>10/7/09</v>
          </cell>
          <cell r="G43" t="str">
            <v>10/7/09</v>
          </cell>
          <cell r="H43" t="str">
            <v>A1H80Y2</v>
          </cell>
          <cell r="I43" t="str">
            <v>3KMKEK502LIFK</v>
          </cell>
          <cell r="J43">
            <v>0</v>
          </cell>
          <cell r="K43" t="str">
            <v>Demo License Print Console 60 days</v>
          </cell>
          <cell r="L43">
            <v>640</v>
          </cell>
          <cell r="M43">
            <v>1</v>
          </cell>
          <cell r="N43">
            <v>1</v>
          </cell>
          <cell r="O43">
            <v>0.88235294117647056</v>
          </cell>
          <cell r="P43">
            <v>8.5</v>
          </cell>
          <cell r="Q43">
            <v>1.03</v>
          </cell>
          <cell r="R43">
            <v>1.1599999999999999</v>
          </cell>
          <cell r="S43">
            <v>10</v>
          </cell>
          <cell r="T43">
            <v>0.9</v>
          </cell>
          <cell r="U43">
            <v>7.7439999999999998</v>
          </cell>
          <cell r="V43">
            <v>0.87086776859504134</v>
          </cell>
          <cell r="W43">
            <v>8.5</v>
          </cell>
          <cell r="X43">
            <v>0.85</v>
          </cell>
          <cell r="Y43">
            <v>0</v>
          </cell>
          <cell r="Z43">
            <v>0</v>
          </cell>
          <cell r="AA43">
            <v>11</v>
          </cell>
          <cell r="AB43">
            <v>9</v>
          </cell>
          <cell r="AC43">
            <v>11</v>
          </cell>
          <cell r="AD43">
            <v>12</v>
          </cell>
          <cell r="AE43">
            <v>11.3</v>
          </cell>
          <cell r="AF43">
            <v>0.24778761061946908</v>
          </cell>
          <cell r="AG43">
            <v>0.91150442477876104</v>
          </cell>
          <cell r="AH43">
            <v>138</v>
          </cell>
          <cell r="AI43">
            <v>264</v>
          </cell>
          <cell r="AJ43">
            <v>0.96780303030303028</v>
          </cell>
          <cell r="AK43">
            <v>389.5</v>
          </cell>
          <cell r="AL43">
            <v>515</v>
          </cell>
          <cell r="AM43">
            <v>0.98349514563106799</v>
          </cell>
          <cell r="AN43">
            <v>640</v>
          </cell>
          <cell r="AO43">
            <v>0</v>
          </cell>
          <cell r="AP43">
            <v>0</v>
          </cell>
          <cell r="AQ43">
            <v>0</v>
          </cell>
          <cell r="AS43">
            <v>640</v>
          </cell>
        </row>
        <row r="44">
          <cell r="B44" t="str">
            <v>AC</v>
          </cell>
          <cell r="C44" t="str">
            <v>DDP</v>
          </cell>
          <cell r="D44" t="str">
            <v>Oce</v>
          </cell>
          <cell r="E44" t="str">
            <v>08</v>
          </cell>
          <cell r="F44" t="str">
            <v>10/7/09</v>
          </cell>
          <cell r="G44" t="str">
            <v>10/7/09</v>
          </cell>
          <cell r="H44" t="str">
            <v>A1H80Y3</v>
          </cell>
          <cell r="I44" t="str">
            <v>6KMPK501PUNKT_N</v>
          </cell>
          <cell r="J44" t="str">
            <v>x</v>
          </cell>
          <cell r="K44" t="str">
            <v>Yearly Maintenance Fee Print Console</v>
          </cell>
          <cell r="L44">
            <v>1780</v>
          </cell>
          <cell r="M44">
            <v>525</v>
          </cell>
          <cell r="N44">
            <v>525</v>
          </cell>
          <cell r="O44">
            <v>0.50980392156862742</v>
          </cell>
          <cell r="P44">
            <v>1071</v>
          </cell>
          <cell r="Q44">
            <v>540.29</v>
          </cell>
          <cell r="R44">
            <v>610.53</v>
          </cell>
          <cell r="S44">
            <v>1260</v>
          </cell>
          <cell r="T44">
            <v>0.58333333333333337</v>
          </cell>
          <cell r="U44">
            <v>975.74399999999991</v>
          </cell>
          <cell r="V44">
            <v>0.4619490358126721</v>
          </cell>
          <cell r="W44">
            <v>1071</v>
          </cell>
          <cell r="X44">
            <v>0.85</v>
          </cell>
          <cell r="Y44">
            <v>0</v>
          </cell>
          <cell r="Z44">
            <v>0</v>
          </cell>
          <cell r="AA44">
            <v>1395</v>
          </cell>
          <cell r="AB44">
            <v>1071</v>
          </cell>
          <cell r="AC44">
            <v>1307</v>
          </cell>
          <cell r="AD44">
            <v>1366</v>
          </cell>
          <cell r="AE44">
            <v>1423.8</v>
          </cell>
          <cell r="AF44">
            <v>0.247787610619469</v>
          </cell>
          <cell r="AG44">
            <v>0.63126843657817111</v>
          </cell>
          <cell r="AH44">
            <v>1496</v>
          </cell>
          <cell r="AI44">
            <v>1567</v>
          </cell>
          <cell r="AJ44">
            <v>0.31652839821314616</v>
          </cell>
          <cell r="AK44">
            <v>1638</v>
          </cell>
          <cell r="AL44">
            <v>1709</v>
          </cell>
          <cell r="AM44">
            <v>0.37331772966647164</v>
          </cell>
          <cell r="AN44">
            <v>1780</v>
          </cell>
          <cell r="AO44">
            <v>0</v>
          </cell>
          <cell r="AP44">
            <v>0</v>
          </cell>
          <cell r="AQ44">
            <v>0</v>
          </cell>
          <cell r="AS44">
            <v>1780</v>
          </cell>
        </row>
        <row r="45">
          <cell r="B45" t="str">
            <v>AC</v>
          </cell>
          <cell r="C45" t="str">
            <v>IMP</v>
          </cell>
          <cell r="D45" t="str">
            <v>BT</v>
          </cell>
          <cell r="E45" t="str">
            <v>08</v>
          </cell>
          <cell r="F45">
            <v>39924</v>
          </cell>
          <cell r="G45">
            <v>40056</v>
          </cell>
          <cell r="H45" t="str">
            <v>4614506</v>
          </cell>
          <cell r="I45" t="str">
            <v>3KMHSP501FSU</v>
          </cell>
          <cell r="J45">
            <v>0</v>
          </cell>
          <cell r="K45" t="str">
            <v>SP-501 Fax Stamp Unit</v>
          </cell>
          <cell r="L45">
            <v>45</v>
          </cell>
          <cell r="M45">
            <v>12</v>
          </cell>
          <cell r="N45">
            <v>12.48</v>
          </cell>
          <cell r="O45">
            <v>0.32173913043478253</v>
          </cell>
          <cell r="P45">
            <v>18.399999999999999</v>
          </cell>
          <cell r="Q45">
            <v>12.72</v>
          </cell>
          <cell r="R45">
            <v>14.37</v>
          </cell>
          <cell r="S45">
            <v>23</v>
          </cell>
          <cell r="T45">
            <v>0.45739130434782604</v>
          </cell>
          <cell r="U45">
            <v>17.811199999999999</v>
          </cell>
          <cell r="V45">
            <v>0.29931728350700676</v>
          </cell>
          <cell r="W45">
            <v>18.399999999999999</v>
          </cell>
          <cell r="X45">
            <v>0.79999999999999993</v>
          </cell>
          <cell r="Y45">
            <v>0</v>
          </cell>
          <cell r="Z45">
            <v>0</v>
          </cell>
          <cell r="AA45">
            <v>22</v>
          </cell>
          <cell r="AB45">
            <v>18.399999999999999</v>
          </cell>
          <cell r="AC45">
            <v>20.440000000000001</v>
          </cell>
          <cell r="AD45">
            <v>21.58</v>
          </cell>
          <cell r="AE45">
            <v>22.72</v>
          </cell>
          <cell r="AF45">
            <v>0.19014084507042256</v>
          </cell>
          <cell r="AG45">
            <v>0.45070422535211263</v>
          </cell>
          <cell r="AH45">
            <v>25.26</v>
          </cell>
          <cell r="AI45">
            <v>27.79</v>
          </cell>
          <cell r="AJ45">
            <v>0.33789132781576109</v>
          </cell>
          <cell r="AK45">
            <v>30.33</v>
          </cell>
          <cell r="AL45">
            <v>32.86</v>
          </cell>
          <cell r="AM45">
            <v>0.44004869141813757</v>
          </cell>
          <cell r="AN45">
            <v>35.9</v>
          </cell>
          <cell r="AO45">
            <v>38.94</v>
          </cell>
          <cell r="AP45">
            <v>41.98</v>
          </cell>
          <cell r="AQ45">
            <v>0</v>
          </cell>
          <cell r="AS45">
            <v>45</v>
          </cell>
        </row>
        <row r="46">
          <cell r="B46" t="str">
            <v>AC</v>
          </cell>
          <cell r="C46" t="str">
            <v>DOM</v>
          </cell>
          <cell r="D46" t="str">
            <v>BT</v>
          </cell>
          <cell r="E46" t="str">
            <v>P3</v>
          </cell>
          <cell r="F46">
            <v>39924</v>
          </cell>
          <cell r="G46">
            <v>40001</v>
          </cell>
          <cell r="H46" t="str">
            <v>A0360Y0</v>
          </cell>
          <cell r="I46" t="str">
            <v>4KMIC408EMBFC_N</v>
          </cell>
          <cell r="J46">
            <v>0</v>
          </cell>
          <cell r="K46" t="str">
            <v>IC-408 EFI embedded controller</v>
          </cell>
          <cell r="L46">
            <v>8190</v>
          </cell>
          <cell r="M46">
            <v>3524</v>
          </cell>
          <cell r="N46">
            <v>3629.7200000000003</v>
          </cell>
          <cell r="O46">
            <v>-0.17647058823529413</v>
          </cell>
          <cell r="P46">
            <v>3085.2620000000002</v>
          </cell>
          <cell r="Q46">
            <v>3735.44</v>
          </cell>
          <cell r="R46">
            <v>4221.05</v>
          </cell>
          <cell r="S46">
            <v>4583.3</v>
          </cell>
          <cell r="T46">
            <v>0.20805533131150042</v>
          </cell>
          <cell r="U46">
            <v>3941.6379999999999</v>
          </cell>
          <cell r="V46">
            <v>7.9134106176163233E-2</v>
          </cell>
          <cell r="W46">
            <v>3085.2620000000002</v>
          </cell>
          <cell r="X46">
            <v>0.67315296838522465</v>
          </cell>
          <cell r="Y46">
            <v>0</v>
          </cell>
          <cell r="Z46">
            <v>0</v>
          </cell>
          <cell r="AA46">
            <v>3733</v>
          </cell>
          <cell r="AB46">
            <v>3086</v>
          </cell>
          <cell r="AC46">
            <v>3429</v>
          </cell>
          <cell r="AD46">
            <v>3619</v>
          </cell>
          <cell r="AE46">
            <v>3808.97</v>
          </cell>
          <cell r="AF46">
            <v>0.19000097139121591</v>
          </cell>
          <cell r="AG46">
            <v>4.7059966342606938E-2</v>
          </cell>
          <cell r="AH46">
            <v>3886</v>
          </cell>
          <cell r="AI46">
            <v>3962</v>
          </cell>
          <cell r="AJ46">
            <v>0.22128672387682985</v>
          </cell>
          <cell r="AK46">
            <v>4038</v>
          </cell>
          <cell r="AL46">
            <v>4114</v>
          </cell>
          <cell r="AM46">
            <v>0.25005785123966939</v>
          </cell>
          <cell r="AN46">
            <v>4692.41</v>
          </cell>
          <cell r="AO46">
            <v>5270.82</v>
          </cell>
          <cell r="AP46">
            <v>5849.23</v>
          </cell>
          <cell r="AQ46">
            <v>0</v>
          </cell>
          <cell r="AR46">
            <v>308</v>
          </cell>
          <cell r="AS46">
            <v>8190</v>
          </cell>
        </row>
        <row r="47">
          <cell r="B47" t="str">
            <v>AC</v>
          </cell>
          <cell r="C47" t="str">
            <v>DOM</v>
          </cell>
          <cell r="D47" t="str">
            <v>BT</v>
          </cell>
          <cell r="E47" t="str">
            <v>08</v>
          </cell>
          <cell r="F47">
            <v>39924</v>
          </cell>
          <cell r="G47">
            <v>40001</v>
          </cell>
          <cell r="H47" t="str">
            <v>A036WW0</v>
          </cell>
          <cell r="I47" t="str">
            <v>4KMIC408EMBFC_N</v>
          </cell>
          <cell r="J47">
            <v>0</v>
          </cell>
          <cell r="K47" t="str">
            <v>IC-408 EFI embedded controller</v>
          </cell>
          <cell r="L47">
            <v>8190</v>
          </cell>
          <cell r="M47">
            <v>3524</v>
          </cell>
          <cell r="N47">
            <v>3629.7200000000003</v>
          </cell>
          <cell r="O47">
            <v>1.0069164139375456E-2</v>
          </cell>
          <cell r="P47">
            <v>3666.64</v>
          </cell>
          <cell r="Q47">
            <v>3735.44</v>
          </cell>
          <cell r="R47">
            <v>4221.05</v>
          </cell>
          <cell r="S47">
            <v>4583.3</v>
          </cell>
          <cell r="T47">
            <v>0.20805533131150042</v>
          </cell>
          <cell r="U47">
            <v>3941.6379999999999</v>
          </cell>
          <cell r="V47">
            <v>7.9134106176163233E-2</v>
          </cell>
          <cell r="W47">
            <v>3666.64</v>
          </cell>
          <cell r="X47">
            <v>0.79999999999999993</v>
          </cell>
          <cell r="Y47">
            <v>0</v>
          </cell>
          <cell r="Z47">
            <v>0</v>
          </cell>
          <cell r="AA47">
            <v>4436</v>
          </cell>
          <cell r="AB47">
            <v>3667</v>
          </cell>
          <cell r="AC47">
            <v>4075</v>
          </cell>
          <cell r="AD47">
            <v>4301</v>
          </cell>
          <cell r="AE47">
            <v>4526.72</v>
          </cell>
          <cell r="AF47">
            <v>0.19000070691361523</v>
          </cell>
          <cell r="AG47">
            <v>0.19815672274848012</v>
          </cell>
          <cell r="AH47">
            <v>5033</v>
          </cell>
          <cell r="AI47">
            <v>5538</v>
          </cell>
          <cell r="AJ47">
            <v>0.33791260382809679</v>
          </cell>
          <cell r="AK47">
            <v>6043</v>
          </cell>
          <cell r="AL47">
            <v>6548</v>
          </cell>
          <cell r="AM47">
            <v>0.44003665241295054</v>
          </cell>
          <cell r="AN47">
            <v>6958.5</v>
          </cell>
          <cell r="AO47">
            <v>7369</v>
          </cell>
          <cell r="AP47">
            <v>7779.5</v>
          </cell>
          <cell r="AQ47">
            <v>0</v>
          </cell>
          <cell r="AS47">
            <v>8190</v>
          </cell>
        </row>
        <row r="48">
          <cell r="B48" t="str">
            <v>AC</v>
          </cell>
          <cell r="C48" t="str">
            <v>DOM</v>
          </cell>
          <cell r="D48" t="str">
            <v>BT</v>
          </cell>
          <cell r="E48" t="str">
            <v>P3</v>
          </cell>
          <cell r="F48">
            <v>39924</v>
          </cell>
          <cell r="G48">
            <v>40001</v>
          </cell>
          <cell r="H48" t="str">
            <v>A074WY0</v>
          </cell>
          <cell r="I48" t="str">
            <v>4KMGMIC409_N</v>
          </cell>
          <cell r="J48" t="str">
            <v>x</v>
          </cell>
          <cell r="K48" t="str">
            <v>IC-409 EFI Fiery Embedded Controller</v>
          </cell>
          <cell r="L48">
            <v>4158</v>
          </cell>
          <cell r="M48">
            <v>2193</v>
          </cell>
          <cell r="N48">
            <v>2258.79</v>
          </cell>
          <cell r="O48">
            <v>-0.17647058823529418</v>
          </cell>
          <cell r="P48">
            <v>1919.9714999999999</v>
          </cell>
          <cell r="Q48">
            <v>2324.58</v>
          </cell>
          <cell r="R48">
            <v>2626.78</v>
          </cell>
          <cell r="S48">
            <v>2572.5</v>
          </cell>
          <cell r="T48">
            <v>0.12194752186588922</v>
          </cell>
          <cell r="U48">
            <v>2258.79</v>
          </cell>
          <cell r="V48">
            <v>0</v>
          </cell>
          <cell r="W48">
            <v>1919.9714999999999</v>
          </cell>
          <cell r="X48">
            <v>0.74634460641399414</v>
          </cell>
          <cell r="Y48">
            <v>0</v>
          </cell>
          <cell r="Z48">
            <v>0</v>
          </cell>
          <cell r="AA48">
            <v>2323</v>
          </cell>
          <cell r="AB48">
            <v>1920</v>
          </cell>
          <cell r="AC48">
            <v>2134</v>
          </cell>
          <cell r="AD48">
            <v>2253</v>
          </cell>
          <cell r="AE48">
            <v>2370.34</v>
          </cell>
          <cell r="AF48">
            <v>0.19000164533358094</v>
          </cell>
          <cell r="AG48">
            <v>4.7060759215977528E-2</v>
          </cell>
          <cell r="AH48">
            <v>2419</v>
          </cell>
          <cell r="AI48">
            <v>2466</v>
          </cell>
          <cell r="AJ48">
            <v>0.22142274939172754</v>
          </cell>
          <cell r="AK48">
            <v>2513</v>
          </cell>
          <cell r="AL48">
            <v>2560</v>
          </cell>
          <cell r="AM48">
            <v>0.25001113281250004</v>
          </cell>
          <cell r="AN48">
            <v>2919.99</v>
          </cell>
          <cell r="AO48">
            <v>3279.98</v>
          </cell>
          <cell r="AP48">
            <v>3639.97</v>
          </cell>
          <cell r="AQ48">
            <v>0</v>
          </cell>
          <cell r="AS48">
            <v>4158</v>
          </cell>
        </row>
        <row r="49">
          <cell r="B49" t="str">
            <v>AC</v>
          </cell>
          <cell r="C49" t="str">
            <v>DOM</v>
          </cell>
          <cell r="D49" t="str">
            <v>BT</v>
          </cell>
          <cell r="E49" t="str">
            <v>P3</v>
          </cell>
          <cell r="F49">
            <v>39924</v>
          </cell>
          <cell r="G49">
            <v>40001</v>
          </cell>
          <cell r="H49" t="str">
            <v>A074WY1</v>
          </cell>
          <cell r="I49" t="str">
            <v>4KMIC409_N</v>
          </cell>
          <cell r="J49" t="str">
            <v>x</v>
          </cell>
          <cell r="K49" t="str">
            <v>IC-409 EFI Fiery Embedded Controller</v>
          </cell>
          <cell r="L49">
            <v>4158</v>
          </cell>
          <cell r="M49">
            <v>2193</v>
          </cell>
          <cell r="N49">
            <v>2258.79</v>
          </cell>
          <cell r="O49">
            <v>-0.17647058823529418</v>
          </cell>
          <cell r="P49">
            <v>1919.9714999999999</v>
          </cell>
          <cell r="Q49">
            <v>2324.58</v>
          </cell>
          <cell r="R49">
            <v>2626.78</v>
          </cell>
          <cell r="S49">
            <v>2572.5</v>
          </cell>
          <cell r="T49">
            <v>0.12194752186588922</v>
          </cell>
          <cell r="U49">
            <v>2258.79</v>
          </cell>
          <cell r="V49">
            <v>0</v>
          </cell>
          <cell r="W49">
            <v>1919.9714999999999</v>
          </cell>
          <cell r="X49">
            <v>0.74634460641399414</v>
          </cell>
          <cell r="Y49">
            <v>0</v>
          </cell>
          <cell r="Z49">
            <v>0</v>
          </cell>
          <cell r="AA49">
            <v>2323</v>
          </cell>
          <cell r="AB49">
            <v>1920</v>
          </cell>
          <cell r="AC49">
            <v>2134</v>
          </cell>
          <cell r="AD49">
            <v>2253</v>
          </cell>
          <cell r="AE49">
            <v>2370.34</v>
          </cell>
          <cell r="AF49">
            <v>0.19000164533358094</v>
          </cell>
          <cell r="AG49">
            <v>4.7060759215977528E-2</v>
          </cell>
          <cell r="AH49">
            <v>2419</v>
          </cell>
          <cell r="AI49">
            <v>2466</v>
          </cell>
          <cell r="AJ49">
            <v>0.22142274939172754</v>
          </cell>
          <cell r="AK49">
            <v>2513</v>
          </cell>
          <cell r="AL49">
            <v>2560</v>
          </cell>
          <cell r="AM49">
            <v>0.25001113281250004</v>
          </cell>
          <cell r="AN49">
            <v>2919.99</v>
          </cell>
          <cell r="AO49">
            <v>3279.98</v>
          </cell>
          <cell r="AP49">
            <v>3639.97</v>
          </cell>
          <cell r="AQ49">
            <v>0</v>
          </cell>
          <cell r="AS49">
            <v>4158</v>
          </cell>
        </row>
        <row r="50">
          <cell r="B50" t="str">
            <v>AC</v>
          </cell>
          <cell r="C50" t="str">
            <v>DOM</v>
          </cell>
          <cell r="D50" t="str">
            <v>BT</v>
          </cell>
          <cell r="E50" t="str">
            <v>08</v>
          </cell>
          <cell r="F50">
            <v>39924</v>
          </cell>
          <cell r="G50">
            <v>40115</v>
          </cell>
          <cell r="H50" t="str">
            <v>A0MD0Y0</v>
          </cell>
          <cell r="I50" t="str">
            <v>4KMA0MD0Y0_N</v>
          </cell>
          <cell r="J50" t="str">
            <v>DNU</v>
          </cell>
          <cell r="K50" t="str">
            <v>IC-305 EFI External Fiery</v>
          </cell>
          <cell r="L50">
            <v>24150</v>
          </cell>
          <cell r="M50">
            <v>9384</v>
          </cell>
          <cell r="N50">
            <v>9665.52</v>
          </cell>
          <cell r="O50">
            <v>0</v>
          </cell>
          <cell r="P50">
            <v>9665.52</v>
          </cell>
          <cell r="Q50">
            <v>9947.0400000000009</v>
          </cell>
          <cell r="R50">
            <v>11240.16</v>
          </cell>
          <cell r="S50">
            <v>11712.8</v>
          </cell>
          <cell r="T50">
            <v>0.17478997336247515</v>
          </cell>
          <cell r="U50">
            <v>10073.008</v>
          </cell>
          <cell r="V50">
            <v>4.0453457398226964E-2</v>
          </cell>
          <cell r="W50">
            <v>9665.52</v>
          </cell>
          <cell r="X50">
            <v>0.82521002663752485</v>
          </cell>
          <cell r="Y50">
            <v>0</v>
          </cell>
          <cell r="Z50">
            <v>0</v>
          </cell>
          <cell r="AA50">
            <v>11694</v>
          </cell>
          <cell r="AB50">
            <v>9666</v>
          </cell>
          <cell r="AC50">
            <v>10740</v>
          </cell>
          <cell r="AD50">
            <v>11337</v>
          </cell>
          <cell r="AE50">
            <v>11932.74</v>
          </cell>
          <cell r="AF50">
            <v>0.1899999497181703</v>
          </cell>
          <cell r="AG50">
            <v>0.1899999497181703</v>
          </cell>
          <cell r="AH50">
            <v>13265</v>
          </cell>
          <cell r="AI50">
            <v>14597</v>
          </cell>
          <cell r="AJ50">
            <v>0.33784202233335614</v>
          </cell>
          <cell r="AK50">
            <v>15928.5</v>
          </cell>
          <cell r="AL50">
            <v>17260</v>
          </cell>
          <cell r="AM50">
            <v>0.44000463499420622</v>
          </cell>
          <cell r="AN50">
            <v>18982.5</v>
          </cell>
          <cell r="AO50">
            <v>20705</v>
          </cell>
          <cell r="AP50">
            <v>22427.5</v>
          </cell>
          <cell r="AQ50">
            <v>0</v>
          </cell>
          <cell r="AS50">
            <v>24150</v>
          </cell>
        </row>
        <row r="51">
          <cell r="B51" t="str">
            <v>AC</v>
          </cell>
          <cell r="C51" t="str">
            <v>DOM</v>
          </cell>
          <cell r="D51" t="str">
            <v>BT</v>
          </cell>
          <cell r="E51" t="str">
            <v>08</v>
          </cell>
          <cell r="F51">
            <v>39924</v>
          </cell>
          <cell r="G51">
            <v>40115</v>
          </cell>
          <cell r="H51" t="str">
            <v>A0MDWW0</v>
          </cell>
          <cell r="I51" t="str">
            <v>4KMA0MD0Y0_N</v>
          </cell>
          <cell r="J51">
            <v>0</v>
          </cell>
          <cell r="K51" t="str">
            <v>IC-305 EFI External Fiery</v>
          </cell>
          <cell r="L51">
            <v>24150</v>
          </cell>
          <cell r="M51">
            <v>9384</v>
          </cell>
          <cell r="N51">
            <v>9665.52</v>
          </cell>
          <cell r="O51">
            <v>0</v>
          </cell>
          <cell r="P51">
            <v>9665.52</v>
          </cell>
          <cell r="Q51">
            <v>9947.0400000000009</v>
          </cell>
          <cell r="R51">
            <v>11240.16</v>
          </cell>
          <cell r="S51">
            <v>11712.8</v>
          </cell>
          <cell r="T51">
            <v>0.17478997336247515</v>
          </cell>
          <cell r="U51">
            <v>10073.008</v>
          </cell>
          <cell r="V51">
            <v>4.0453457398226964E-2</v>
          </cell>
          <cell r="W51">
            <v>9665.52</v>
          </cell>
          <cell r="X51">
            <v>0.82521002663752485</v>
          </cell>
          <cell r="Y51">
            <v>0</v>
          </cell>
          <cell r="Z51">
            <v>0</v>
          </cell>
          <cell r="AA51">
            <v>11694</v>
          </cell>
          <cell r="AB51">
            <v>9666</v>
          </cell>
          <cell r="AC51">
            <v>10740</v>
          </cell>
          <cell r="AD51">
            <v>11337</v>
          </cell>
          <cell r="AE51">
            <v>11932.74</v>
          </cell>
          <cell r="AF51">
            <v>0.1899999497181703</v>
          </cell>
          <cell r="AG51">
            <v>0.1899999497181703</v>
          </cell>
          <cell r="AH51">
            <v>13265</v>
          </cell>
          <cell r="AI51">
            <v>14597</v>
          </cell>
          <cell r="AJ51">
            <v>0.33784202233335614</v>
          </cell>
          <cell r="AK51">
            <v>15928.5</v>
          </cell>
          <cell r="AL51">
            <v>17260</v>
          </cell>
          <cell r="AM51">
            <v>0.44000463499420622</v>
          </cell>
          <cell r="AN51">
            <v>18982.5</v>
          </cell>
          <cell r="AO51">
            <v>20705</v>
          </cell>
          <cell r="AP51">
            <v>22427.5</v>
          </cell>
          <cell r="AQ51">
            <v>0</v>
          </cell>
          <cell r="AS51">
            <v>24150</v>
          </cell>
        </row>
        <row r="52">
          <cell r="B52" t="str">
            <v>AC</v>
          </cell>
          <cell r="C52" t="str">
            <v>DOM</v>
          </cell>
          <cell r="D52" t="str">
            <v>BT</v>
          </cell>
          <cell r="E52" t="str">
            <v>08</v>
          </cell>
          <cell r="F52">
            <v>39924</v>
          </cell>
          <cell r="G52">
            <v>40001</v>
          </cell>
          <cell r="H52" t="str">
            <v>A127WY1</v>
          </cell>
          <cell r="I52" t="str">
            <v>3KMHIC412_</v>
          </cell>
          <cell r="J52">
            <v>0</v>
          </cell>
          <cell r="K52" t="str">
            <v>IC-412 Image Controller (EFI Fiery Controller)</v>
          </cell>
          <cell r="L52">
            <v>4158</v>
          </cell>
          <cell r="M52">
            <v>2193</v>
          </cell>
          <cell r="N52">
            <v>2258.79</v>
          </cell>
          <cell r="O52">
            <v>0</v>
          </cell>
          <cell r="P52">
            <v>2258.79</v>
          </cell>
          <cell r="Q52">
            <v>2324.58</v>
          </cell>
          <cell r="R52">
            <v>2626.78</v>
          </cell>
          <cell r="S52">
            <v>2572.5</v>
          </cell>
          <cell r="T52">
            <v>0.12194752186588922</v>
          </cell>
          <cell r="U52">
            <v>2258.79</v>
          </cell>
          <cell r="V52">
            <v>0</v>
          </cell>
          <cell r="W52">
            <v>2258.79</v>
          </cell>
          <cell r="X52">
            <v>0.8780524781341108</v>
          </cell>
          <cell r="Y52">
            <v>0</v>
          </cell>
          <cell r="Z52">
            <v>0</v>
          </cell>
          <cell r="AA52">
            <v>2733</v>
          </cell>
          <cell r="AB52">
            <v>2259</v>
          </cell>
          <cell r="AC52">
            <v>2510</v>
          </cell>
          <cell r="AD52">
            <v>2650</v>
          </cell>
          <cell r="AE52">
            <v>2788.63</v>
          </cell>
          <cell r="AF52">
            <v>0.19000010757970764</v>
          </cell>
          <cell r="AG52">
            <v>0.19000010757970764</v>
          </cell>
          <cell r="AH52">
            <v>3101</v>
          </cell>
          <cell r="AI52">
            <v>3412</v>
          </cell>
          <cell r="AJ52">
            <v>0.3379865181711606</v>
          </cell>
          <cell r="AK52">
            <v>3723</v>
          </cell>
          <cell r="AL52">
            <v>4034</v>
          </cell>
          <cell r="AM52">
            <v>0.44006197322756568</v>
          </cell>
          <cell r="AN52">
            <v>4065</v>
          </cell>
          <cell r="AO52">
            <v>4096</v>
          </cell>
          <cell r="AP52">
            <v>4127</v>
          </cell>
          <cell r="AQ52">
            <v>0</v>
          </cell>
          <cell r="AR52">
            <v>200</v>
          </cell>
          <cell r="AS52">
            <v>4158</v>
          </cell>
        </row>
        <row r="53">
          <cell r="B53" t="str">
            <v>AC</v>
          </cell>
          <cell r="C53" t="str">
            <v>DOM</v>
          </cell>
          <cell r="D53" t="str">
            <v>BT</v>
          </cell>
          <cell r="E53" t="str">
            <v>P3</v>
          </cell>
          <cell r="F53">
            <v>39934</v>
          </cell>
          <cell r="G53">
            <v>40001</v>
          </cell>
          <cell r="H53" t="str">
            <v>A0350Y0</v>
          </cell>
          <cell r="I53" t="str">
            <v>3KMHDK701</v>
          </cell>
          <cell r="J53">
            <v>0</v>
          </cell>
          <cell r="K53" t="str">
            <v>IC-303 External Fiery Image Controller</v>
          </cell>
          <cell r="L53">
            <v>23000</v>
          </cell>
          <cell r="M53">
            <v>9200</v>
          </cell>
          <cell r="N53">
            <v>9476</v>
          </cell>
          <cell r="O53">
            <v>-0.17647058823529418</v>
          </cell>
          <cell r="P53">
            <v>8054.5999999999995</v>
          </cell>
          <cell r="Q53">
            <v>9752</v>
          </cell>
          <cell r="R53">
            <v>11019.76</v>
          </cell>
          <cell r="S53">
            <v>11500</v>
          </cell>
          <cell r="T53">
            <v>0.17599999999999999</v>
          </cell>
          <cell r="U53">
            <v>9890</v>
          </cell>
          <cell r="V53">
            <v>4.1860465116279069E-2</v>
          </cell>
          <cell r="W53">
            <v>8054.5999999999995</v>
          </cell>
          <cell r="X53">
            <v>0.70039999999999991</v>
          </cell>
          <cell r="Y53">
            <v>0</v>
          </cell>
          <cell r="Z53">
            <v>0</v>
          </cell>
          <cell r="AA53">
            <v>9745</v>
          </cell>
          <cell r="AB53">
            <v>8055</v>
          </cell>
          <cell r="AC53">
            <v>8950</v>
          </cell>
          <cell r="AD53">
            <v>9447</v>
          </cell>
          <cell r="AE53">
            <v>9943.9500000000007</v>
          </cell>
          <cell r="AF53">
            <v>0.18999994971817047</v>
          </cell>
          <cell r="AG53">
            <v>4.7058764374318121E-2</v>
          </cell>
          <cell r="AH53">
            <v>10143</v>
          </cell>
          <cell r="AI53">
            <v>10342</v>
          </cell>
          <cell r="AJ53">
            <v>0.22117578804873336</v>
          </cell>
          <cell r="AK53">
            <v>10541</v>
          </cell>
          <cell r="AL53">
            <v>10740</v>
          </cell>
          <cell r="AM53">
            <v>0.25003724394785853</v>
          </cell>
          <cell r="AN53">
            <v>12250.1</v>
          </cell>
          <cell r="AO53">
            <v>13760.2</v>
          </cell>
          <cell r="AP53">
            <v>15270.3</v>
          </cell>
          <cell r="AQ53">
            <v>0</v>
          </cell>
          <cell r="AS53">
            <v>23000</v>
          </cell>
        </row>
        <row r="54">
          <cell r="B54" t="str">
            <v>AC</v>
          </cell>
          <cell r="C54" t="str">
            <v>DOM</v>
          </cell>
          <cell r="D54" t="str">
            <v>BT</v>
          </cell>
          <cell r="E54" t="str">
            <v>P3</v>
          </cell>
          <cell r="F54">
            <v>39990</v>
          </cell>
          <cell r="G54">
            <v>40001</v>
          </cell>
          <cell r="H54" t="str">
            <v>20BB</v>
          </cell>
          <cell r="I54" t="str">
            <v>6KMPF502_N</v>
          </cell>
          <cell r="J54">
            <v>0</v>
          </cell>
          <cell r="K54" t="str">
            <v>IP-901 System 6.0 - ver. 2</v>
          </cell>
          <cell r="L54">
            <v>23000</v>
          </cell>
          <cell r="M54">
            <v>82</v>
          </cell>
          <cell r="N54">
            <v>9476</v>
          </cell>
          <cell r="O54">
            <v>0.15396825396825392</v>
          </cell>
          <cell r="P54">
            <v>100.8</v>
          </cell>
          <cell r="Q54">
            <v>86.92</v>
          </cell>
          <cell r="R54">
            <v>98.22</v>
          </cell>
          <cell r="S54">
            <v>126</v>
          </cell>
          <cell r="T54">
            <v>0.32317460317460317</v>
          </cell>
          <cell r="U54">
            <v>97.574399999999997</v>
          </cell>
          <cell r="V54">
            <v>0.12600026236389869</v>
          </cell>
          <cell r="W54">
            <v>8054.5999999999995</v>
          </cell>
          <cell r="X54">
            <v>0.79999999999999993</v>
          </cell>
          <cell r="Y54">
            <v>0</v>
          </cell>
          <cell r="Z54">
            <v>0</v>
          </cell>
          <cell r="AA54">
            <v>122</v>
          </cell>
          <cell r="AB54">
            <v>8055</v>
          </cell>
          <cell r="AC54">
            <v>8950</v>
          </cell>
          <cell r="AD54">
            <v>9447</v>
          </cell>
          <cell r="AE54">
            <v>9943.9500000000007</v>
          </cell>
          <cell r="AF54">
            <v>0.18999994971817047</v>
          </cell>
          <cell r="AG54">
            <v>4.7058764374318121E-2</v>
          </cell>
          <cell r="AH54">
            <v>10143</v>
          </cell>
          <cell r="AI54">
            <v>10342</v>
          </cell>
          <cell r="AJ54">
            <v>0.22117578804873336</v>
          </cell>
          <cell r="AK54">
            <v>10541</v>
          </cell>
          <cell r="AL54">
            <v>10740</v>
          </cell>
          <cell r="AM54">
            <v>0.25003724394785853</v>
          </cell>
          <cell r="AN54">
            <v>12250.1</v>
          </cell>
          <cell r="AO54">
            <v>13760.2</v>
          </cell>
          <cell r="AP54">
            <v>15270.3</v>
          </cell>
          <cell r="AQ54">
            <v>0</v>
          </cell>
          <cell r="AS54">
            <v>23000</v>
          </cell>
        </row>
        <row r="55">
          <cell r="B55" t="str">
            <v>AC</v>
          </cell>
          <cell r="C55" t="str">
            <v>DOM</v>
          </cell>
          <cell r="D55" t="str">
            <v>BT</v>
          </cell>
          <cell r="E55" t="str">
            <v>P3</v>
          </cell>
          <cell r="F55">
            <v>39990</v>
          </cell>
          <cell r="G55">
            <v>40001</v>
          </cell>
          <cell r="H55" t="str">
            <v>20EY</v>
          </cell>
          <cell r="I55" t="str">
            <v>3KMCMB501</v>
          </cell>
          <cell r="J55">
            <v>0</v>
          </cell>
          <cell r="K55" t="str">
            <v>IP-921 (Embedded Fiery Contoller for the CF5001/8050) (1)</v>
          </cell>
          <cell r="L55">
            <v>7000</v>
          </cell>
          <cell r="M55">
            <v>51</v>
          </cell>
          <cell r="N55">
            <v>3605</v>
          </cell>
          <cell r="O55">
            <v>0.22</v>
          </cell>
          <cell r="P55">
            <v>68</v>
          </cell>
          <cell r="Q55">
            <v>54.06</v>
          </cell>
          <cell r="R55">
            <v>61.09</v>
          </cell>
          <cell r="S55">
            <v>85</v>
          </cell>
          <cell r="T55">
            <v>0.376</v>
          </cell>
          <cell r="U55">
            <v>65.823999999999998</v>
          </cell>
          <cell r="V55">
            <v>0.19421487603305784</v>
          </cell>
          <cell r="W55">
            <v>3064.25</v>
          </cell>
          <cell r="X55">
            <v>0.8</v>
          </cell>
          <cell r="Y55">
            <v>0</v>
          </cell>
          <cell r="Z55">
            <v>0</v>
          </cell>
          <cell r="AA55">
            <v>82</v>
          </cell>
          <cell r="AB55">
            <v>3065</v>
          </cell>
          <cell r="AC55">
            <v>3405</v>
          </cell>
          <cell r="AD55">
            <v>3595</v>
          </cell>
          <cell r="AE55">
            <v>3783.02</v>
          </cell>
          <cell r="AF55">
            <v>0.18999899551152252</v>
          </cell>
          <cell r="AG55">
            <v>4.7057641778261806E-2</v>
          </cell>
          <cell r="AH55">
            <v>3860</v>
          </cell>
          <cell r="AI55">
            <v>3935</v>
          </cell>
          <cell r="AJ55">
            <v>0.2212833545108005</v>
          </cell>
          <cell r="AK55">
            <v>4010.5</v>
          </cell>
          <cell r="AL55">
            <v>4086</v>
          </cell>
          <cell r="AM55">
            <v>0.25006118453255016</v>
          </cell>
          <cell r="AN55">
            <v>4660.46</v>
          </cell>
          <cell r="AO55">
            <v>5234.92</v>
          </cell>
          <cell r="AP55">
            <v>5809.38</v>
          </cell>
          <cell r="AQ55">
            <v>0</v>
          </cell>
          <cell r="AS55">
            <v>7000</v>
          </cell>
        </row>
        <row r="56">
          <cell r="B56" t="str">
            <v>AC</v>
          </cell>
          <cell r="C56" t="str">
            <v>DOM</v>
          </cell>
          <cell r="D56" t="str">
            <v>BT</v>
          </cell>
          <cell r="E56" t="str">
            <v>P3</v>
          </cell>
          <cell r="F56">
            <v>39990</v>
          </cell>
          <cell r="G56">
            <v>40001</v>
          </cell>
          <cell r="H56" t="str">
            <v>20EY</v>
          </cell>
          <cell r="I56" t="str">
            <v>7KMADF502_N</v>
          </cell>
          <cell r="J56">
            <v>0</v>
          </cell>
          <cell r="K56" t="str">
            <v>IP-921 (Embedded Fiery Contoller for the CF5001/8050) (1)</v>
          </cell>
          <cell r="L56">
            <v>7000</v>
          </cell>
          <cell r="M56">
            <v>168</v>
          </cell>
          <cell r="N56">
            <v>3605</v>
          </cell>
          <cell r="O56">
            <v>0.18689501116902457</v>
          </cell>
          <cell r="P56">
            <v>214.88</v>
          </cell>
          <cell r="Q56">
            <v>178.08</v>
          </cell>
          <cell r="R56">
            <v>201.23</v>
          </cell>
          <cell r="S56">
            <v>268.60000000000002</v>
          </cell>
          <cell r="T56">
            <v>0.34951600893521972</v>
          </cell>
          <cell r="U56">
            <v>208.00384000000003</v>
          </cell>
          <cell r="V56">
            <v>0.16001550740601722</v>
          </cell>
          <cell r="W56">
            <v>3064.25</v>
          </cell>
          <cell r="X56">
            <v>0.79999999999999993</v>
          </cell>
          <cell r="Y56">
            <v>0</v>
          </cell>
          <cell r="Z56">
            <v>0</v>
          </cell>
          <cell r="AA56">
            <v>260</v>
          </cell>
          <cell r="AB56">
            <v>3065</v>
          </cell>
          <cell r="AC56">
            <v>3405</v>
          </cell>
          <cell r="AD56">
            <v>3595</v>
          </cell>
          <cell r="AE56">
            <v>3783.02</v>
          </cell>
          <cell r="AF56">
            <v>0.18999899551152252</v>
          </cell>
          <cell r="AG56">
            <v>4.7057641778261806E-2</v>
          </cell>
          <cell r="AH56">
            <v>3860</v>
          </cell>
          <cell r="AI56">
            <v>3935</v>
          </cell>
          <cell r="AJ56">
            <v>0.2212833545108005</v>
          </cell>
          <cell r="AK56">
            <v>4010.5</v>
          </cell>
          <cell r="AL56">
            <v>4086</v>
          </cell>
          <cell r="AM56">
            <v>0.25006118453255016</v>
          </cell>
          <cell r="AN56">
            <v>4660.46</v>
          </cell>
          <cell r="AO56">
            <v>5234.92</v>
          </cell>
          <cell r="AP56">
            <v>5809.38</v>
          </cell>
          <cell r="AQ56">
            <v>0</v>
          </cell>
          <cell r="AS56">
            <v>7000</v>
          </cell>
        </row>
        <row r="57">
          <cell r="B57" t="str">
            <v>AC</v>
          </cell>
          <cell r="C57" t="str">
            <v>DOM</v>
          </cell>
          <cell r="D57" t="str">
            <v>BT</v>
          </cell>
          <cell r="E57" t="str">
            <v>P3</v>
          </cell>
          <cell r="F57">
            <v>39990</v>
          </cell>
          <cell r="G57">
            <v>40001</v>
          </cell>
          <cell r="H57" t="str">
            <v>20FG</v>
          </cell>
          <cell r="I57" t="str">
            <v>3KMCJS503</v>
          </cell>
          <cell r="J57">
            <v>0</v>
          </cell>
          <cell r="K57" t="str">
            <v>IC-405 Embedded Image Controller w/Fiery System 8e</v>
          </cell>
          <cell r="L57">
            <v>7300</v>
          </cell>
          <cell r="M57">
            <v>3590</v>
          </cell>
          <cell r="N57">
            <v>3697.7000000000003</v>
          </cell>
          <cell r="O57">
            <v>-0.17647058823529418</v>
          </cell>
          <cell r="P57">
            <v>70.72</v>
          </cell>
          <cell r="Q57">
            <v>54.06</v>
          </cell>
          <cell r="R57">
            <v>61.09</v>
          </cell>
          <cell r="S57">
            <v>4865</v>
          </cell>
          <cell r="T57">
            <v>0.4</v>
          </cell>
          <cell r="U57">
            <v>68.456960000000009</v>
          </cell>
          <cell r="V57">
            <v>0.22520661157024804</v>
          </cell>
          <cell r="W57">
            <v>3143.0450000000001</v>
          </cell>
          <cell r="X57">
            <v>0.79999999999999993</v>
          </cell>
          <cell r="Y57">
            <v>0</v>
          </cell>
          <cell r="Z57">
            <v>0</v>
          </cell>
          <cell r="AA57">
            <v>86</v>
          </cell>
          <cell r="AB57">
            <v>3144</v>
          </cell>
          <cell r="AC57">
            <v>3493</v>
          </cell>
          <cell r="AD57">
            <v>3687</v>
          </cell>
          <cell r="AE57">
            <v>3880.3</v>
          </cell>
          <cell r="AF57">
            <v>0.18999948457593488</v>
          </cell>
          <cell r="AG57">
            <v>4.7058217148158624E-2</v>
          </cell>
          <cell r="AH57">
            <v>3959</v>
          </cell>
          <cell r="AI57">
            <v>4036</v>
          </cell>
          <cell r="AJ57">
            <v>0.22124752229930622</v>
          </cell>
          <cell r="AK57">
            <v>4113.5</v>
          </cell>
          <cell r="AL57">
            <v>4191</v>
          </cell>
          <cell r="AM57">
            <v>0.25004891434025289</v>
          </cell>
          <cell r="AN57">
            <v>4780.25</v>
          </cell>
          <cell r="AO57">
            <v>5369.5</v>
          </cell>
          <cell r="AP57">
            <v>5958.75</v>
          </cell>
          <cell r="AQ57">
            <v>0</v>
          </cell>
          <cell r="AS57">
            <v>7300</v>
          </cell>
        </row>
        <row r="58">
          <cell r="B58" t="str">
            <v>AC</v>
          </cell>
          <cell r="C58" t="str">
            <v>DOM</v>
          </cell>
          <cell r="D58" t="str">
            <v>BT</v>
          </cell>
          <cell r="E58" t="str">
            <v>08</v>
          </cell>
          <cell r="F58">
            <v>40056</v>
          </cell>
          <cell r="G58">
            <v>40056</v>
          </cell>
          <cell r="H58" t="str">
            <v>A0YEWY2</v>
          </cell>
          <cell r="I58" t="str">
            <v>3KMKVI505</v>
          </cell>
          <cell r="J58">
            <v>0</v>
          </cell>
          <cell r="K58" t="str">
            <v>VI-505 Video Interface Kit</v>
          </cell>
          <cell r="L58">
            <v>279</v>
          </cell>
          <cell r="M58">
            <v>129</v>
          </cell>
          <cell r="N58">
            <v>132.87</v>
          </cell>
          <cell r="O58">
            <v>4.1618580496249148E-2</v>
          </cell>
          <cell r="P58">
            <v>138.63999999999999</v>
          </cell>
          <cell r="Q58">
            <v>136.74</v>
          </cell>
          <cell r="R58">
            <v>154.52000000000001</v>
          </cell>
          <cell r="S58">
            <v>173.3</v>
          </cell>
          <cell r="T58">
            <v>0.23329486439699945</v>
          </cell>
          <cell r="U58">
            <v>149.03800000000001</v>
          </cell>
          <cell r="V58">
            <v>0.10848240046162727</v>
          </cell>
          <cell r="W58">
            <v>138.63999999999999</v>
          </cell>
          <cell r="X58">
            <v>0.79999999999999982</v>
          </cell>
          <cell r="Y58">
            <v>0</v>
          </cell>
          <cell r="Z58">
            <v>0</v>
          </cell>
          <cell r="AA58">
            <v>168</v>
          </cell>
          <cell r="AB58">
            <v>139</v>
          </cell>
          <cell r="AC58">
            <v>155</v>
          </cell>
          <cell r="AD58">
            <v>164</v>
          </cell>
          <cell r="AE58">
            <v>171.16</v>
          </cell>
          <cell r="AF58">
            <v>0.18999766300537516</v>
          </cell>
          <cell r="AG58">
            <v>0.22370881046973587</v>
          </cell>
          <cell r="AH58">
            <v>191</v>
          </cell>
          <cell r="AI58">
            <v>210</v>
          </cell>
          <cell r="AJ58">
            <v>0.33980952380952389</v>
          </cell>
          <cell r="AK58">
            <v>229</v>
          </cell>
          <cell r="AL58">
            <v>248</v>
          </cell>
          <cell r="AM58">
            <v>0.44096774193548394</v>
          </cell>
          <cell r="AN58">
            <v>255.75</v>
          </cell>
          <cell r="AO58">
            <v>263.5</v>
          </cell>
          <cell r="AP58">
            <v>271.25</v>
          </cell>
          <cell r="AQ58">
            <v>0</v>
          </cell>
          <cell r="AS58">
            <v>279</v>
          </cell>
        </row>
        <row r="59">
          <cell r="B59" t="str">
            <v>AC</v>
          </cell>
          <cell r="C59" t="str">
            <v>DOM</v>
          </cell>
          <cell r="D59" t="str">
            <v>BT</v>
          </cell>
          <cell r="E59" t="str">
            <v>08</v>
          </cell>
          <cell r="F59">
            <v>40056</v>
          </cell>
          <cell r="G59">
            <v>40091</v>
          </cell>
          <cell r="H59" t="str">
            <v>A127WY2</v>
          </cell>
          <cell r="I59" t="str">
            <v>4KMIC412_N</v>
          </cell>
          <cell r="J59">
            <v>0</v>
          </cell>
          <cell r="K59" t="str">
            <v>IC-412 EFI Image Controller</v>
          </cell>
          <cell r="L59">
            <v>4158</v>
          </cell>
          <cell r="M59">
            <v>2214.3000000000002</v>
          </cell>
          <cell r="N59">
            <v>2280.7290000000003</v>
          </cell>
          <cell r="O59">
            <v>4.3845610824121199E-7</v>
          </cell>
          <cell r="P59">
            <v>2280.73</v>
          </cell>
          <cell r="Q59">
            <v>2347.16</v>
          </cell>
          <cell r="R59">
            <v>2652.29</v>
          </cell>
          <cell r="S59">
            <v>2572.5</v>
          </cell>
          <cell r="T59">
            <v>0.11341924198250719</v>
          </cell>
          <cell r="U59">
            <v>2280.7290000000003</v>
          </cell>
          <cell r="V59">
            <v>0</v>
          </cell>
          <cell r="W59">
            <v>2280.73</v>
          </cell>
          <cell r="X59">
            <v>0.88658114674441202</v>
          </cell>
          <cell r="Y59">
            <v>0</v>
          </cell>
          <cell r="Z59">
            <v>0</v>
          </cell>
          <cell r="AA59">
            <v>2759</v>
          </cell>
          <cell r="AB59">
            <v>2281</v>
          </cell>
          <cell r="AC59">
            <v>2535</v>
          </cell>
          <cell r="AD59">
            <v>2676</v>
          </cell>
          <cell r="AE59">
            <v>2815.72</v>
          </cell>
          <cell r="AF59">
            <v>0.19000113647663824</v>
          </cell>
          <cell r="AG59">
            <v>0.19000149162558763</v>
          </cell>
          <cell r="AH59">
            <v>3131</v>
          </cell>
          <cell r="AI59">
            <v>3445</v>
          </cell>
          <cell r="AJ59">
            <v>0.33795936139332367</v>
          </cell>
          <cell r="AK59">
            <v>3759</v>
          </cell>
          <cell r="AL59">
            <v>4073</v>
          </cell>
          <cell r="AM59">
            <v>0.44003682789098941</v>
          </cell>
          <cell r="AN59">
            <v>4094.25</v>
          </cell>
          <cell r="AO59">
            <v>4115.5</v>
          </cell>
          <cell r="AP59">
            <v>4136.75</v>
          </cell>
          <cell r="AQ59">
            <v>0</v>
          </cell>
          <cell r="AS59">
            <v>4158</v>
          </cell>
        </row>
        <row r="60">
          <cell r="B60" t="str">
            <v>AC</v>
          </cell>
          <cell r="C60" t="str">
            <v>DOM</v>
          </cell>
          <cell r="D60" t="str">
            <v>BT</v>
          </cell>
          <cell r="E60" t="str">
            <v>08</v>
          </cell>
          <cell r="F60">
            <v>40140</v>
          </cell>
          <cell r="G60">
            <v>40140</v>
          </cell>
          <cell r="H60" t="str">
            <v>A0MDWW1</v>
          </cell>
          <cell r="I60" t="str">
            <v>4KMA0MD0Y0_N</v>
          </cell>
          <cell r="J60">
            <v>0</v>
          </cell>
          <cell r="K60" t="str">
            <v>IC-305 EFI External Fiery</v>
          </cell>
          <cell r="L60">
            <v>24150</v>
          </cell>
          <cell r="M60">
            <v>9384</v>
          </cell>
          <cell r="N60">
            <v>9665.52</v>
          </cell>
          <cell r="O60">
            <v>0</v>
          </cell>
          <cell r="P60">
            <v>9665.52</v>
          </cell>
          <cell r="Q60">
            <v>9947.0400000000009</v>
          </cell>
          <cell r="R60">
            <v>11240.16</v>
          </cell>
          <cell r="S60">
            <v>11712.8</v>
          </cell>
          <cell r="T60">
            <v>0.17478997336247515</v>
          </cell>
          <cell r="U60">
            <v>10073.008</v>
          </cell>
          <cell r="V60">
            <v>4.0453457398226964E-2</v>
          </cell>
          <cell r="W60">
            <v>9665.52</v>
          </cell>
          <cell r="X60">
            <v>0.82521002663752485</v>
          </cell>
          <cell r="Y60">
            <v>0</v>
          </cell>
          <cell r="Z60">
            <v>0</v>
          </cell>
          <cell r="AA60">
            <v>11694</v>
          </cell>
          <cell r="AB60">
            <v>9666</v>
          </cell>
          <cell r="AC60">
            <v>10740</v>
          </cell>
          <cell r="AD60">
            <v>11337</v>
          </cell>
          <cell r="AE60">
            <v>11932.74</v>
          </cell>
          <cell r="AF60">
            <v>0.1899999497181703</v>
          </cell>
          <cell r="AG60">
            <v>0.1899999497181703</v>
          </cell>
          <cell r="AH60">
            <v>13265</v>
          </cell>
          <cell r="AI60">
            <v>14597</v>
          </cell>
          <cell r="AJ60">
            <v>0.33784202233335614</v>
          </cell>
          <cell r="AK60">
            <v>15928.5</v>
          </cell>
          <cell r="AL60">
            <v>17260</v>
          </cell>
          <cell r="AM60">
            <v>0.44000463499420622</v>
          </cell>
          <cell r="AN60">
            <v>18982.5</v>
          </cell>
          <cell r="AO60">
            <v>20705</v>
          </cell>
          <cell r="AP60">
            <v>22427.5</v>
          </cell>
          <cell r="AQ60">
            <v>0</v>
          </cell>
          <cell r="AS60">
            <v>24150</v>
          </cell>
        </row>
        <row r="61">
          <cell r="B61" t="str">
            <v>AC</v>
          </cell>
          <cell r="C61" t="str">
            <v>IMP</v>
          </cell>
          <cell r="D61" t="str">
            <v>BT</v>
          </cell>
          <cell r="E61" t="str">
            <v>P3</v>
          </cell>
          <cell r="F61">
            <v>39924</v>
          </cell>
          <cell r="G61">
            <v>40001</v>
          </cell>
          <cell r="H61" t="str">
            <v>15AE</v>
          </cell>
          <cell r="I61" t="str">
            <v>6KMFS503STFIN_N</v>
          </cell>
          <cell r="J61" t="str">
            <v>x</v>
          </cell>
          <cell r="K61" t="str">
            <v>FS-503 100 Sheet Stapling Finisher</v>
          </cell>
          <cell r="L61">
            <v>7140</v>
          </cell>
          <cell r="M61">
            <v>2356</v>
          </cell>
          <cell r="N61">
            <v>2450.2400000000002</v>
          </cell>
          <cell r="O61">
            <v>-0.17647058823529413</v>
          </cell>
          <cell r="P61">
            <v>2082.7040000000002</v>
          </cell>
          <cell r="Q61">
            <v>2497.36</v>
          </cell>
          <cell r="R61">
            <v>2822.02</v>
          </cell>
          <cell r="S61">
            <v>3595.4</v>
          </cell>
          <cell r="T61">
            <v>0.31850698114257103</v>
          </cell>
          <cell r="U61">
            <v>2784.2777599999999</v>
          </cell>
          <cell r="V61">
            <v>0.11997285788038609</v>
          </cell>
          <cell r="W61">
            <v>2082.7040000000002</v>
          </cell>
          <cell r="X61">
            <v>0.57926906602881467</v>
          </cell>
          <cell r="Y61">
            <v>0</v>
          </cell>
          <cell r="Z61">
            <v>0</v>
          </cell>
          <cell r="AA61">
            <v>2520</v>
          </cell>
          <cell r="AB61">
            <v>2082.7040000000002</v>
          </cell>
          <cell r="AC61">
            <v>2314.12</v>
          </cell>
          <cell r="AD61">
            <v>2442.6799999999998</v>
          </cell>
          <cell r="AE61">
            <v>2571.2399999999998</v>
          </cell>
          <cell r="AF61">
            <v>0.19000015556696367</v>
          </cell>
          <cell r="AG61">
            <v>4.7059006549369002E-2</v>
          </cell>
          <cell r="AH61">
            <v>2622.67</v>
          </cell>
          <cell r="AI61">
            <v>2674.09</v>
          </cell>
          <cell r="AJ61">
            <v>0.22115411224005174</v>
          </cell>
          <cell r="AK61">
            <v>2725.52</v>
          </cell>
          <cell r="AL61">
            <v>2776.94</v>
          </cell>
          <cell r="AM61">
            <v>0.25000036010860871</v>
          </cell>
          <cell r="AN61">
            <v>3167.45</v>
          </cell>
          <cell r="AO61">
            <v>3557.96</v>
          </cell>
          <cell r="AP61">
            <v>3948.47</v>
          </cell>
          <cell r="AQ61">
            <v>0</v>
          </cell>
          <cell r="AS61">
            <v>7140</v>
          </cell>
        </row>
        <row r="62">
          <cell r="B62" t="str">
            <v>AC</v>
          </cell>
          <cell r="C62" t="str">
            <v>DOM</v>
          </cell>
          <cell r="D62" t="str">
            <v>DOM</v>
          </cell>
          <cell r="E62" t="str">
            <v>P3</v>
          </cell>
          <cell r="F62">
            <v>39924</v>
          </cell>
          <cell r="G62">
            <v>40001</v>
          </cell>
          <cell r="H62" t="str">
            <v>7640000186</v>
          </cell>
          <cell r="I62" t="str">
            <v>4KMED100DENS_N</v>
          </cell>
          <cell r="J62" t="str">
            <v>x</v>
          </cell>
          <cell r="K62" t="str">
            <v>ED-100 Densitometer for Fiery</v>
          </cell>
          <cell r="L62">
            <v>1000</v>
          </cell>
          <cell r="M62">
            <v>400</v>
          </cell>
          <cell r="N62">
            <v>412</v>
          </cell>
          <cell r="O62">
            <v>-0.17647058823529416</v>
          </cell>
          <cell r="P62">
            <v>350.2</v>
          </cell>
          <cell r="Q62">
            <v>424</v>
          </cell>
          <cell r="R62">
            <v>479.12</v>
          </cell>
          <cell r="S62">
            <v>558</v>
          </cell>
          <cell r="T62">
            <v>0.26164874551971329</v>
          </cell>
          <cell r="U62">
            <v>479.88</v>
          </cell>
          <cell r="V62">
            <v>0.14145202967408518</v>
          </cell>
          <cell r="W62">
            <v>350.2</v>
          </cell>
          <cell r="X62">
            <v>0.62759856630824373</v>
          </cell>
          <cell r="Y62">
            <v>0</v>
          </cell>
          <cell r="Z62">
            <v>0</v>
          </cell>
          <cell r="AA62">
            <v>424</v>
          </cell>
          <cell r="AB62">
            <v>351</v>
          </cell>
          <cell r="AC62">
            <v>390</v>
          </cell>
          <cell r="AD62">
            <v>412</v>
          </cell>
          <cell r="AE62">
            <v>432.35</v>
          </cell>
          <cell r="AF62">
            <v>0.19000809529316534</v>
          </cell>
          <cell r="AG62">
            <v>4.7068347403723884E-2</v>
          </cell>
          <cell r="AH62">
            <v>442</v>
          </cell>
          <cell r="AI62">
            <v>450</v>
          </cell>
          <cell r="AJ62">
            <v>0.2217777777777778</v>
          </cell>
          <cell r="AK62">
            <v>458.5</v>
          </cell>
          <cell r="AL62">
            <v>467</v>
          </cell>
          <cell r="AM62">
            <v>0.25010706638115632</v>
          </cell>
          <cell r="AN62">
            <v>532.65</v>
          </cell>
          <cell r="AO62">
            <v>598.29999999999995</v>
          </cell>
          <cell r="AP62">
            <v>663.95</v>
          </cell>
          <cell r="AQ62">
            <v>0</v>
          </cell>
          <cell r="AS62">
            <v>1000</v>
          </cell>
        </row>
        <row r="63">
          <cell r="B63" t="str">
            <v>AC</v>
          </cell>
          <cell r="C63" t="str">
            <v>DOM</v>
          </cell>
          <cell r="D63" t="str">
            <v>DOM</v>
          </cell>
          <cell r="E63" t="str">
            <v>08</v>
          </cell>
          <cell r="F63">
            <v>39924</v>
          </cell>
          <cell r="G63">
            <v>40001</v>
          </cell>
          <cell r="H63" t="str">
            <v>7640000895</v>
          </cell>
          <cell r="I63" t="str">
            <v>3KMBM325MEM_</v>
          </cell>
          <cell r="J63" t="str">
            <v>x</v>
          </cell>
          <cell r="K63" t="str">
            <v>32MB memory (M32-5)</v>
          </cell>
          <cell r="L63">
            <v>153</v>
          </cell>
          <cell r="M63">
            <v>32</v>
          </cell>
          <cell r="N63">
            <v>32.96</v>
          </cell>
          <cell r="O63">
            <v>0.47179487179487178</v>
          </cell>
          <cell r="P63">
            <v>62.4</v>
          </cell>
          <cell r="Q63">
            <v>33.92</v>
          </cell>
          <cell r="R63">
            <v>38.33</v>
          </cell>
          <cell r="S63">
            <v>78</v>
          </cell>
          <cell r="T63">
            <v>0.57743589743589741</v>
          </cell>
          <cell r="U63">
            <v>60.403199999999998</v>
          </cell>
          <cell r="V63">
            <v>0.45433354524263614</v>
          </cell>
          <cell r="W63">
            <v>62.4</v>
          </cell>
          <cell r="X63">
            <v>0.79999999999999993</v>
          </cell>
          <cell r="Y63">
            <v>0</v>
          </cell>
          <cell r="Z63">
            <v>0</v>
          </cell>
          <cell r="AA63">
            <v>75</v>
          </cell>
          <cell r="AB63">
            <v>63</v>
          </cell>
          <cell r="AC63">
            <v>70</v>
          </cell>
          <cell r="AD63">
            <v>74</v>
          </cell>
          <cell r="AE63">
            <v>77.040000000000006</v>
          </cell>
          <cell r="AF63">
            <v>0.19003115264797515</v>
          </cell>
          <cell r="AG63">
            <v>0.57217030114226375</v>
          </cell>
          <cell r="AH63">
            <v>87</v>
          </cell>
          <cell r="AI63">
            <v>95</v>
          </cell>
          <cell r="AJ63">
            <v>0.34315789473684211</v>
          </cell>
          <cell r="AK63">
            <v>103.5</v>
          </cell>
          <cell r="AL63">
            <v>112</v>
          </cell>
          <cell r="AM63">
            <v>0.44285714285714289</v>
          </cell>
          <cell r="AN63">
            <v>122.25</v>
          </cell>
          <cell r="AO63">
            <v>132.5</v>
          </cell>
          <cell r="AP63">
            <v>142.75</v>
          </cell>
          <cell r="AQ63">
            <v>0</v>
          </cell>
          <cell r="AS63">
            <v>153</v>
          </cell>
        </row>
        <row r="64">
          <cell r="B64" t="str">
            <v>AC</v>
          </cell>
          <cell r="C64" t="str">
            <v>DOM</v>
          </cell>
          <cell r="D64" t="str">
            <v>DOM</v>
          </cell>
          <cell r="E64" t="str">
            <v>P3</v>
          </cell>
          <cell r="F64">
            <v>39924</v>
          </cell>
          <cell r="G64">
            <v>40001</v>
          </cell>
          <cell r="H64" t="str">
            <v>7640000942</v>
          </cell>
          <cell r="I64" t="str">
            <v>3KMMEM701256MB</v>
          </cell>
          <cell r="J64" t="str">
            <v>x</v>
          </cell>
          <cell r="K64" t="str">
            <v>Memory Upgrade for EM-701</v>
          </cell>
          <cell r="L64">
            <v>110</v>
          </cell>
          <cell r="M64">
            <v>44</v>
          </cell>
          <cell r="N64">
            <v>45.32</v>
          </cell>
          <cell r="O64">
            <v>-0.17647058823529418</v>
          </cell>
          <cell r="P64">
            <v>38.521999999999998</v>
          </cell>
          <cell r="Q64">
            <v>46.64</v>
          </cell>
          <cell r="R64">
            <v>52.7</v>
          </cell>
          <cell r="S64">
            <v>61</v>
          </cell>
          <cell r="T64">
            <v>0.25704918032786883</v>
          </cell>
          <cell r="U64">
            <v>52.46</v>
          </cell>
          <cell r="V64">
            <v>0.13610369805566147</v>
          </cell>
          <cell r="W64">
            <v>38.521999999999998</v>
          </cell>
          <cell r="X64">
            <v>0.63150819672131142</v>
          </cell>
          <cell r="Y64">
            <v>0</v>
          </cell>
          <cell r="Z64">
            <v>0</v>
          </cell>
          <cell r="AA64">
            <v>47</v>
          </cell>
          <cell r="AB64">
            <v>39</v>
          </cell>
          <cell r="AC64">
            <v>43</v>
          </cell>
          <cell r="AD64">
            <v>46</v>
          </cell>
          <cell r="AE64">
            <v>47.56</v>
          </cell>
          <cell r="AF64">
            <v>0.19003364171572756</v>
          </cell>
          <cell r="AG64">
            <v>4.7098402018502981E-2</v>
          </cell>
          <cell r="AH64">
            <v>49</v>
          </cell>
          <cell r="AI64">
            <v>50</v>
          </cell>
          <cell r="AJ64">
            <v>0.22956000000000004</v>
          </cell>
          <cell r="AK64">
            <v>51</v>
          </cell>
          <cell r="AL64">
            <v>52</v>
          </cell>
          <cell r="AM64">
            <v>0.25919230769230772</v>
          </cell>
          <cell r="AN64">
            <v>59.06</v>
          </cell>
          <cell r="AO64">
            <v>66.12</v>
          </cell>
          <cell r="AP64">
            <v>73.180000000000007</v>
          </cell>
          <cell r="AQ64">
            <v>0</v>
          </cell>
          <cell r="AS64">
            <v>110</v>
          </cell>
        </row>
        <row r="65">
          <cell r="B65" t="str">
            <v>AC</v>
          </cell>
          <cell r="C65" t="str">
            <v>DOM</v>
          </cell>
          <cell r="D65" t="str">
            <v>DOM</v>
          </cell>
          <cell r="E65" t="str">
            <v>08</v>
          </cell>
          <cell r="F65">
            <v>39924</v>
          </cell>
          <cell r="G65">
            <v>40164</v>
          </cell>
          <cell r="H65" t="str">
            <v>7640001106</v>
          </cell>
          <cell r="I65" t="str">
            <v>3MIHD5133NT_</v>
          </cell>
          <cell r="J65">
            <v>0</v>
          </cell>
          <cell r="K65" t="str">
            <v>D5133NT Power Filter (120 volt, 15 Amps, 3 Outlets)</v>
          </cell>
          <cell r="L65">
            <v>175</v>
          </cell>
          <cell r="M65">
            <v>85</v>
          </cell>
          <cell r="N65">
            <v>87.55</v>
          </cell>
          <cell r="O65">
            <v>4.8369565217391337E-2</v>
          </cell>
          <cell r="P65">
            <v>92</v>
          </cell>
          <cell r="Q65">
            <v>90.1</v>
          </cell>
          <cell r="R65">
            <v>101.81</v>
          </cell>
          <cell r="S65">
            <v>115</v>
          </cell>
          <cell r="T65">
            <v>0.23869565217391306</v>
          </cell>
          <cell r="U65">
            <v>98.899999999999991</v>
          </cell>
          <cell r="V65">
            <v>0.11476238624873605</v>
          </cell>
          <cell r="W65">
            <v>92</v>
          </cell>
          <cell r="X65">
            <v>0.8</v>
          </cell>
          <cell r="Y65">
            <v>0</v>
          </cell>
          <cell r="Z65">
            <v>0</v>
          </cell>
          <cell r="AA65">
            <v>111</v>
          </cell>
          <cell r="AB65">
            <v>92</v>
          </cell>
          <cell r="AC65">
            <v>103</v>
          </cell>
          <cell r="AD65">
            <v>109</v>
          </cell>
          <cell r="AE65">
            <v>113.58</v>
          </cell>
          <cell r="AF65">
            <v>0.18999823912660679</v>
          </cell>
          <cell r="AG65">
            <v>0.22917767212537421</v>
          </cell>
          <cell r="AH65">
            <v>127</v>
          </cell>
          <cell r="AI65">
            <v>140</v>
          </cell>
          <cell r="AJ65">
            <v>0.34285714285714286</v>
          </cell>
          <cell r="AK65">
            <v>152.5</v>
          </cell>
          <cell r="AL65">
            <v>165</v>
          </cell>
          <cell r="AM65">
            <v>0.44242424242424244</v>
          </cell>
          <cell r="AN65">
            <v>175</v>
          </cell>
          <cell r="AO65">
            <v>175</v>
          </cell>
          <cell r="AP65">
            <v>175</v>
          </cell>
          <cell r="AQ65">
            <v>0</v>
          </cell>
          <cell r="AS65">
            <v>175</v>
          </cell>
        </row>
        <row r="66">
          <cell r="B66" t="str">
            <v>AC</v>
          </cell>
          <cell r="C66" t="str">
            <v>DOM</v>
          </cell>
          <cell r="D66" t="str">
            <v>DOM</v>
          </cell>
          <cell r="E66" t="str">
            <v>08</v>
          </cell>
          <cell r="F66">
            <v>39924</v>
          </cell>
          <cell r="G66">
            <v>40164</v>
          </cell>
          <cell r="H66" t="str">
            <v>7640001107</v>
          </cell>
          <cell r="I66" t="str">
            <v>3MIHD5143NT_</v>
          </cell>
          <cell r="J66" t="str">
            <v>x</v>
          </cell>
          <cell r="K66" t="str">
            <v>D5143NT Power Filter (120 volt, 20 Amps, 3 Outlets)</v>
          </cell>
          <cell r="L66">
            <v>195</v>
          </cell>
          <cell r="M66">
            <v>90</v>
          </cell>
          <cell r="N66">
            <v>92.7</v>
          </cell>
          <cell r="O66">
            <v>7.2999999999999968E-2</v>
          </cell>
          <cell r="P66">
            <v>100</v>
          </cell>
          <cell r="Q66">
            <v>95.4</v>
          </cell>
          <cell r="R66">
            <v>107.8</v>
          </cell>
          <cell r="S66">
            <v>125</v>
          </cell>
          <cell r="T66">
            <v>0.25839999999999996</v>
          </cell>
          <cell r="U66">
            <v>107.5</v>
          </cell>
          <cell r="V66">
            <v>0.13767441860465113</v>
          </cell>
          <cell r="W66">
            <v>100</v>
          </cell>
          <cell r="X66">
            <v>0.8</v>
          </cell>
          <cell r="Y66">
            <v>0</v>
          </cell>
          <cell r="Z66">
            <v>0</v>
          </cell>
          <cell r="AA66">
            <v>121</v>
          </cell>
          <cell r="AB66">
            <v>100</v>
          </cell>
          <cell r="AC66">
            <v>112</v>
          </cell>
          <cell r="AD66">
            <v>118</v>
          </cell>
          <cell r="AE66">
            <v>123.46</v>
          </cell>
          <cell r="AF66">
            <v>0.19002105945245421</v>
          </cell>
          <cell r="AG66">
            <v>0.24914952211242503</v>
          </cell>
          <cell r="AH66">
            <v>138</v>
          </cell>
          <cell r="AI66">
            <v>152</v>
          </cell>
          <cell r="AJ66">
            <v>0.34210526315789475</v>
          </cell>
          <cell r="AK66">
            <v>165.5</v>
          </cell>
          <cell r="AL66">
            <v>179</v>
          </cell>
          <cell r="AM66">
            <v>0.44134078212290501</v>
          </cell>
          <cell r="AN66">
            <v>195</v>
          </cell>
          <cell r="AO66">
            <v>195</v>
          </cell>
          <cell r="AP66">
            <v>195</v>
          </cell>
          <cell r="AQ66">
            <v>0</v>
          </cell>
          <cell r="AS66">
            <v>195</v>
          </cell>
        </row>
        <row r="67">
          <cell r="B67" t="str">
            <v>AC</v>
          </cell>
          <cell r="C67" t="str">
            <v>DOM</v>
          </cell>
          <cell r="D67" t="str">
            <v>DOM</v>
          </cell>
          <cell r="E67" t="str">
            <v>08</v>
          </cell>
          <cell r="F67">
            <v>39924</v>
          </cell>
          <cell r="G67">
            <v>40001</v>
          </cell>
          <cell r="H67" t="str">
            <v>7640001443</v>
          </cell>
          <cell r="I67" t="str">
            <v>3KMM64MBCMU</v>
          </cell>
          <cell r="J67" t="str">
            <v>x</v>
          </cell>
          <cell r="K67" t="str">
            <v>Memory Upgrade 64MB for IC-205</v>
          </cell>
          <cell r="L67">
            <v>67</v>
          </cell>
          <cell r="M67">
            <v>16</v>
          </cell>
          <cell r="N67">
            <v>16.48</v>
          </cell>
          <cell r="O67">
            <v>0.44623655913978494</v>
          </cell>
          <cell r="P67">
            <v>29.76</v>
          </cell>
          <cell r="Q67">
            <v>16.96</v>
          </cell>
          <cell r="R67">
            <v>19.16</v>
          </cell>
          <cell r="S67">
            <v>37.200000000000003</v>
          </cell>
          <cell r="T67">
            <v>0.55698924731182797</v>
          </cell>
          <cell r="U67">
            <v>28.807680000000001</v>
          </cell>
          <cell r="V67">
            <v>0.4279303296898605</v>
          </cell>
          <cell r="W67">
            <v>29.76</v>
          </cell>
          <cell r="X67">
            <v>0.79999999999999993</v>
          </cell>
          <cell r="Y67">
            <v>0</v>
          </cell>
          <cell r="Z67">
            <v>0</v>
          </cell>
          <cell r="AA67">
            <v>36</v>
          </cell>
          <cell r="AB67">
            <v>30</v>
          </cell>
          <cell r="AC67">
            <v>34</v>
          </cell>
          <cell r="AD67">
            <v>36</v>
          </cell>
          <cell r="AE67">
            <v>36.74</v>
          </cell>
          <cell r="AF67">
            <v>0.18998366902558519</v>
          </cell>
          <cell r="AG67">
            <v>0.55144256940664127</v>
          </cell>
          <cell r="AH67">
            <v>42</v>
          </cell>
          <cell r="AI67">
            <v>46</v>
          </cell>
          <cell r="AJ67">
            <v>0.35304347826086951</v>
          </cell>
          <cell r="AK67">
            <v>50</v>
          </cell>
          <cell r="AL67">
            <v>54</v>
          </cell>
          <cell r="AM67">
            <v>0.44888888888888884</v>
          </cell>
          <cell r="AN67">
            <v>57.25</v>
          </cell>
          <cell r="AO67">
            <v>60.5</v>
          </cell>
          <cell r="AP67">
            <v>63.75</v>
          </cell>
          <cell r="AQ67">
            <v>0</v>
          </cell>
          <cell r="AS67">
            <v>67</v>
          </cell>
        </row>
        <row r="68">
          <cell r="B68" t="str">
            <v>AC</v>
          </cell>
          <cell r="C68" t="str">
            <v>DOM</v>
          </cell>
          <cell r="D68" t="str">
            <v>DOM</v>
          </cell>
          <cell r="E68" t="str">
            <v>08</v>
          </cell>
          <cell r="F68">
            <v>39924</v>
          </cell>
          <cell r="G68">
            <v>40001</v>
          </cell>
          <cell r="H68" t="str">
            <v>7640001445</v>
          </cell>
          <cell r="I68" t="str">
            <v>3KMB7640001445</v>
          </cell>
          <cell r="J68">
            <v>0</v>
          </cell>
          <cell r="K68" t="str">
            <v>Memory Upgrade 128MB for IC-205</v>
          </cell>
          <cell r="L68">
            <v>97</v>
          </cell>
          <cell r="M68">
            <v>29.9</v>
          </cell>
          <cell r="N68">
            <v>30.797000000000001</v>
          </cell>
          <cell r="O68">
            <v>0.31623001776198933</v>
          </cell>
          <cell r="P68">
            <v>45.04</v>
          </cell>
          <cell r="Q68">
            <v>31.69</v>
          </cell>
          <cell r="R68">
            <v>35.81</v>
          </cell>
          <cell r="S68">
            <v>56.3</v>
          </cell>
          <cell r="T68">
            <v>0.45298401420959145</v>
          </cell>
          <cell r="U68">
            <v>43.598719999999993</v>
          </cell>
          <cell r="V68">
            <v>0.29362605140701364</v>
          </cell>
          <cell r="W68">
            <v>45.04</v>
          </cell>
          <cell r="X68">
            <v>0.8</v>
          </cell>
          <cell r="Y68">
            <v>0</v>
          </cell>
          <cell r="Z68">
            <v>0</v>
          </cell>
          <cell r="AA68">
            <v>54</v>
          </cell>
          <cell r="AB68">
            <v>46</v>
          </cell>
          <cell r="AC68">
            <v>51</v>
          </cell>
          <cell r="AD68">
            <v>54</v>
          </cell>
          <cell r="AE68">
            <v>55.6</v>
          </cell>
          <cell r="AF68">
            <v>0.18992805755395686</v>
          </cell>
          <cell r="AG68">
            <v>0.44609712230215826</v>
          </cell>
          <cell r="AH68">
            <v>63</v>
          </cell>
          <cell r="AI68">
            <v>69</v>
          </cell>
          <cell r="AJ68">
            <v>0.3472463768115942</v>
          </cell>
          <cell r="AK68">
            <v>75</v>
          </cell>
          <cell r="AL68">
            <v>81</v>
          </cell>
          <cell r="AM68">
            <v>0.44395061728395063</v>
          </cell>
          <cell r="AN68">
            <v>85</v>
          </cell>
          <cell r="AO68">
            <v>89</v>
          </cell>
          <cell r="AP68">
            <v>93</v>
          </cell>
          <cell r="AQ68">
            <v>0</v>
          </cell>
          <cell r="AS68">
            <v>97</v>
          </cell>
        </row>
        <row r="69">
          <cell r="B69" t="str">
            <v>AC</v>
          </cell>
          <cell r="C69" t="str">
            <v>DOM</v>
          </cell>
          <cell r="D69" t="str">
            <v>DOM</v>
          </cell>
          <cell r="E69" t="str">
            <v>08</v>
          </cell>
          <cell r="F69">
            <v>39924</v>
          </cell>
          <cell r="G69">
            <v>40001</v>
          </cell>
          <cell r="H69" t="str">
            <v>7640002300</v>
          </cell>
          <cell r="I69" t="str">
            <v>3KMK7640002300</v>
          </cell>
          <cell r="J69">
            <v>0</v>
          </cell>
          <cell r="K69" t="str">
            <v>HDD Security kit for IC-302/303 (removable HDD)</v>
          </cell>
          <cell r="L69">
            <v>1200</v>
          </cell>
          <cell r="M69">
            <v>600</v>
          </cell>
          <cell r="N69">
            <v>618</v>
          </cell>
          <cell r="O69">
            <v>0</v>
          </cell>
          <cell r="P69">
            <v>618</v>
          </cell>
          <cell r="Q69">
            <v>636</v>
          </cell>
          <cell r="R69">
            <v>718.68</v>
          </cell>
          <cell r="S69">
            <v>756.6</v>
          </cell>
          <cell r="T69">
            <v>0.18318794607454403</v>
          </cell>
          <cell r="U69">
            <v>650.67600000000004</v>
          </cell>
          <cell r="V69">
            <v>5.0218541947144264E-2</v>
          </cell>
          <cell r="W69">
            <v>618</v>
          </cell>
          <cell r="X69">
            <v>0.81681205392545597</v>
          </cell>
          <cell r="Y69">
            <v>0</v>
          </cell>
          <cell r="Z69">
            <v>0</v>
          </cell>
          <cell r="AA69">
            <v>748</v>
          </cell>
          <cell r="AB69">
            <v>618</v>
          </cell>
          <cell r="AC69">
            <v>687</v>
          </cell>
          <cell r="AD69">
            <v>725</v>
          </cell>
          <cell r="AE69">
            <v>762.96</v>
          </cell>
          <cell r="AF69">
            <v>0.18999685435671598</v>
          </cell>
          <cell r="AG69">
            <v>0.18999685435671598</v>
          </cell>
          <cell r="AH69">
            <v>849</v>
          </cell>
          <cell r="AI69">
            <v>934</v>
          </cell>
          <cell r="AJ69">
            <v>0.33832976445396146</v>
          </cell>
          <cell r="AK69">
            <v>1019</v>
          </cell>
          <cell r="AL69">
            <v>1104</v>
          </cell>
          <cell r="AM69">
            <v>0.44021739130434784</v>
          </cell>
          <cell r="AN69">
            <v>1128</v>
          </cell>
          <cell r="AO69">
            <v>1152</v>
          </cell>
          <cell r="AP69">
            <v>1176</v>
          </cell>
          <cell r="AQ69">
            <v>0</v>
          </cell>
          <cell r="AR69">
            <v>488</v>
          </cell>
          <cell r="AS69">
            <v>1200</v>
          </cell>
        </row>
        <row r="70">
          <cell r="B70" t="str">
            <v>AC</v>
          </cell>
          <cell r="C70" t="str">
            <v>DOM</v>
          </cell>
          <cell r="D70" t="str">
            <v>DOM</v>
          </cell>
          <cell r="E70" t="str">
            <v>08</v>
          </cell>
          <cell r="F70">
            <v>39924</v>
          </cell>
          <cell r="G70">
            <v>40001</v>
          </cell>
          <cell r="H70" t="str">
            <v>7640002319</v>
          </cell>
          <cell r="I70" t="str">
            <v>3KMH7640002319</v>
          </cell>
          <cell r="J70">
            <v>0</v>
          </cell>
          <cell r="K70" t="str">
            <v>Graphic arts package  (GA1) for IC-303/305</v>
          </cell>
          <cell r="L70">
            <v>3200</v>
          </cell>
          <cell r="M70">
            <v>1500</v>
          </cell>
          <cell r="N70">
            <v>1545</v>
          </cell>
          <cell r="O70">
            <v>2.264676113360321E-2</v>
          </cell>
          <cell r="P70">
            <v>1580.8</v>
          </cell>
          <cell r="Q70">
            <v>1590</v>
          </cell>
          <cell r="R70">
            <v>1796.7</v>
          </cell>
          <cell r="S70">
            <v>1976</v>
          </cell>
          <cell r="T70">
            <v>0.21811740890688258</v>
          </cell>
          <cell r="U70">
            <v>1699.36</v>
          </cell>
          <cell r="V70">
            <v>9.0834196403351802E-2</v>
          </cell>
          <cell r="W70">
            <v>1580.8</v>
          </cell>
          <cell r="X70">
            <v>0.79999999999999993</v>
          </cell>
          <cell r="Y70">
            <v>0</v>
          </cell>
          <cell r="Z70">
            <v>0</v>
          </cell>
          <cell r="AA70">
            <v>1913</v>
          </cell>
          <cell r="AB70">
            <v>1581</v>
          </cell>
          <cell r="AC70">
            <v>1757</v>
          </cell>
          <cell r="AD70">
            <v>1855</v>
          </cell>
          <cell r="AE70">
            <v>1951.6</v>
          </cell>
          <cell r="AF70">
            <v>0.18999795039967204</v>
          </cell>
          <cell r="AG70">
            <v>0.2083418733346997</v>
          </cell>
          <cell r="AH70">
            <v>2170</v>
          </cell>
          <cell r="AI70">
            <v>2388</v>
          </cell>
          <cell r="AJ70">
            <v>0.33802345058626465</v>
          </cell>
          <cell r="AK70">
            <v>2605.5</v>
          </cell>
          <cell r="AL70">
            <v>2823</v>
          </cell>
          <cell r="AM70">
            <v>0.44002833864682961</v>
          </cell>
          <cell r="AN70">
            <v>2917.25</v>
          </cell>
          <cell r="AO70">
            <v>3011.5</v>
          </cell>
          <cell r="AP70">
            <v>3105.75</v>
          </cell>
          <cell r="AQ70">
            <v>0</v>
          </cell>
          <cell r="AR70">
            <v>472</v>
          </cell>
          <cell r="AS70">
            <v>3200</v>
          </cell>
        </row>
        <row r="71">
          <cell r="B71" t="str">
            <v>AC</v>
          </cell>
          <cell r="C71" t="str">
            <v>DOM</v>
          </cell>
          <cell r="D71" t="str">
            <v>DOM</v>
          </cell>
          <cell r="E71" t="str">
            <v>08</v>
          </cell>
          <cell r="F71">
            <v>39924</v>
          </cell>
          <cell r="G71">
            <v>40001</v>
          </cell>
          <cell r="H71" t="str">
            <v>7640002320</v>
          </cell>
          <cell r="I71" t="str">
            <v>3KMH7640002320</v>
          </cell>
          <cell r="J71">
            <v>0</v>
          </cell>
          <cell r="K71" t="str">
            <v>Graphic arts premium edition  (GA2) for IC-303/305</v>
          </cell>
          <cell r="L71">
            <v>7200</v>
          </cell>
          <cell r="M71">
            <v>3500</v>
          </cell>
          <cell r="N71">
            <v>3605</v>
          </cell>
          <cell r="O71">
            <v>7.3464622433694155E-3</v>
          </cell>
          <cell r="P71">
            <v>3631.68</v>
          </cell>
          <cell r="Q71">
            <v>3710</v>
          </cell>
          <cell r="R71">
            <v>4192.3</v>
          </cell>
          <cell r="S71">
            <v>4539.6000000000004</v>
          </cell>
          <cell r="T71">
            <v>0.20587716979469564</v>
          </cell>
          <cell r="U71">
            <v>3904.056</v>
          </cell>
          <cell r="V71">
            <v>7.6601360226390205E-2</v>
          </cell>
          <cell r="W71">
            <v>3631.68</v>
          </cell>
          <cell r="X71">
            <v>0.79999999999999993</v>
          </cell>
          <cell r="Y71">
            <v>0</v>
          </cell>
          <cell r="Z71">
            <v>0</v>
          </cell>
          <cell r="AA71">
            <v>4394</v>
          </cell>
          <cell r="AB71">
            <v>3632</v>
          </cell>
          <cell r="AC71">
            <v>4036</v>
          </cell>
          <cell r="AD71">
            <v>4260</v>
          </cell>
          <cell r="AE71">
            <v>4483.5600000000004</v>
          </cell>
          <cell r="AF71">
            <v>0.19000080293338339</v>
          </cell>
          <cell r="AG71">
            <v>0.19595143145179283</v>
          </cell>
          <cell r="AH71">
            <v>4985</v>
          </cell>
          <cell r="AI71">
            <v>5485</v>
          </cell>
          <cell r="AJ71">
            <v>0.33788878760255242</v>
          </cell>
          <cell r="AK71">
            <v>5985.5</v>
          </cell>
          <cell r="AL71">
            <v>6486</v>
          </cell>
          <cell r="AM71">
            <v>0.44007400555041631</v>
          </cell>
          <cell r="AN71">
            <v>6664.5</v>
          </cell>
          <cell r="AO71">
            <v>6843</v>
          </cell>
          <cell r="AP71">
            <v>7021.5</v>
          </cell>
          <cell r="AQ71">
            <v>0</v>
          </cell>
          <cell r="AR71">
            <v>443</v>
          </cell>
          <cell r="AS71">
            <v>7200</v>
          </cell>
        </row>
        <row r="72">
          <cell r="B72" t="str">
            <v>AC</v>
          </cell>
          <cell r="C72" t="str">
            <v>DOM</v>
          </cell>
          <cell r="D72" t="str">
            <v>DOM</v>
          </cell>
          <cell r="E72" t="str">
            <v>08</v>
          </cell>
          <cell r="F72">
            <v>39924</v>
          </cell>
          <cell r="G72">
            <v>40001</v>
          </cell>
          <cell r="H72" t="str">
            <v>7640002321</v>
          </cell>
          <cell r="I72" t="str">
            <v>3KMH7640002321</v>
          </cell>
          <cell r="J72">
            <v>0</v>
          </cell>
          <cell r="K72" t="str">
            <v>Graphic arts premium edition upgrade (GA1 to GA2) for IC-303/305</v>
          </cell>
          <cell r="L72">
            <v>4800</v>
          </cell>
          <cell r="M72">
            <v>2300</v>
          </cell>
          <cell r="N72">
            <v>2369</v>
          </cell>
          <cell r="O72">
            <v>2.1527227068464137E-2</v>
          </cell>
          <cell r="P72">
            <v>2421.12</v>
          </cell>
          <cell r="Q72">
            <v>2438</v>
          </cell>
          <cell r="R72">
            <v>2754.94</v>
          </cell>
          <cell r="S72">
            <v>3026.4</v>
          </cell>
          <cell r="T72">
            <v>0.21722178165477138</v>
          </cell>
          <cell r="U72">
            <v>2602.7040000000002</v>
          </cell>
          <cell r="V72">
            <v>8.9792769366013256E-2</v>
          </cell>
          <cell r="W72">
            <v>2421.12</v>
          </cell>
          <cell r="X72">
            <v>0.79999999999999993</v>
          </cell>
          <cell r="Y72">
            <v>0</v>
          </cell>
          <cell r="Z72">
            <v>0</v>
          </cell>
          <cell r="AA72">
            <v>2929</v>
          </cell>
          <cell r="AB72">
            <v>2422</v>
          </cell>
          <cell r="AC72">
            <v>2691</v>
          </cell>
          <cell r="AD72">
            <v>2841</v>
          </cell>
          <cell r="AE72">
            <v>2989.04</v>
          </cell>
          <cell r="AF72">
            <v>0.19000080293338331</v>
          </cell>
          <cell r="AG72">
            <v>0.20743783957391002</v>
          </cell>
          <cell r="AH72">
            <v>3324</v>
          </cell>
          <cell r="AI72">
            <v>3657</v>
          </cell>
          <cell r="AJ72">
            <v>0.33794913863822806</v>
          </cell>
          <cell r="AK72">
            <v>3990.5</v>
          </cell>
          <cell r="AL72">
            <v>4324</v>
          </cell>
          <cell r="AM72">
            <v>0.44007400555041631</v>
          </cell>
          <cell r="AN72">
            <v>4443</v>
          </cell>
          <cell r="AO72">
            <v>4562</v>
          </cell>
          <cell r="AP72">
            <v>4681</v>
          </cell>
          <cell r="AQ72">
            <v>0</v>
          </cell>
          <cell r="AR72">
            <v>488</v>
          </cell>
          <cell r="AS72">
            <v>4800</v>
          </cell>
        </row>
        <row r="73">
          <cell r="B73" t="str">
            <v>AC</v>
          </cell>
          <cell r="C73" t="str">
            <v>DOM</v>
          </cell>
          <cell r="D73" t="str">
            <v>DOM</v>
          </cell>
          <cell r="E73" t="str">
            <v>08</v>
          </cell>
          <cell r="F73">
            <v>39924</v>
          </cell>
          <cell r="G73">
            <v>40001</v>
          </cell>
          <cell r="H73" t="str">
            <v>7640002323</v>
          </cell>
          <cell r="I73" t="str">
            <v>3KMH7640002323</v>
          </cell>
          <cell r="J73">
            <v>0</v>
          </cell>
          <cell r="K73" t="str">
            <v>EFI Impose v2.6 for IC-303 / IC-408 / IC-409 / IC-412</v>
          </cell>
          <cell r="L73">
            <v>2500</v>
          </cell>
          <cell r="M73">
            <v>1250</v>
          </cell>
          <cell r="N73">
            <v>1287.5</v>
          </cell>
          <cell r="O73">
            <v>9.6153846153846159E-3</v>
          </cell>
          <cell r="P73">
            <v>1300</v>
          </cell>
          <cell r="Q73">
            <v>1325</v>
          </cell>
          <cell r="R73">
            <v>1497.25</v>
          </cell>
          <cell r="S73">
            <v>1625</v>
          </cell>
          <cell r="T73">
            <v>0.2076923076923077</v>
          </cell>
          <cell r="U73">
            <v>1397.5</v>
          </cell>
          <cell r="V73">
            <v>7.8711985688729877E-2</v>
          </cell>
          <cell r="W73">
            <v>1300</v>
          </cell>
          <cell r="X73">
            <v>0.8</v>
          </cell>
          <cell r="Y73">
            <v>0</v>
          </cell>
          <cell r="Z73">
            <v>0</v>
          </cell>
          <cell r="AA73">
            <v>1573</v>
          </cell>
          <cell r="AB73">
            <v>1300</v>
          </cell>
          <cell r="AC73">
            <v>1445</v>
          </cell>
          <cell r="AD73">
            <v>1525</v>
          </cell>
          <cell r="AE73">
            <v>1604.94</v>
          </cell>
          <cell r="AF73">
            <v>0.19000087230675292</v>
          </cell>
          <cell r="AG73">
            <v>0.19778932545764955</v>
          </cell>
          <cell r="AH73">
            <v>1785</v>
          </cell>
          <cell r="AI73">
            <v>1964</v>
          </cell>
          <cell r="AJ73">
            <v>0.3380855397148676</v>
          </cell>
          <cell r="AK73">
            <v>2143</v>
          </cell>
          <cell r="AL73">
            <v>2322</v>
          </cell>
          <cell r="AM73">
            <v>0.44013781223083548</v>
          </cell>
          <cell r="AN73">
            <v>2366.5</v>
          </cell>
          <cell r="AO73">
            <v>2411</v>
          </cell>
          <cell r="AP73">
            <v>2455.5</v>
          </cell>
          <cell r="AQ73">
            <v>0</v>
          </cell>
          <cell r="AR73">
            <v>472</v>
          </cell>
          <cell r="AS73">
            <v>2500</v>
          </cell>
        </row>
        <row r="74">
          <cell r="B74" t="str">
            <v>AC</v>
          </cell>
          <cell r="C74" t="str">
            <v>DOM</v>
          </cell>
          <cell r="D74" t="str">
            <v>DOM</v>
          </cell>
          <cell r="E74" t="str">
            <v>08</v>
          </cell>
          <cell r="F74">
            <v>39924</v>
          </cell>
          <cell r="G74">
            <v>40001</v>
          </cell>
          <cell r="H74" t="str">
            <v>7640002333</v>
          </cell>
          <cell r="I74" t="str">
            <v>3KMH7640002333</v>
          </cell>
          <cell r="J74">
            <v>0</v>
          </cell>
          <cell r="K74" t="str">
            <v>EFI Color Profiler Suite V2.2 with ES-1000</v>
          </cell>
          <cell r="L74">
            <v>3200</v>
          </cell>
          <cell r="M74">
            <v>1500</v>
          </cell>
          <cell r="N74">
            <v>1545</v>
          </cell>
          <cell r="O74">
            <v>4.5103092783505151E-3</v>
          </cell>
          <cell r="P74">
            <v>1552</v>
          </cell>
          <cell r="Q74">
            <v>1590</v>
          </cell>
          <cell r="R74">
            <v>1796.7</v>
          </cell>
          <cell r="S74">
            <v>1940</v>
          </cell>
          <cell r="T74">
            <v>0.20360824742268041</v>
          </cell>
          <cell r="U74">
            <v>1668.3999999999999</v>
          </cell>
          <cell r="V74">
            <v>7.3963078398465526E-2</v>
          </cell>
          <cell r="W74">
            <v>1552</v>
          </cell>
          <cell r="X74">
            <v>0.8</v>
          </cell>
          <cell r="Y74">
            <v>0</v>
          </cell>
          <cell r="Z74">
            <v>0</v>
          </cell>
          <cell r="AA74">
            <v>1878</v>
          </cell>
          <cell r="AB74">
            <v>1552</v>
          </cell>
          <cell r="AC74">
            <v>1725</v>
          </cell>
          <cell r="AD74">
            <v>1821</v>
          </cell>
          <cell r="AE74">
            <v>1916.05</v>
          </cell>
          <cell r="AF74">
            <v>0.19000026095352415</v>
          </cell>
          <cell r="AG74">
            <v>0.19365361029200698</v>
          </cell>
          <cell r="AH74">
            <v>2131</v>
          </cell>
          <cell r="AI74">
            <v>2345</v>
          </cell>
          <cell r="AJ74">
            <v>0.33816631130063968</v>
          </cell>
          <cell r="AK74">
            <v>2558.5</v>
          </cell>
          <cell r="AL74">
            <v>2772</v>
          </cell>
          <cell r="AM74">
            <v>0.44011544011544013</v>
          </cell>
          <cell r="AN74">
            <v>2879</v>
          </cell>
          <cell r="AO74">
            <v>2986</v>
          </cell>
          <cell r="AP74">
            <v>3093</v>
          </cell>
          <cell r="AQ74">
            <v>0</v>
          </cell>
          <cell r="AS74">
            <v>3200</v>
          </cell>
        </row>
        <row r="75">
          <cell r="B75" t="str">
            <v>AC</v>
          </cell>
          <cell r="C75" t="str">
            <v>DOM</v>
          </cell>
          <cell r="D75" t="str">
            <v>DOM</v>
          </cell>
          <cell r="E75" t="str">
            <v>08</v>
          </cell>
          <cell r="F75">
            <v>39924</v>
          </cell>
          <cell r="G75">
            <v>40001</v>
          </cell>
          <cell r="H75" t="str">
            <v>7640002567</v>
          </cell>
          <cell r="I75" t="str">
            <v>3KMH7640002567</v>
          </cell>
          <cell r="J75">
            <v>0</v>
          </cell>
          <cell r="K75" t="str">
            <v>EFI Secure Erase</v>
          </cell>
          <cell r="L75">
            <v>825</v>
          </cell>
          <cell r="M75">
            <v>400</v>
          </cell>
          <cell r="N75">
            <v>412</v>
          </cell>
          <cell r="O75">
            <v>3.7383177570093455E-2</v>
          </cell>
          <cell r="P75">
            <v>428</v>
          </cell>
          <cell r="Q75">
            <v>424</v>
          </cell>
          <cell r="R75">
            <v>479.12</v>
          </cell>
          <cell r="S75">
            <v>535</v>
          </cell>
          <cell r="T75">
            <v>0.22990654205607478</v>
          </cell>
          <cell r="U75">
            <v>460.09999999999997</v>
          </cell>
          <cell r="V75">
            <v>0.10454249076287757</v>
          </cell>
          <cell r="W75">
            <v>428</v>
          </cell>
          <cell r="X75">
            <v>0.8</v>
          </cell>
          <cell r="Y75">
            <v>0</v>
          </cell>
          <cell r="Z75">
            <v>0</v>
          </cell>
          <cell r="AA75">
            <v>518</v>
          </cell>
          <cell r="AB75">
            <v>428</v>
          </cell>
          <cell r="AC75">
            <v>476</v>
          </cell>
          <cell r="AD75">
            <v>503</v>
          </cell>
          <cell r="AE75">
            <v>528.4</v>
          </cell>
          <cell r="AF75">
            <v>0.19000757002271004</v>
          </cell>
          <cell r="AG75">
            <v>0.22028766086298254</v>
          </cell>
          <cell r="AH75">
            <v>588</v>
          </cell>
          <cell r="AI75">
            <v>647</v>
          </cell>
          <cell r="AJ75">
            <v>0.33848531684698607</v>
          </cell>
          <cell r="AK75">
            <v>706</v>
          </cell>
          <cell r="AL75">
            <v>765</v>
          </cell>
          <cell r="AM75">
            <v>0.44052287581699345</v>
          </cell>
          <cell r="AN75">
            <v>780</v>
          </cell>
          <cell r="AO75">
            <v>795</v>
          </cell>
          <cell r="AP75">
            <v>810</v>
          </cell>
          <cell r="AQ75">
            <v>0</v>
          </cell>
          <cell r="AS75">
            <v>825</v>
          </cell>
        </row>
        <row r="76">
          <cell r="B76" t="str">
            <v>AC</v>
          </cell>
          <cell r="C76" t="str">
            <v>DOM</v>
          </cell>
          <cell r="D76" t="str">
            <v>DOM</v>
          </cell>
          <cell r="E76" t="str">
            <v>08</v>
          </cell>
          <cell r="F76">
            <v>39924</v>
          </cell>
          <cell r="G76">
            <v>40001</v>
          </cell>
          <cell r="H76" t="str">
            <v>7640002568</v>
          </cell>
          <cell r="I76" t="str">
            <v>3KMH7640002568</v>
          </cell>
          <cell r="J76">
            <v>0</v>
          </cell>
          <cell r="K76" t="str">
            <v>EFI Hot Folders</v>
          </cell>
          <cell r="L76">
            <v>825</v>
          </cell>
          <cell r="M76">
            <v>400</v>
          </cell>
          <cell r="N76">
            <v>412</v>
          </cell>
          <cell r="O76">
            <v>3.7383177570093455E-2</v>
          </cell>
          <cell r="P76">
            <v>428</v>
          </cell>
          <cell r="Q76">
            <v>424</v>
          </cell>
          <cell r="R76">
            <v>479.12</v>
          </cell>
          <cell r="S76">
            <v>535</v>
          </cell>
          <cell r="T76">
            <v>0.22990654205607478</v>
          </cell>
          <cell r="U76">
            <v>460.09999999999997</v>
          </cell>
          <cell r="V76">
            <v>0.10454249076287757</v>
          </cell>
          <cell r="W76">
            <v>428</v>
          </cell>
          <cell r="X76">
            <v>0.8</v>
          </cell>
          <cell r="Y76">
            <v>0</v>
          </cell>
          <cell r="Z76">
            <v>0</v>
          </cell>
          <cell r="AA76">
            <v>518</v>
          </cell>
          <cell r="AB76">
            <v>428</v>
          </cell>
          <cell r="AC76">
            <v>476</v>
          </cell>
          <cell r="AD76">
            <v>503</v>
          </cell>
          <cell r="AE76">
            <v>528.4</v>
          </cell>
          <cell r="AF76">
            <v>0.19000757002271004</v>
          </cell>
          <cell r="AG76">
            <v>0.22028766086298254</v>
          </cell>
          <cell r="AH76">
            <v>588</v>
          </cell>
          <cell r="AI76">
            <v>647</v>
          </cell>
          <cell r="AJ76">
            <v>0.33848531684698607</v>
          </cell>
          <cell r="AK76">
            <v>706</v>
          </cell>
          <cell r="AL76">
            <v>765</v>
          </cell>
          <cell r="AM76">
            <v>0.44052287581699345</v>
          </cell>
          <cell r="AN76">
            <v>780</v>
          </cell>
          <cell r="AO76">
            <v>795</v>
          </cell>
          <cell r="AP76">
            <v>810</v>
          </cell>
          <cell r="AQ76">
            <v>0</v>
          </cell>
          <cell r="AS76">
            <v>825</v>
          </cell>
        </row>
        <row r="77">
          <cell r="B77" t="str">
            <v>AC</v>
          </cell>
          <cell r="C77" t="str">
            <v>DOM</v>
          </cell>
          <cell r="D77" t="str">
            <v>DOM</v>
          </cell>
          <cell r="E77" t="str">
            <v>08</v>
          </cell>
          <cell r="F77">
            <v>39924</v>
          </cell>
          <cell r="G77">
            <v>40001</v>
          </cell>
          <cell r="H77" t="str">
            <v>7640002569</v>
          </cell>
          <cell r="I77" t="str">
            <v>3KMH7640002569</v>
          </cell>
          <cell r="J77" t="str">
            <v>DNU</v>
          </cell>
          <cell r="K77" t="str">
            <v>EFI AutoTrap</v>
          </cell>
          <cell r="L77">
            <v>825</v>
          </cell>
          <cell r="M77">
            <v>400</v>
          </cell>
          <cell r="N77">
            <v>412</v>
          </cell>
          <cell r="O77">
            <v>3.7383177570093455E-2</v>
          </cell>
          <cell r="P77">
            <v>428</v>
          </cell>
          <cell r="Q77">
            <v>424</v>
          </cell>
          <cell r="R77">
            <v>479.12</v>
          </cell>
          <cell r="S77">
            <v>535</v>
          </cell>
          <cell r="T77">
            <v>0.22990654205607478</v>
          </cell>
          <cell r="U77">
            <v>460.09999999999997</v>
          </cell>
          <cell r="V77">
            <v>0.10454249076287757</v>
          </cell>
          <cell r="W77">
            <v>428</v>
          </cell>
          <cell r="X77">
            <v>0.8</v>
          </cell>
          <cell r="Y77">
            <v>0</v>
          </cell>
          <cell r="Z77">
            <v>0</v>
          </cell>
          <cell r="AA77">
            <v>518</v>
          </cell>
          <cell r="AB77">
            <v>428</v>
          </cell>
          <cell r="AC77">
            <v>476</v>
          </cell>
          <cell r="AD77">
            <v>503</v>
          </cell>
          <cell r="AE77">
            <v>528.4</v>
          </cell>
          <cell r="AF77">
            <v>0.19000757002271004</v>
          </cell>
          <cell r="AG77">
            <v>0.22028766086298254</v>
          </cell>
          <cell r="AH77">
            <v>588</v>
          </cell>
          <cell r="AI77">
            <v>647</v>
          </cell>
          <cell r="AJ77">
            <v>0.33848531684698607</v>
          </cell>
          <cell r="AK77">
            <v>706</v>
          </cell>
          <cell r="AL77">
            <v>765</v>
          </cell>
          <cell r="AM77">
            <v>0.44052287581699345</v>
          </cell>
          <cell r="AN77">
            <v>780</v>
          </cell>
          <cell r="AO77">
            <v>795</v>
          </cell>
          <cell r="AP77">
            <v>810</v>
          </cell>
          <cell r="AQ77">
            <v>0</v>
          </cell>
          <cell r="AS77">
            <v>825</v>
          </cell>
        </row>
        <row r="78">
          <cell r="B78" t="str">
            <v>AC</v>
          </cell>
          <cell r="C78" t="str">
            <v>DOM</v>
          </cell>
          <cell r="D78" t="str">
            <v>DOM</v>
          </cell>
          <cell r="E78" t="str">
            <v>08</v>
          </cell>
          <cell r="F78">
            <v>39924</v>
          </cell>
          <cell r="G78">
            <v>40001</v>
          </cell>
          <cell r="H78" t="str">
            <v>7640002844</v>
          </cell>
          <cell r="I78" t="str">
            <v>3KMM7640002844</v>
          </cell>
          <cell r="J78">
            <v>0</v>
          </cell>
          <cell r="K78" t="str">
            <v>512MB x 2 (1GB total) upgrade memory for IC-302/303/305</v>
          </cell>
          <cell r="L78">
            <v>520</v>
          </cell>
          <cell r="M78">
            <v>210</v>
          </cell>
          <cell r="N78">
            <v>216.3</v>
          </cell>
          <cell r="O78">
            <v>0</v>
          </cell>
          <cell r="P78">
            <v>216.3</v>
          </cell>
          <cell r="Q78">
            <v>222.6</v>
          </cell>
          <cell r="R78">
            <v>251.54</v>
          </cell>
          <cell r="S78">
            <v>265.8</v>
          </cell>
          <cell r="T78">
            <v>0.18623024830699775</v>
          </cell>
          <cell r="U78">
            <v>228.58799999999999</v>
          </cell>
          <cell r="V78">
            <v>5.3756102682555443E-2</v>
          </cell>
          <cell r="W78">
            <v>216.3</v>
          </cell>
          <cell r="X78">
            <v>0.81376975169300225</v>
          </cell>
          <cell r="Y78">
            <v>0</v>
          </cell>
          <cell r="Z78">
            <v>0</v>
          </cell>
          <cell r="AA78">
            <v>262</v>
          </cell>
          <cell r="AB78">
            <v>217</v>
          </cell>
          <cell r="AC78">
            <v>241</v>
          </cell>
          <cell r="AD78">
            <v>255</v>
          </cell>
          <cell r="AE78">
            <v>267.04000000000002</v>
          </cell>
          <cell r="AF78">
            <v>0.19000898741761535</v>
          </cell>
          <cell r="AG78">
            <v>0.19000898741761535</v>
          </cell>
          <cell r="AH78">
            <v>298</v>
          </cell>
          <cell r="AI78">
            <v>328</v>
          </cell>
          <cell r="AJ78">
            <v>0.34054878048780485</v>
          </cell>
          <cell r="AK78">
            <v>357.5</v>
          </cell>
          <cell r="AL78">
            <v>387</v>
          </cell>
          <cell r="AM78">
            <v>0.44108527131782943</v>
          </cell>
          <cell r="AN78">
            <v>420.25</v>
          </cell>
          <cell r="AO78">
            <v>453.5</v>
          </cell>
          <cell r="AP78">
            <v>486.75</v>
          </cell>
          <cell r="AQ78">
            <v>0</v>
          </cell>
          <cell r="AR78">
            <v>811</v>
          </cell>
          <cell r="AS78">
            <v>520</v>
          </cell>
        </row>
        <row r="79">
          <cell r="B79" t="str">
            <v>AC</v>
          </cell>
          <cell r="C79" t="str">
            <v>DOM</v>
          </cell>
          <cell r="D79" t="str">
            <v>DOM</v>
          </cell>
          <cell r="E79" t="str">
            <v>08</v>
          </cell>
          <cell r="F79">
            <v>39924</v>
          </cell>
          <cell r="G79">
            <v>40001</v>
          </cell>
          <cell r="H79" t="str">
            <v>7640002845</v>
          </cell>
          <cell r="I79" t="str">
            <v>3KMM7640002845</v>
          </cell>
          <cell r="J79">
            <v>0</v>
          </cell>
          <cell r="K79" t="str">
            <v>1GB x 2  (2GB total) upgrade memory for IC-302/303/305</v>
          </cell>
          <cell r="L79">
            <v>815</v>
          </cell>
          <cell r="M79">
            <v>350</v>
          </cell>
          <cell r="N79">
            <v>360.5</v>
          </cell>
          <cell r="O79">
            <v>0</v>
          </cell>
          <cell r="P79">
            <v>360.5</v>
          </cell>
          <cell r="Q79">
            <v>371</v>
          </cell>
          <cell r="R79">
            <v>419.23</v>
          </cell>
          <cell r="S79">
            <v>439.4</v>
          </cell>
          <cell r="T79">
            <v>0.17956304050978603</v>
          </cell>
          <cell r="U79">
            <v>377.88399999999996</v>
          </cell>
          <cell r="V79">
            <v>4.6003535476495327E-2</v>
          </cell>
          <cell r="W79">
            <v>360.5</v>
          </cell>
          <cell r="X79">
            <v>0.820436959490214</v>
          </cell>
          <cell r="Y79">
            <v>0</v>
          </cell>
          <cell r="Z79">
            <v>0</v>
          </cell>
          <cell r="AA79">
            <v>436</v>
          </cell>
          <cell r="AB79">
            <v>361</v>
          </cell>
          <cell r="AC79">
            <v>401</v>
          </cell>
          <cell r="AD79">
            <v>424</v>
          </cell>
          <cell r="AE79">
            <v>445.06</v>
          </cell>
          <cell r="AF79">
            <v>0.18999685435671596</v>
          </cell>
          <cell r="AG79">
            <v>0.18999685435671596</v>
          </cell>
          <cell r="AH79">
            <v>496</v>
          </cell>
          <cell r="AI79">
            <v>545</v>
          </cell>
          <cell r="AJ79">
            <v>0.33853211009174311</v>
          </cell>
          <cell r="AK79">
            <v>594.5</v>
          </cell>
          <cell r="AL79">
            <v>644</v>
          </cell>
          <cell r="AM79">
            <v>0.44021739130434784</v>
          </cell>
          <cell r="AN79">
            <v>686.75</v>
          </cell>
          <cell r="AO79">
            <v>729.5</v>
          </cell>
          <cell r="AP79">
            <v>772.25</v>
          </cell>
          <cell r="AQ79">
            <v>0</v>
          </cell>
          <cell r="AR79">
            <v>811</v>
          </cell>
          <cell r="AS79">
            <v>815</v>
          </cell>
        </row>
        <row r="80">
          <cell r="B80" t="str">
            <v>AC</v>
          </cell>
          <cell r="C80" t="str">
            <v>DOM</v>
          </cell>
          <cell r="D80" t="str">
            <v>DOM</v>
          </cell>
          <cell r="E80" t="str">
            <v>08</v>
          </cell>
          <cell r="F80">
            <v>39924</v>
          </cell>
          <cell r="G80">
            <v>40001</v>
          </cell>
          <cell r="H80" t="str">
            <v>7640002934</v>
          </cell>
          <cell r="I80" t="str">
            <v>3KMM7640002934</v>
          </cell>
          <cell r="J80" t="str">
            <v>NLA</v>
          </cell>
          <cell r="K80" t="str">
            <v>512MB upgrade memory for IC-408</v>
          </cell>
          <cell r="L80">
            <v>395</v>
          </cell>
          <cell r="M80">
            <v>185.4368932038835</v>
          </cell>
          <cell r="N80">
            <v>191</v>
          </cell>
          <cell r="O80">
            <v>8.1730769230769232E-2</v>
          </cell>
          <cell r="P80">
            <v>208</v>
          </cell>
          <cell r="Q80">
            <v>196.56</v>
          </cell>
          <cell r="R80">
            <v>222.11</v>
          </cell>
          <cell r="S80">
            <v>260</v>
          </cell>
          <cell r="T80">
            <v>0.26538461538461539</v>
          </cell>
          <cell r="U80">
            <v>201.34399999999999</v>
          </cell>
          <cell r="V80">
            <v>5.1374761602034302E-2</v>
          </cell>
          <cell r="W80">
            <v>208</v>
          </cell>
          <cell r="X80">
            <v>0.8</v>
          </cell>
          <cell r="Y80">
            <v>0</v>
          </cell>
          <cell r="Z80">
            <v>0</v>
          </cell>
          <cell r="AA80">
            <v>252</v>
          </cell>
          <cell r="AB80">
            <v>208</v>
          </cell>
          <cell r="AC80">
            <v>232</v>
          </cell>
          <cell r="AD80">
            <v>245</v>
          </cell>
          <cell r="AE80">
            <v>256.79000000000002</v>
          </cell>
          <cell r="AF80">
            <v>0.18999961057673592</v>
          </cell>
          <cell r="AG80">
            <v>0.2562015654815219</v>
          </cell>
          <cell r="AH80">
            <v>286</v>
          </cell>
          <cell r="AI80">
            <v>315</v>
          </cell>
          <cell r="AJ80">
            <v>0.3396825396825397</v>
          </cell>
          <cell r="AK80">
            <v>343.5</v>
          </cell>
          <cell r="AL80">
            <v>372</v>
          </cell>
          <cell r="AM80">
            <v>0.44086021505376344</v>
          </cell>
          <cell r="AN80">
            <v>377.75</v>
          </cell>
          <cell r="AO80">
            <v>383.5</v>
          </cell>
          <cell r="AP80">
            <v>389.25</v>
          </cell>
          <cell r="AQ80">
            <v>0</v>
          </cell>
          <cell r="AR80">
            <v>811</v>
          </cell>
          <cell r="AS80">
            <v>395</v>
          </cell>
        </row>
        <row r="81">
          <cell r="B81" t="str">
            <v>AC</v>
          </cell>
          <cell r="C81" t="str">
            <v>DOM</v>
          </cell>
          <cell r="D81" t="str">
            <v>DOM</v>
          </cell>
          <cell r="E81" t="str">
            <v>08</v>
          </cell>
          <cell r="F81">
            <v>39924</v>
          </cell>
          <cell r="G81">
            <v>40001</v>
          </cell>
          <cell r="H81" t="str">
            <v>7640004311</v>
          </cell>
          <cell r="I81" t="str">
            <v>6KM7640004311_N</v>
          </cell>
          <cell r="J81" t="str">
            <v>NLA</v>
          </cell>
          <cell r="K81" t="str">
            <v>EFI Secure Erase</v>
          </cell>
          <cell r="L81">
            <v>825</v>
          </cell>
          <cell r="M81">
            <v>400</v>
          </cell>
          <cell r="N81">
            <v>412</v>
          </cell>
          <cell r="O81">
            <v>3.7383177570093455E-2</v>
          </cell>
          <cell r="P81">
            <v>428</v>
          </cell>
          <cell r="Q81">
            <v>424</v>
          </cell>
          <cell r="R81">
            <v>479.12</v>
          </cell>
          <cell r="S81">
            <v>535</v>
          </cell>
          <cell r="T81">
            <v>0.22990654205607478</v>
          </cell>
          <cell r="U81">
            <v>460.09999999999997</v>
          </cell>
          <cell r="V81">
            <v>0.10454249076287757</v>
          </cell>
          <cell r="W81">
            <v>428</v>
          </cell>
          <cell r="X81">
            <v>0.8</v>
          </cell>
          <cell r="Y81">
            <v>0</v>
          </cell>
          <cell r="Z81">
            <v>0</v>
          </cell>
          <cell r="AA81">
            <v>518</v>
          </cell>
          <cell r="AB81">
            <v>428</v>
          </cell>
          <cell r="AC81">
            <v>476</v>
          </cell>
          <cell r="AD81">
            <v>503</v>
          </cell>
          <cell r="AE81">
            <v>528.4</v>
          </cell>
          <cell r="AF81">
            <v>0.19000757002271004</v>
          </cell>
          <cell r="AG81">
            <v>0.22028766086298254</v>
          </cell>
          <cell r="AH81">
            <v>588</v>
          </cell>
          <cell r="AI81">
            <v>647</v>
          </cell>
          <cell r="AJ81">
            <v>0.33848531684698607</v>
          </cell>
          <cell r="AK81">
            <v>706</v>
          </cell>
          <cell r="AL81">
            <v>765</v>
          </cell>
          <cell r="AM81">
            <v>0.44052287581699345</v>
          </cell>
          <cell r="AN81">
            <v>780</v>
          </cell>
          <cell r="AO81">
            <v>795</v>
          </cell>
          <cell r="AP81">
            <v>810</v>
          </cell>
          <cell r="AQ81">
            <v>0</v>
          </cell>
          <cell r="AR81">
            <v>811</v>
          </cell>
          <cell r="AS81">
            <v>825</v>
          </cell>
        </row>
        <row r="82">
          <cell r="B82" t="str">
            <v>AC</v>
          </cell>
          <cell r="C82" t="str">
            <v>DOM</v>
          </cell>
          <cell r="D82" t="str">
            <v>DOM</v>
          </cell>
          <cell r="E82" t="str">
            <v>08</v>
          </cell>
          <cell r="F82">
            <v>39924</v>
          </cell>
          <cell r="G82">
            <v>40001</v>
          </cell>
          <cell r="H82" t="str">
            <v>7640004312</v>
          </cell>
          <cell r="I82" t="str">
            <v>6KM7640004312_N</v>
          </cell>
          <cell r="J82">
            <v>0</v>
          </cell>
          <cell r="K82" t="str">
            <v>EFI Hot Folders</v>
          </cell>
          <cell r="L82">
            <v>825</v>
          </cell>
          <cell r="M82">
            <v>400</v>
          </cell>
          <cell r="N82">
            <v>412</v>
          </cell>
          <cell r="O82">
            <v>3.7383177570093455E-2</v>
          </cell>
          <cell r="P82">
            <v>428</v>
          </cell>
          <cell r="Q82">
            <v>424</v>
          </cell>
          <cell r="R82">
            <v>479.12</v>
          </cell>
          <cell r="S82">
            <v>535</v>
          </cell>
          <cell r="T82">
            <v>0.22990654205607478</v>
          </cell>
          <cell r="U82">
            <v>460.09999999999997</v>
          </cell>
          <cell r="V82">
            <v>0.10454249076287757</v>
          </cell>
          <cell r="W82">
            <v>428</v>
          </cell>
          <cell r="X82">
            <v>0.8</v>
          </cell>
          <cell r="Y82">
            <v>0</v>
          </cell>
          <cell r="Z82">
            <v>0</v>
          </cell>
          <cell r="AA82">
            <v>518</v>
          </cell>
          <cell r="AB82">
            <v>428</v>
          </cell>
          <cell r="AC82">
            <v>476</v>
          </cell>
          <cell r="AD82">
            <v>503</v>
          </cell>
          <cell r="AE82">
            <v>528.4</v>
          </cell>
          <cell r="AF82">
            <v>0.19000757002271004</v>
          </cell>
          <cell r="AG82">
            <v>0.22028766086298254</v>
          </cell>
          <cell r="AH82">
            <v>588</v>
          </cell>
          <cell r="AI82">
            <v>647</v>
          </cell>
          <cell r="AJ82">
            <v>0.33848531684698607</v>
          </cell>
          <cell r="AK82">
            <v>706</v>
          </cell>
          <cell r="AL82">
            <v>765</v>
          </cell>
          <cell r="AM82">
            <v>0.44052287581699345</v>
          </cell>
          <cell r="AN82">
            <v>780</v>
          </cell>
          <cell r="AO82">
            <v>795</v>
          </cell>
          <cell r="AP82">
            <v>810</v>
          </cell>
          <cell r="AQ82">
            <v>0</v>
          </cell>
          <cell r="AR82">
            <v>811</v>
          </cell>
          <cell r="AS82">
            <v>825</v>
          </cell>
        </row>
        <row r="83">
          <cell r="B83" t="str">
            <v>AC</v>
          </cell>
          <cell r="C83" t="str">
            <v>DOM</v>
          </cell>
          <cell r="D83" t="str">
            <v>DOM</v>
          </cell>
          <cell r="E83" t="str">
            <v>08</v>
          </cell>
          <cell r="F83">
            <v>39924</v>
          </cell>
          <cell r="G83">
            <v>40001</v>
          </cell>
          <cell r="H83" t="str">
            <v>7640004313</v>
          </cell>
          <cell r="I83" t="str">
            <v>6KM7640004313_N</v>
          </cell>
          <cell r="J83">
            <v>0</v>
          </cell>
          <cell r="K83" t="str">
            <v>EFI AutoTrap</v>
          </cell>
          <cell r="L83">
            <v>825</v>
          </cell>
          <cell r="M83">
            <v>400</v>
          </cell>
          <cell r="N83">
            <v>412</v>
          </cell>
          <cell r="O83">
            <v>3.7383177570093455E-2</v>
          </cell>
          <cell r="P83">
            <v>428</v>
          </cell>
          <cell r="Q83">
            <v>424</v>
          </cell>
          <cell r="R83">
            <v>479.12</v>
          </cell>
          <cell r="S83">
            <v>535</v>
          </cell>
          <cell r="T83">
            <v>0.22990654205607478</v>
          </cell>
          <cell r="U83">
            <v>460.09999999999997</v>
          </cell>
          <cell r="V83">
            <v>0.10454249076287757</v>
          </cell>
          <cell r="W83">
            <v>428</v>
          </cell>
          <cell r="X83">
            <v>0.8</v>
          </cell>
          <cell r="Y83">
            <v>0</v>
          </cell>
          <cell r="Z83">
            <v>0</v>
          </cell>
          <cell r="AA83">
            <v>518</v>
          </cell>
          <cell r="AB83">
            <v>428</v>
          </cell>
          <cell r="AC83">
            <v>476</v>
          </cell>
          <cell r="AD83">
            <v>503</v>
          </cell>
          <cell r="AE83">
            <v>528.4</v>
          </cell>
          <cell r="AF83">
            <v>0.19000757002271004</v>
          </cell>
          <cell r="AG83">
            <v>0.22028766086298254</v>
          </cell>
          <cell r="AH83">
            <v>588</v>
          </cell>
          <cell r="AI83">
            <v>647</v>
          </cell>
          <cell r="AJ83">
            <v>0.33848531684698607</v>
          </cell>
          <cell r="AK83">
            <v>706</v>
          </cell>
          <cell r="AL83">
            <v>765</v>
          </cell>
          <cell r="AM83">
            <v>0.44052287581699345</v>
          </cell>
          <cell r="AN83">
            <v>780</v>
          </cell>
          <cell r="AO83">
            <v>795</v>
          </cell>
          <cell r="AP83">
            <v>810</v>
          </cell>
          <cell r="AQ83">
            <v>0</v>
          </cell>
          <cell r="AS83">
            <v>825</v>
          </cell>
        </row>
        <row r="84">
          <cell r="B84" t="str">
            <v>AC</v>
          </cell>
          <cell r="C84" t="str">
            <v>DOM</v>
          </cell>
          <cell r="D84" t="str">
            <v>DOM</v>
          </cell>
          <cell r="E84" t="str">
            <v>08</v>
          </cell>
          <cell r="F84">
            <v>39924</v>
          </cell>
          <cell r="G84">
            <v>40001</v>
          </cell>
          <cell r="H84" t="str">
            <v>7640004314</v>
          </cell>
          <cell r="I84" t="str">
            <v>6KMES1000SV2_N</v>
          </cell>
          <cell r="J84">
            <v>0</v>
          </cell>
          <cell r="K84" t="str">
            <v>ES-1000 Spectrophotometer  V 2.0</v>
          </cell>
          <cell r="L84">
            <v>1300</v>
          </cell>
          <cell r="M84">
            <v>624</v>
          </cell>
          <cell r="N84">
            <v>642.72</v>
          </cell>
          <cell r="O84">
            <v>7.3356401384083031E-2</v>
          </cell>
          <cell r="P84">
            <v>693.6</v>
          </cell>
          <cell r="Q84">
            <v>661.44</v>
          </cell>
          <cell r="R84">
            <v>747.43</v>
          </cell>
          <cell r="S84">
            <v>867</v>
          </cell>
          <cell r="T84">
            <v>0.25868512110726638</v>
          </cell>
          <cell r="U84">
            <v>745.62</v>
          </cell>
          <cell r="V84">
            <v>0.13800595477589117</v>
          </cell>
          <cell r="W84">
            <v>693.6</v>
          </cell>
          <cell r="X84">
            <v>0.8</v>
          </cell>
          <cell r="Y84">
            <v>0</v>
          </cell>
          <cell r="Z84">
            <v>0</v>
          </cell>
          <cell r="AA84">
            <v>839</v>
          </cell>
          <cell r="AB84">
            <v>694</v>
          </cell>
          <cell r="AC84">
            <v>771</v>
          </cell>
          <cell r="AD84">
            <v>814</v>
          </cell>
          <cell r="AE84">
            <v>856.3</v>
          </cell>
          <cell r="AF84">
            <v>0.19000350344505423</v>
          </cell>
          <cell r="AG84">
            <v>0.24942193156603987</v>
          </cell>
          <cell r="AH84">
            <v>953</v>
          </cell>
          <cell r="AI84">
            <v>1048</v>
          </cell>
          <cell r="AJ84">
            <v>0.33816793893129771</v>
          </cell>
          <cell r="AK84">
            <v>1143.5</v>
          </cell>
          <cell r="AL84">
            <v>1239</v>
          </cell>
          <cell r="AM84">
            <v>0.44019370460048424</v>
          </cell>
          <cell r="AN84">
            <v>1254.25</v>
          </cell>
          <cell r="AO84">
            <v>1269.5</v>
          </cell>
          <cell r="AP84">
            <v>1284.75</v>
          </cell>
          <cell r="AQ84">
            <v>0</v>
          </cell>
          <cell r="AS84">
            <v>1300</v>
          </cell>
        </row>
        <row r="85">
          <cell r="B85" t="str">
            <v>AC</v>
          </cell>
          <cell r="C85" t="str">
            <v>DOM</v>
          </cell>
          <cell r="D85" t="str">
            <v>DOM</v>
          </cell>
          <cell r="E85" t="str">
            <v>08</v>
          </cell>
          <cell r="F85">
            <v>39924</v>
          </cell>
          <cell r="G85">
            <v>40001</v>
          </cell>
          <cell r="H85" t="str">
            <v>7640004610</v>
          </cell>
          <cell r="I85" t="str">
            <v>3KMH7640004610</v>
          </cell>
          <cell r="J85">
            <v>0</v>
          </cell>
          <cell r="K85" t="str">
            <v>EFI bundle options  for IC-305 - GA Premium, Compose Impose 2.7, Color profiler, FACI-furniture bundle</v>
          </cell>
          <cell r="L85">
            <v>13850</v>
          </cell>
          <cell r="M85">
            <v>6643</v>
          </cell>
          <cell r="N85">
            <v>6842.29</v>
          </cell>
          <cell r="O85">
            <v>6.1980423338451371E-2</v>
          </cell>
          <cell r="P85">
            <v>7294.4</v>
          </cell>
          <cell r="Q85">
            <v>7041.58</v>
          </cell>
          <cell r="R85">
            <v>7956.99</v>
          </cell>
          <cell r="S85">
            <v>9118</v>
          </cell>
          <cell r="T85">
            <v>0.24958433867076113</v>
          </cell>
          <cell r="U85">
            <v>7841.48</v>
          </cell>
          <cell r="V85">
            <v>0.12742364961716407</v>
          </cell>
          <cell r="W85">
            <v>7294.4</v>
          </cell>
          <cell r="X85">
            <v>0.79999999999999993</v>
          </cell>
          <cell r="Y85">
            <v>0</v>
          </cell>
          <cell r="Z85">
            <v>0</v>
          </cell>
          <cell r="AA85">
            <v>8825</v>
          </cell>
          <cell r="AB85">
            <v>7295</v>
          </cell>
          <cell r="AC85">
            <v>8105</v>
          </cell>
          <cell r="AD85">
            <v>8556</v>
          </cell>
          <cell r="AE85">
            <v>9005.43</v>
          </cell>
          <cell r="AF85">
            <v>0.18999981122500542</v>
          </cell>
          <cell r="AG85">
            <v>0.24020396582950512</v>
          </cell>
          <cell r="AH85">
            <v>10011</v>
          </cell>
          <cell r="AI85">
            <v>11016</v>
          </cell>
          <cell r="AJ85">
            <v>0.33783587509077706</v>
          </cell>
          <cell r="AK85">
            <v>12021</v>
          </cell>
          <cell r="AL85">
            <v>13026</v>
          </cell>
          <cell r="AM85">
            <v>0.44001228312605561</v>
          </cell>
          <cell r="AN85">
            <v>13232</v>
          </cell>
          <cell r="AO85">
            <v>13438</v>
          </cell>
          <cell r="AP85">
            <v>13644</v>
          </cell>
          <cell r="AQ85">
            <v>0</v>
          </cell>
          <cell r="AS85">
            <v>13850</v>
          </cell>
        </row>
        <row r="86">
          <cell r="B86" t="str">
            <v>AC</v>
          </cell>
          <cell r="C86" t="str">
            <v>DOM</v>
          </cell>
          <cell r="D86" t="str">
            <v>DOM</v>
          </cell>
          <cell r="E86" t="str">
            <v>08</v>
          </cell>
          <cell r="F86">
            <v>39924</v>
          </cell>
          <cell r="G86">
            <v>40001</v>
          </cell>
          <cell r="H86" t="str">
            <v>7640004611</v>
          </cell>
          <cell r="I86" t="str">
            <v>3KMH7640004611</v>
          </cell>
          <cell r="J86">
            <v>0</v>
          </cell>
          <cell r="K86" t="str">
            <v>EFI Compose v2.0</v>
          </cell>
          <cell r="L86">
            <v>3200</v>
          </cell>
          <cell r="M86">
            <v>1500</v>
          </cell>
          <cell r="N86">
            <v>1545</v>
          </cell>
          <cell r="O86">
            <v>4.5103092783505151E-3</v>
          </cell>
          <cell r="P86">
            <v>1552</v>
          </cell>
          <cell r="Q86">
            <v>1590</v>
          </cell>
          <cell r="R86">
            <v>1796.7</v>
          </cell>
          <cell r="S86">
            <v>1940</v>
          </cell>
          <cell r="T86">
            <v>0.20360824742268041</v>
          </cell>
          <cell r="U86">
            <v>1668.3999999999999</v>
          </cell>
          <cell r="V86">
            <v>7.3963078398465526E-2</v>
          </cell>
          <cell r="W86">
            <v>1552</v>
          </cell>
          <cell r="X86">
            <v>0.8</v>
          </cell>
          <cell r="Y86">
            <v>0</v>
          </cell>
          <cell r="Z86">
            <v>0</v>
          </cell>
          <cell r="AA86">
            <v>1878</v>
          </cell>
          <cell r="AB86">
            <v>1552</v>
          </cell>
          <cell r="AC86">
            <v>1725</v>
          </cell>
          <cell r="AD86">
            <v>1821</v>
          </cell>
          <cell r="AE86">
            <v>1916.05</v>
          </cell>
          <cell r="AF86">
            <v>0.19000026095352415</v>
          </cell>
          <cell r="AG86">
            <v>0.19365361029200698</v>
          </cell>
          <cell r="AH86">
            <v>2131</v>
          </cell>
          <cell r="AI86">
            <v>2345</v>
          </cell>
          <cell r="AJ86">
            <v>0.33816631130063968</v>
          </cell>
          <cell r="AK86">
            <v>2558.5</v>
          </cell>
          <cell r="AL86">
            <v>2772</v>
          </cell>
          <cell r="AM86">
            <v>0.44011544011544013</v>
          </cell>
          <cell r="AN86">
            <v>2879</v>
          </cell>
          <cell r="AO86">
            <v>2986</v>
          </cell>
          <cell r="AP86">
            <v>3093</v>
          </cell>
          <cell r="AQ86">
            <v>0</v>
          </cell>
          <cell r="AS86">
            <v>3200</v>
          </cell>
        </row>
        <row r="87">
          <cell r="B87" t="str">
            <v>AC</v>
          </cell>
          <cell r="C87" t="str">
            <v>DOM</v>
          </cell>
          <cell r="D87" t="str">
            <v>DOM</v>
          </cell>
          <cell r="E87" t="str">
            <v>08</v>
          </cell>
          <cell r="F87">
            <v>39924</v>
          </cell>
          <cell r="G87">
            <v>40001</v>
          </cell>
          <cell r="H87" t="str">
            <v>7640004612</v>
          </cell>
          <cell r="I87" t="str">
            <v>3KMH7640004612</v>
          </cell>
          <cell r="J87">
            <v>0</v>
          </cell>
          <cell r="K87" t="str">
            <v>EFI Impose 2.7 for IC-305</v>
          </cell>
          <cell r="L87">
            <v>2500</v>
          </cell>
          <cell r="M87">
            <v>1250</v>
          </cell>
          <cell r="N87">
            <v>1287.5</v>
          </cell>
          <cell r="O87">
            <v>9.6153846153846159E-3</v>
          </cell>
          <cell r="P87">
            <v>1300</v>
          </cell>
          <cell r="Q87">
            <v>1325</v>
          </cell>
          <cell r="R87">
            <v>1497.25</v>
          </cell>
          <cell r="S87">
            <v>1625</v>
          </cell>
          <cell r="T87">
            <v>0.2076923076923077</v>
          </cell>
          <cell r="U87">
            <v>1397.5</v>
          </cell>
          <cell r="V87">
            <v>7.8711985688729877E-2</v>
          </cell>
          <cell r="W87">
            <v>1300</v>
          </cell>
          <cell r="X87">
            <v>0.8</v>
          </cell>
          <cell r="Y87">
            <v>0</v>
          </cell>
          <cell r="Z87">
            <v>0</v>
          </cell>
          <cell r="AA87">
            <v>1573</v>
          </cell>
          <cell r="AB87">
            <v>1300</v>
          </cell>
          <cell r="AC87">
            <v>1445</v>
          </cell>
          <cell r="AD87">
            <v>1525</v>
          </cell>
          <cell r="AE87">
            <v>1604.94</v>
          </cell>
          <cell r="AF87">
            <v>0.19000087230675292</v>
          </cell>
          <cell r="AG87">
            <v>0.19778932545764955</v>
          </cell>
          <cell r="AH87">
            <v>1785</v>
          </cell>
          <cell r="AI87">
            <v>1964</v>
          </cell>
          <cell r="AJ87">
            <v>0.3380855397148676</v>
          </cell>
          <cell r="AK87">
            <v>2143</v>
          </cell>
          <cell r="AL87">
            <v>2322</v>
          </cell>
          <cell r="AM87">
            <v>0.44013781223083548</v>
          </cell>
          <cell r="AN87">
            <v>2366.5</v>
          </cell>
          <cell r="AO87">
            <v>2411</v>
          </cell>
          <cell r="AP87">
            <v>2455.5</v>
          </cell>
          <cell r="AQ87">
            <v>0</v>
          </cell>
          <cell r="AS87">
            <v>2500</v>
          </cell>
        </row>
        <row r="88">
          <cell r="B88" t="str">
            <v>AC</v>
          </cell>
          <cell r="C88" t="str">
            <v>DOM</v>
          </cell>
          <cell r="D88" t="str">
            <v>DOM</v>
          </cell>
          <cell r="E88" t="str">
            <v>08</v>
          </cell>
          <cell r="F88">
            <v>39924</v>
          </cell>
          <cell r="G88">
            <v>40001</v>
          </cell>
          <cell r="H88" t="str">
            <v>7640004613</v>
          </cell>
          <cell r="I88" t="str">
            <v>3KMH7640004613</v>
          </cell>
          <cell r="J88">
            <v>0</v>
          </cell>
          <cell r="K88" t="str">
            <v>19 inch FACI  Furniture bundle for IC-305</v>
          </cell>
          <cell r="L88">
            <v>3000</v>
          </cell>
          <cell r="M88">
            <v>1335</v>
          </cell>
          <cell r="N88">
            <v>1375.05</v>
          </cell>
          <cell r="O88">
            <v>9.5361842105263189E-2</v>
          </cell>
          <cell r="P88">
            <v>1520</v>
          </cell>
          <cell r="Q88">
            <v>1415.1</v>
          </cell>
          <cell r="R88">
            <v>1599.06</v>
          </cell>
          <cell r="S88">
            <v>1900</v>
          </cell>
          <cell r="T88">
            <v>0.27628947368421053</v>
          </cell>
          <cell r="U88">
            <v>1471.36</v>
          </cell>
          <cell r="V88">
            <v>6.5456448455850344E-2</v>
          </cell>
          <cell r="W88">
            <v>1520</v>
          </cell>
          <cell r="X88">
            <v>0.8</v>
          </cell>
          <cell r="Y88">
            <v>0</v>
          </cell>
          <cell r="Z88">
            <v>0</v>
          </cell>
          <cell r="AA88">
            <v>1839</v>
          </cell>
          <cell r="AB88">
            <v>1520</v>
          </cell>
          <cell r="AC88">
            <v>1689</v>
          </cell>
          <cell r="AD88">
            <v>1783</v>
          </cell>
          <cell r="AE88">
            <v>1876.54</v>
          </cell>
          <cell r="AF88">
            <v>0.18999861447131422</v>
          </cell>
          <cell r="AG88">
            <v>0.26724183870314516</v>
          </cell>
          <cell r="AH88">
            <v>2087</v>
          </cell>
          <cell r="AI88">
            <v>2296</v>
          </cell>
          <cell r="AJ88">
            <v>0.33797909407665505</v>
          </cell>
          <cell r="AK88">
            <v>2505.5</v>
          </cell>
          <cell r="AL88">
            <v>2715</v>
          </cell>
          <cell r="AM88">
            <v>0.44014732965009207</v>
          </cell>
          <cell r="AN88">
            <v>2786.25</v>
          </cell>
          <cell r="AO88">
            <v>2857.5</v>
          </cell>
          <cell r="AP88">
            <v>2928.75</v>
          </cell>
          <cell r="AQ88">
            <v>0</v>
          </cell>
          <cell r="AS88">
            <v>3000</v>
          </cell>
        </row>
        <row r="89">
          <cell r="B89" t="str">
            <v>AC</v>
          </cell>
          <cell r="C89" t="str">
            <v>DOM</v>
          </cell>
          <cell r="D89" t="str">
            <v>DOM</v>
          </cell>
          <cell r="E89" t="str">
            <v>08</v>
          </cell>
          <cell r="F89">
            <v>39924</v>
          </cell>
          <cell r="G89">
            <v>40001</v>
          </cell>
          <cell r="H89" t="str">
            <v>7640004614</v>
          </cell>
          <cell r="I89" t="str">
            <v>3KMH7640004614</v>
          </cell>
          <cell r="J89">
            <v>0</v>
          </cell>
          <cell r="K89" t="str">
            <v>FACI Enable dongle for IC-305</v>
          </cell>
          <cell r="L89">
            <v>1350</v>
          </cell>
          <cell r="M89">
            <v>500</v>
          </cell>
          <cell r="N89">
            <v>515</v>
          </cell>
          <cell r="O89">
            <v>0.26679954441913439</v>
          </cell>
          <cell r="P89">
            <v>702.4</v>
          </cell>
          <cell r="Q89">
            <v>530</v>
          </cell>
          <cell r="R89">
            <v>598.9</v>
          </cell>
          <cell r="S89">
            <v>878</v>
          </cell>
          <cell r="T89">
            <v>0.41343963553530749</v>
          </cell>
          <cell r="U89">
            <v>679.92319999999995</v>
          </cell>
          <cell r="V89">
            <v>0.24256151282968424</v>
          </cell>
          <cell r="W89">
            <v>702.4</v>
          </cell>
          <cell r="X89">
            <v>0.79999999999999993</v>
          </cell>
          <cell r="Y89">
            <v>0</v>
          </cell>
          <cell r="Z89">
            <v>0</v>
          </cell>
          <cell r="AA89">
            <v>850</v>
          </cell>
          <cell r="AB89">
            <v>703</v>
          </cell>
          <cell r="AC89">
            <v>781</v>
          </cell>
          <cell r="AD89">
            <v>825</v>
          </cell>
          <cell r="AE89">
            <v>867.16</v>
          </cell>
          <cell r="AF89">
            <v>0.18999953872411088</v>
          </cell>
          <cell r="AG89">
            <v>0.40610729277180679</v>
          </cell>
          <cell r="AH89">
            <v>965</v>
          </cell>
          <cell r="AI89">
            <v>1062</v>
          </cell>
          <cell r="AJ89">
            <v>0.33860640301318268</v>
          </cell>
          <cell r="AK89">
            <v>1158.5</v>
          </cell>
          <cell r="AL89">
            <v>1255</v>
          </cell>
          <cell r="AM89">
            <v>0.44031872509960163</v>
          </cell>
          <cell r="AN89">
            <v>1278.75</v>
          </cell>
          <cell r="AO89">
            <v>1302.5</v>
          </cell>
          <cell r="AP89">
            <v>1326.25</v>
          </cell>
          <cell r="AQ89">
            <v>0</v>
          </cell>
          <cell r="AS89">
            <v>1350</v>
          </cell>
        </row>
        <row r="90">
          <cell r="B90" t="str">
            <v>AC</v>
          </cell>
          <cell r="C90" t="str">
            <v>DOM</v>
          </cell>
          <cell r="D90" t="str">
            <v>DOM</v>
          </cell>
          <cell r="E90" t="str">
            <v>08</v>
          </cell>
          <cell r="F90">
            <v>39924</v>
          </cell>
          <cell r="G90">
            <v>40001</v>
          </cell>
          <cell r="H90" t="str">
            <v>7640005064</v>
          </cell>
          <cell r="I90" t="str">
            <v>3KMBPSE7640005064</v>
          </cell>
          <cell r="J90">
            <v>0</v>
          </cell>
          <cell r="K90" t="str">
            <v>AU-201H HID Proximity Card Authentication Unit</v>
          </cell>
          <cell r="L90">
            <v>399</v>
          </cell>
          <cell r="M90">
            <v>41.65</v>
          </cell>
          <cell r="N90">
            <v>42.899499999999996</v>
          </cell>
          <cell r="O90">
            <v>0.74464583333333345</v>
          </cell>
          <cell r="P90">
            <v>168</v>
          </cell>
          <cell r="Q90">
            <v>44.15</v>
          </cell>
          <cell r="R90">
            <v>49.89</v>
          </cell>
          <cell r="S90">
            <v>210</v>
          </cell>
          <cell r="T90">
            <v>0.79571666666666674</v>
          </cell>
          <cell r="U90">
            <v>162.624</v>
          </cell>
          <cell r="V90">
            <v>0.73620437327823696</v>
          </cell>
          <cell r="W90">
            <v>168</v>
          </cell>
          <cell r="X90">
            <v>0.8</v>
          </cell>
          <cell r="Y90">
            <v>0</v>
          </cell>
          <cell r="Z90">
            <v>0</v>
          </cell>
          <cell r="AA90">
            <v>203</v>
          </cell>
          <cell r="AB90">
            <v>168</v>
          </cell>
          <cell r="AC90">
            <v>187</v>
          </cell>
          <cell r="AD90">
            <v>198</v>
          </cell>
          <cell r="AE90">
            <v>207.41</v>
          </cell>
          <cell r="AF90">
            <v>0.19001012487343907</v>
          </cell>
          <cell r="AG90">
            <v>0.79316571042861972</v>
          </cell>
          <cell r="AH90">
            <v>231</v>
          </cell>
          <cell r="AI90">
            <v>254</v>
          </cell>
          <cell r="AJ90">
            <v>0.33858267716535434</v>
          </cell>
          <cell r="AK90">
            <v>277</v>
          </cell>
          <cell r="AL90">
            <v>300</v>
          </cell>
          <cell r="AM90">
            <v>0.44</v>
          </cell>
          <cell r="AN90">
            <v>324.75</v>
          </cell>
          <cell r="AO90">
            <v>349.5</v>
          </cell>
          <cell r="AP90">
            <v>374.25</v>
          </cell>
          <cell r="AQ90">
            <v>0</v>
          </cell>
          <cell r="AS90">
            <v>399</v>
          </cell>
        </row>
        <row r="91">
          <cell r="B91" t="str">
            <v>AC</v>
          </cell>
          <cell r="C91" t="str">
            <v>DOM</v>
          </cell>
          <cell r="D91" t="str">
            <v>DOM</v>
          </cell>
          <cell r="E91" t="str">
            <v>08</v>
          </cell>
          <cell r="F91">
            <v>39924</v>
          </cell>
          <cell r="G91">
            <v>40001</v>
          </cell>
          <cell r="H91" t="str">
            <v>7640005261</v>
          </cell>
          <cell r="I91" t="str">
            <v>3KMB7640005261</v>
          </cell>
          <cell r="J91" t="str">
            <v>NLA</v>
          </cell>
          <cell r="K91" t="str">
            <v>HID Proximity Cards - 10 pack</v>
          </cell>
          <cell r="L91">
            <v>65</v>
          </cell>
          <cell r="M91">
            <v>26.1</v>
          </cell>
          <cell r="N91">
            <v>26.883000000000003</v>
          </cell>
          <cell r="O91">
            <v>0.11569078947368408</v>
          </cell>
          <cell r="P91">
            <v>30.4</v>
          </cell>
          <cell r="Q91">
            <v>27.67</v>
          </cell>
          <cell r="R91">
            <v>31.27</v>
          </cell>
          <cell r="S91">
            <v>38</v>
          </cell>
          <cell r="T91">
            <v>0.29255263157894729</v>
          </cell>
          <cell r="U91">
            <v>29.427199999999999</v>
          </cell>
          <cell r="V91">
            <v>8.6457427142235643E-2</v>
          </cell>
          <cell r="W91">
            <v>30.4</v>
          </cell>
          <cell r="X91">
            <v>0.79999999999999993</v>
          </cell>
          <cell r="Y91">
            <v>0</v>
          </cell>
          <cell r="Z91">
            <v>0</v>
          </cell>
          <cell r="AA91">
            <v>37</v>
          </cell>
          <cell r="AB91">
            <v>31</v>
          </cell>
          <cell r="AC91">
            <v>34</v>
          </cell>
          <cell r="AD91">
            <v>36</v>
          </cell>
          <cell r="AE91">
            <v>37.53</v>
          </cell>
          <cell r="AF91">
            <v>0.18998134825472962</v>
          </cell>
          <cell r="AG91">
            <v>0.28369304556354913</v>
          </cell>
          <cell r="AH91">
            <v>43</v>
          </cell>
          <cell r="AI91">
            <v>47</v>
          </cell>
          <cell r="AJ91">
            <v>0.35319148936170214</v>
          </cell>
          <cell r="AK91">
            <v>51</v>
          </cell>
          <cell r="AL91">
            <v>55</v>
          </cell>
          <cell r="AM91">
            <v>0.44727272727272732</v>
          </cell>
          <cell r="AN91">
            <v>57.5</v>
          </cell>
          <cell r="AO91">
            <v>60</v>
          </cell>
          <cell r="AP91">
            <v>62.5</v>
          </cell>
          <cell r="AQ91">
            <v>0</v>
          </cell>
          <cell r="AS91">
            <v>65</v>
          </cell>
        </row>
        <row r="92">
          <cell r="B92" t="str">
            <v>AC</v>
          </cell>
          <cell r="C92" t="str">
            <v>DOM</v>
          </cell>
          <cell r="D92" t="str">
            <v>DOM</v>
          </cell>
          <cell r="E92" t="str">
            <v>08</v>
          </cell>
          <cell r="F92">
            <v>39924</v>
          </cell>
          <cell r="G92">
            <v>40001</v>
          </cell>
          <cell r="H92" t="str">
            <v>7640005324</v>
          </cell>
          <cell r="I92" t="str">
            <v>3KMB7640005324_</v>
          </cell>
          <cell r="J92">
            <v>0</v>
          </cell>
          <cell r="K92" t="str">
            <v>EFI Color Profiler V2 Software Only</v>
          </cell>
          <cell r="L92">
            <v>1900</v>
          </cell>
          <cell r="M92">
            <v>950</v>
          </cell>
          <cell r="N92">
            <v>978.5</v>
          </cell>
          <cell r="O92">
            <v>8.0357142857142863E-2</v>
          </cell>
          <cell r="P92">
            <v>1064</v>
          </cell>
          <cell r="Q92">
            <v>1007</v>
          </cell>
          <cell r="R92">
            <v>1137.9100000000001</v>
          </cell>
          <cell r="S92">
            <v>1330</v>
          </cell>
          <cell r="T92">
            <v>0.26428571428571429</v>
          </cell>
          <cell r="U92">
            <v>1143.8</v>
          </cell>
          <cell r="V92">
            <v>0.14451827242524914</v>
          </cell>
          <cell r="W92">
            <v>1064</v>
          </cell>
          <cell r="X92">
            <v>0.8</v>
          </cell>
          <cell r="Y92">
            <v>0</v>
          </cell>
          <cell r="Z92">
            <v>0</v>
          </cell>
          <cell r="AA92">
            <v>1287</v>
          </cell>
          <cell r="AB92">
            <v>1064</v>
          </cell>
          <cell r="AC92">
            <v>1183</v>
          </cell>
          <cell r="AD92">
            <v>1249</v>
          </cell>
          <cell r="AE92">
            <v>1313.58</v>
          </cell>
          <cell r="AF92">
            <v>0.18999984774433223</v>
          </cell>
          <cell r="AG92">
            <v>0.25508914569344837</v>
          </cell>
          <cell r="AH92">
            <v>1461</v>
          </cell>
          <cell r="AI92">
            <v>1607</v>
          </cell>
          <cell r="AJ92">
            <v>0.33789670192906035</v>
          </cell>
          <cell r="AK92">
            <v>1753.5</v>
          </cell>
          <cell r="AL92">
            <v>1900</v>
          </cell>
          <cell r="AM92">
            <v>0.44</v>
          </cell>
          <cell r="AN92">
            <v>1900</v>
          </cell>
          <cell r="AO92">
            <v>1900</v>
          </cell>
          <cell r="AP92">
            <v>1900</v>
          </cell>
          <cell r="AQ92">
            <v>0</v>
          </cell>
          <cell r="AS92">
            <v>1900</v>
          </cell>
        </row>
        <row r="93">
          <cell r="B93" t="str">
            <v>AC</v>
          </cell>
          <cell r="C93" t="str">
            <v>DOM</v>
          </cell>
          <cell r="D93" t="str">
            <v>DOM</v>
          </cell>
          <cell r="E93" t="str">
            <v>P3</v>
          </cell>
          <cell r="F93">
            <v>39924</v>
          </cell>
          <cell r="G93">
            <v>40001</v>
          </cell>
          <cell r="H93" t="str">
            <v>7640006665</v>
          </cell>
          <cell r="I93" t="str">
            <v>3KMH7640006665_</v>
          </cell>
          <cell r="J93" t="str">
            <v>x</v>
          </cell>
          <cell r="K93" t="str">
            <v>USB Black Extension</v>
          </cell>
          <cell r="L93">
            <v>100</v>
          </cell>
          <cell r="M93">
            <v>10</v>
          </cell>
          <cell r="N93">
            <v>10.3</v>
          </cell>
          <cell r="O93">
            <v>-0.1764705882352941</v>
          </cell>
          <cell r="P93">
            <v>8.7550000000000008</v>
          </cell>
          <cell r="Q93">
            <v>10.6</v>
          </cell>
          <cell r="R93">
            <v>11.98</v>
          </cell>
          <cell r="S93">
            <v>50</v>
          </cell>
          <cell r="T93">
            <v>0.79400000000000004</v>
          </cell>
          <cell r="U93">
            <v>38.72</v>
          </cell>
          <cell r="V93">
            <v>0.73398760330578505</v>
          </cell>
          <cell r="W93">
            <v>8.7550000000000008</v>
          </cell>
          <cell r="X93">
            <v>0.17510000000000001</v>
          </cell>
          <cell r="Y93">
            <v>0</v>
          </cell>
          <cell r="Z93">
            <v>0</v>
          </cell>
          <cell r="AA93">
            <v>11</v>
          </cell>
          <cell r="AB93">
            <v>9</v>
          </cell>
          <cell r="AC93">
            <v>10</v>
          </cell>
          <cell r="AD93">
            <v>11</v>
          </cell>
          <cell r="AE93">
            <v>10.81</v>
          </cell>
          <cell r="AF93">
            <v>0.19010175763182235</v>
          </cell>
          <cell r="AG93">
            <v>4.7178538390379256E-2</v>
          </cell>
          <cell r="AH93">
            <v>12</v>
          </cell>
          <cell r="AI93">
            <v>12</v>
          </cell>
          <cell r="AJ93">
            <v>0.27041666666666658</v>
          </cell>
          <cell r="AK93">
            <v>12</v>
          </cell>
          <cell r="AL93">
            <v>12</v>
          </cell>
          <cell r="AM93">
            <v>0.27041666666666658</v>
          </cell>
          <cell r="AN93">
            <v>13.56</v>
          </cell>
          <cell r="AO93">
            <v>15.12</v>
          </cell>
          <cell r="AP93">
            <v>16.68</v>
          </cell>
          <cell r="AQ93">
            <v>0</v>
          </cell>
          <cell r="AS93">
            <v>100</v>
          </cell>
        </row>
        <row r="94">
          <cell r="B94" t="str">
            <v>AC</v>
          </cell>
          <cell r="C94" t="str">
            <v>DOM</v>
          </cell>
          <cell r="D94" t="str">
            <v>DOM</v>
          </cell>
          <cell r="E94" t="str">
            <v>08</v>
          </cell>
          <cell r="F94">
            <v>39924</v>
          </cell>
          <cell r="G94">
            <v>40001</v>
          </cell>
          <cell r="H94" t="str">
            <v>7640006869</v>
          </cell>
          <cell r="I94" t="str">
            <v>3KMH7640006869_</v>
          </cell>
          <cell r="J94" t="str">
            <v>NLA</v>
          </cell>
          <cell r="K94" t="str">
            <v>External Key Board</v>
          </cell>
          <cell r="L94">
            <v>210</v>
          </cell>
          <cell r="M94">
            <v>78</v>
          </cell>
          <cell r="N94">
            <v>80.34</v>
          </cell>
          <cell r="O94">
            <v>0.16312499999999996</v>
          </cell>
          <cell r="P94">
            <v>96</v>
          </cell>
          <cell r="Q94">
            <v>82.68</v>
          </cell>
          <cell r="R94">
            <v>93.43</v>
          </cell>
          <cell r="S94">
            <v>120</v>
          </cell>
          <cell r="T94">
            <v>0.33049999999999996</v>
          </cell>
          <cell r="U94">
            <v>92.927999999999997</v>
          </cell>
          <cell r="V94">
            <v>0.13545971074380159</v>
          </cell>
          <cell r="W94">
            <v>96</v>
          </cell>
          <cell r="X94">
            <v>0.8</v>
          </cell>
          <cell r="Y94">
            <v>0</v>
          </cell>
          <cell r="Z94">
            <v>0</v>
          </cell>
          <cell r="AA94">
            <v>116</v>
          </cell>
          <cell r="AB94">
            <v>96</v>
          </cell>
          <cell r="AC94">
            <v>107</v>
          </cell>
          <cell r="AD94">
            <v>113</v>
          </cell>
          <cell r="AE94">
            <v>118.52</v>
          </cell>
          <cell r="AF94">
            <v>0.19001012487343905</v>
          </cell>
          <cell r="AG94">
            <v>0.3221397232534593</v>
          </cell>
          <cell r="AH94">
            <v>133</v>
          </cell>
          <cell r="AI94">
            <v>146</v>
          </cell>
          <cell r="AJ94">
            <v>0.34246575342465752</v>
          </cell>
          <cell r="AK94">
            <v>159</v>
          </cell>
          <cell r="AL94">
            <v>172</v>
          </cell>
          <cell r="AM94">
            <v>0.44186046511627908</v>
          </cell>
          <cell r="AN94">
            <v>181.5</v>
          </cell>
          <cell r="AO94">
            <v>191</v>
          </cell>
          <cell r="AP94">
            <v>200.5</v>
          </cell>
          <cell r="AQ94">
            <v>0</v>
          </cell>
          <cell r="AS94">
            <v>210</v>
          </cell>
        </row>
        <row r="95">
          <cell r="B95" t="str">
            <v>AC</v>
          </cell>
          <cell r="C95" t="str">
            <v>DOM</v>
          </cell>
          <cell r="D95" t="str">
            <v>DOM</v>
          </cell>
          <cell r="E95" t="str">
            <v>08</v>
          </cell>
          <cell r="F95">
            <v>39924</v>
          </cell>
          <cell r="G95">
            <v>40164</v>
          </cell>
          <cell r="H95" t="str">
            <v>7671000281</v>
          </cell>
          <cell r="I95" t="str">
            <v>3MIHE524ZNT_</v>
          </cell>
          <cell r="J95" t="str">
            <v>NLA</v>
          </cell>
          <cell r="K95" t="str">
            <v>D524ZNT Power Filter (208 volt, 20 Amps, 1 Outlet)</v>
          </cell>
          <cell r="L95">
            <v>275</v>
          </cell>
          <cell r="M95">
            <v>110</v>
          </cell>
          <cell r="N95">
            <v>113.3</v>
          </cell>
          <cell r="O95">
            <v>0.11484375000000002</v>
          </cell>
          <cell r="P95">
            <v>128</v>
          </cell>
          <cell r="Q95">
            <v>116.6</v>
          </cell>
          <cell r="R95">
            <v>131.76</v>
          </cell>
          <cell r="S95">
            <v>160</v>
          </cell>
          <cell r="T95">
            <v>0.291875</v>
          </cell>
          <cell r="U95">
            <v>123.904</v>
          </cell>
          <cell r="V95">
            <v>8.5582386363636354E-2</v>
          </cell>
          <cell r="W95">
            <v>128</v>
          </cell>
          <cell r="X95">
            <v>0.8</v>
          </cell>
          <cell r="Y95">
            <v>0</v>
          </cell>
          <cell r="Z95">
            <v>0</v>
          </cell>
          <cell r="AA95">
            <v>155</v>
          </cell>
          <cell r="AB95">
            <v>128</v>
          </cell>
          <cell r="AC95">
            <v>143</v>
          </cell>
          <cell r="AD95">
            <v>151</v>
          </cell>
          <cell r="AE95">
            <v>158.02000000000001</v>
          </cell>
          <cell r="AF95">
            <v>0.18997595241108725</v>
          </cell>
          <cell r="AG95">
            <v>0.28300215162637649</v>
          </cell>
          <cell r="AH95">
            <v>177</v>
          </cell>
          <cell r="AI95">
            <v>194</v>
          </cell>
          <cell r="AJ95">
            <v>0.34020618556701032</v>
          </cell>
          <cell r="AK95">
            <v>211.5</v>
          </cell>
          <cell r="AL95">
            <v>229</v>
          </cell>
          <cell r="AM95">
            <v>0.44104803493449779</v>
          </cell>
          <cell r="AN95">
            <v>275</v>
          </cell>
          <cell r="AO95">
            <v>275</v>
          </cell>
          <cell r="AP95">
            <v>275</v>
          </cell>
          <cell r="AQ95">
            <v>0</v>
          </cell>
          <cell r="AS95">
            <v>275</v>
          </cell>
        </row>
        <row r="96">
          <cell r="B96" t="str">
            <v>AC</v>
          </cell>
          <cell r="C96" t="str">
            <v>DOM</v>
          </cell>
          <cell r="D96" t="str">
            <v>DOM</v>
          </cell>
          <cell r="E96" t="str">
            <v>P3</v>
          </cell>
          <cell r="F96">
            <v>39934</v>
          </cell>
          <cell r="G96">
            <v>40001</v>
          </cell>
          <cell r="H96" t="str">
            <v>7640000744</v>
          </cell>
          <cell r="I96" t="str">
            <v>3KMKPK505_</v>
          </cell>
          <cell r="J96">
            <v>0</v>
          </cell>
          <cell r="K96" t="str">
            <v>FACI KIT Stand FOR IC-302/IC-303</v>
          </cell>
          <cell r="L96">
            <v>675</v>
          </cell>
          <cell r="M96">
            <v>390</v>
          </cell>
          <cell r="N96">
            <v>401.7</v>
          </cell>
          <cell r="O96">
            <v>-0.1764705882352941</v>
          </cell>
          <cell r="P96">
            <v>341.44499999999999</v>
          </cell>
          <cell r="Q96">
            <v>413.4</v>
          </cell>
          <cell r="R96">
            <v>467.14</v>
          </cell>
          <cell r="S96">
            <v>435</v>
          </cell>
          <cell r="T96">
            <v>7.6551724137931057E-2</v>
          </cell>
          <cell r="U96">
            <v>401.7</v>
          </cell>
          <cell r="V96">
            <v>0</v>
          </cell>
          <cell r="W96">
            <v>341.44499999999999</v>
          </cell>
          <cell r="X96">
            <v>0.78493103448275858</v>
          </cell>
          <cell r="Y96">
            <v>0</v>
          </cell>
          <cell r="Z96">
            <v>0</v>
          </cell>
          <cell r="AA96">
            <v>413</v>
          </cell>
          <cell r="AB96">
            <v>342</v>
          </cell>
          <cell r="AC96">
            <v>380</v>
          </cell>
          <cell r="AD96">
            <v>401</v>
          </cell>
          <cell r="AE96">
            <v>421.54</v>
          </cell>
          <cell r="AF96">
            <v>0.19000569340987813</v>
          </cell>
          <cell r="AG96">
            <v>4.7065521658680151E-2</v>
          </cell>
          <cell r="AH96">
            <v>431</v>
          </cell>
          <cell r="AI96">
            <v>439</v>
          </cell>
          <cell r="AJ96">
            <v>0.22222095671981779</v>
          </cell>
          <cell r="AK96">
            <v>447.5</v>
          </cell>
          <cell r="AL96">
            <v>456</v>
          </cell>
          <cell r="AM96">
            <v>0.25121710526315794</v>
          </cell>
          <cell r="AN96">
            <v>510.75</v>
          </cell>
          <cell r="AO96">
            <v>565.5</v>
          </cell>
          <cell r="AP96">
            <v>620.25</v>
          </cell>
          <cell r="AQ96">
            <v>0</v>
          </cell>
          <cell r="AR96">
            <v>308</v>
          </cell>
          <cell r="AS96">
            <v>675</v>
          </cell>
        </row>
        <row r="97">
          <cell r="B97" t="str">
            <v>AC</v>
          </cell>
          <cell r="C97" t="str">
            <v>DOM</v>
          </cell>
          <cell r="D97" t="str">
            <v>DOM</v>
          </cell>
          <cell r="E97" t="str">
            <v>08</v>
          </cell>
          <cell r="F97">
            <v>39934</v>
          </cell>
          <cell r="G97">
            <v>40115</v>
          </cell>
          <cell r="H97" t="str">
            <v>7640001282</v>
          </cell>
          <cell r="I97" t="str">
            <v>6KMFS516STPFIN_N</v>
          </cell>
          <cell r="J97">
            <v>0</v>
          </cell>
          <cell r="K97" t="str">
            <v>DK-701 3-Drawer HT Cabinet</v>
          </cell>
          <cell r="L97">
            <v>218</v>
          </cell>
          <cell r="M97">
            <v>100</v>
          </cell>
          <cell r="N97">
            <v>103</v>
          </cell>
          <cell r="O97">
            <v>0</v>
          </cell>
          <cell r="P97">
            <v>103</v>
          </cell>
          <cell r="Q97">
            <v>106</v>
          </cell>
          <cell r="R97">
            <v>119.78</v>
          </cell>
          <cell r="S97">
            <v>125</v>
          </cell>
          <cell r="T97">
            <v>0.17599999999999999</v>
          </cell>
          <cell r="U97">
            <v>107.5</v>
          </cell>
          <cell r="V97">
            <v>4.1860465116279069E-2</v>
          </cell>
          <cell r="W97">
            <v>103</v>
          </cell>
          <cell r="X97">
            <v>0.82399999999999995</v>
          </cell>
          <cell r="Y97">
            <v>0</v>
          </cell>
          <cell r="Z97">
            <v>0</v>
          </cell>
          <cell r="AA97">
            <v>125</v>
          </cell>
          <cell r="AB97">
            <v>103</v>
          </cell>
          <cell r="AC97">
            <v>115</v>
          </cell>
          <cell r="AD97">
            <v>122</v>
          </cell>
          <cell r="AE97">
            <v>127.16</v>
          </cell>
          <cell r="AF97">
            <v>0.18999685435671593</v>
          </cell>
          <cell r="AG97">
            <v>0.18999685435671593</v>
          </cell>
          <cell r="AH97">
            <v>142</v>
          </cell>
          <cell r="AI97">
            <v>156</v>
          </cell>
          <cell r="AJ97">
            <v>0.33974358974358976</v>
          </cell>
          <cell r="AK97">
            <v>170</v>
          </cell>
          <cell r="AL97">
            <v>184</v>
          </cell>
          <cell r="AM97">
            <v>0.44021739130434784</v>
          </cell>
          <cell r="AN97">
            <v>192.5</v>
          </cell>
          <cell r="AO97">
            <v>201</v>
          </cell>
          <cell r="AP97">
            <v>209.5</v>
          </cell>
          <cell r="AQ97">
            <v>0</v>
          </cell>
          <cell r="AS97">
            <v>218</v>
          </cell>
        </row>
        <row r="98">
          <cell r="B98" t="str">
            <v>AC</v>
          </cell>
          <cell r="C98" t="str">
            <v>DOM</v>
          </cell>
          <cell r="D98" t="str">
            <v>DOM</v>
          </cell>
          <cell r="E98" t="str">
            <v>P3</v>
          </cell>
          <cell r="F98">
            <v>39934</v>
          </cell>
          <cell r="G98">
            <v>40001</v>
          </cell>
          <cell r="H98" t="str">
            <v>7640002301</v>
          </cell>
          <cell r="I98" t="str">
            <v>6KMLU201LCT_N</v>
          </cell>
          <cell r="J98">
            <v>0</v>
          </cell>
          <cell r="K98" t="str">
            <v>Dongle FACI Kit Enable for IC-302</v>
          </cell>
          <cell r="L98">
            <v>1350</v>
          </cell>
          <cell r="M98">
            <v>700</v>
          </cell>
          <cell r="N98">
            <v>721</v>
          </cell>
          <cell r="O98">
            <v>-0.17647058823529407</v>
          </cell>
          <cell r="P98">
            <v>612.85</v>
          </cell>
          <cell r="Q98">
            <v>742</v>
          </cell>
          <cell r="R98">
            <v>838.46</v>
          </cell>
          <cell r="S98">
            <v>878</v>
          </cell>
          <cell r="T98">
            <v>0.17881548974943051</v>
          </cell>
          <cell r="U98">
            <v>755.08</v>
          </cell>
          <cell r="V98">
            <v>4.5134290406314614E-2</v>
          </cell>
          <cell r="W98">
            <v>612.85</v>
          </cell>
          <cell r="X98">
            <v>0.69800683371298411</v>
          </cell>
          <cell r="Y98">
            <v>0</v>
          </cell>
          <cell r="Z98">
            <v>0</v>
          </cell>
          <cell r="AA98">
            <v>741</v>
          </cell>
          <cell r="AB98">
            <v>613</v>
          </cell>
          <cell r="AC98">
            <v>681</v>
          </cell>
          <cell r="AD98">
            <v>719</v>
          </cell>
          <cell r="AE98">
            <v>756.6</v>
          </cell>
          <cell r="AF98">
            <v>0.18999471319058947</v>
          </cell>
          <cell r="AG98">
            <v>4.7052603753634709E-2</v>
          </cell>
          <cell r="AH98">
            <v>773</v>
          </cell>
          <cell r="AI98">
            <v>788</v>
          </cell>
          <cell r="AJ98">
            <v>0.22227157360406088</v>
          </cell>
          <cell r="AK98">
            <v>803</v>
          </cell>
          <cell r="AL98">
            <v>818</v>
          </cell>
          <cell r="AM98">
            <v>0.25079462102689482</v>
          </cell>
          <cell r="AN98">
            <v>932.69</v>
          </cell>
          <cell r="AO98">
            <v>1047.3800000000001</v>
          </cell>
          <cell r="AP98">
            <v>1162.07</v>
          </cell>
          <cell r="AQ98">
            <v>0</v>
          </cell>
          <cell r="AS98">
            <v>1350</v>
          </cell>
        </row>
        <row r="99">
          <cell r="B99" t="str">
            <v>AC</v>
          </cell>
          <cell r="C99" t="str">
            <v>DOM</v>
          </cell>
          <cell r="D99" t="str">
            <v>DOM</v>
          </cell>
          <cell r="E99" t="str">
            <v>P3</v>
          </cell>
          <cell r="F99">
            <v>39934</v>
          </cell>
          <cell r="G99">
            <v>40001</v>
          </cell>
          <cell r="H99" t="str">
            <v>7640002324</v>
          </cell>
          <cell r="I99" t="str">
            <v>3KMHOT501OPT</v>
          </cell>
          <cell r="J99" t="str">
            <v>NLA</v>
          </cell>
          <cell r="K99" t="str">
            <v>Dongle FACI Kit Enable for IC-302</v>
          </cell>
          <cell r="L99">
            <v>1350</v>
          </cell>
          <cell r="M99">
            <v>700</v>
          </cell>
          <cell r="N99">
            <v>721</v>
          </cell>
          <cell r="O99">
            <v>-0.17647058823529407</v>
          </cell>
          <cell r="P99">
            <v>612.85</v>
          </cell>
          <cell r="Q99">
            <v>742</v>
          </cell>
          <cell r="R99">
            <v>838.46</v>
          </cell>
          <cell r="S99">
            <v>878</v>
          </cell>
          <cell r="T99">
            <v>0.17881548974943051</v>
          </cell>
          <cell r="U99">
            <v>755.08</v>
          </cell>
          <cell r="V99">
            <v>4.5134290406314614E-2</v>
          </cell>
          <cell r="W99">
            <v>612.85</v>
          </cell>
          <cell r="X99">
            <v>0.69800683371298411</v>
          </cell>
          <cell r="Y99">
            <v>0</v>
          </cell>
          <cell r="Z99">
            <v>0</v>
          </cell>
          <cell r="AA99">
            <v>741</v>
          </cell>
          <cell r="AB99">
            <v>613</v>
          </cell>
          <cell r="AC99">
            <v>681</v>
          </cell>
          <cell r="AD99">
            <v>719</v>
          </cell>
          <cell r="AE99">
            <v>756.6</v>
          </cell>
          <cell r="AF99">
            <v>0.18999471319058947</v>
          </cell>
          <cell r="AG99">
            <v>4.7052603753634709E-2</v>
          </cell>
          <cell r="AH99">
            <v>773</v>
          </cell>
          <cell r="AI99">
            <v>788</v>
          </cell>
          <cell r="AJ99">
            <v>0.22227157360406088</v>
          </cell>
          <cell r="AK99">
            <v>803</v>
          </cell>
          <cell r="AL99">
            <v>818</v>
          </cell>
          <cell r="AM99">
            <v>0.25079462102689482</v>
          </cell>
          <cell r="AN99">
            <v>932.69</v>
          </cell>
          <cell r="AO99">
            <v>1047.3800000000001</v>
          </cell>
          <cell r="AP99">
            <v>1162.07</v>
          </cell>
          <cell r="AQ99">
            <v>0</v>
          </cell>
          <cell r="AS99">
            <v>1350</v>
          </cell>
        </row>
        <row r="100">
          <cell r="B100" t="str">
            <v>AC</v>
          </cell>
          <cell r="C100" t="str">
            <v>DOM</v>
          </cell>
          <cell r="D100" t="str">
            <v>DOM</v>
          </cell>
          <cell r="E100" t="str">
            <v>P3</v>
          </cell>
          <cell r="F100">
            <v>39934</v>
          </cell>
          <cell r="G100">
            <v>40001</v>
          </cell>
          <cell r="H100" t="str">
            <v>7640002325</v>
          </cell>
          <cell r="I100" t="str">
            <v>3KMHRU502</v>
          </cell>
          <cell r="J100">
            <v>0</v>
          </cell>
          <cell r="K100" t="str">
            <v>FACI Kit for IC-303</v>
          </cell>
          <cell r="L100">
            <v>3599</v>
          </cell>
          <cell r="M100">
            <v>1545</v>
          </cell>
          <cell r="N100">
            <v>1591.3500000000001</v>
          </cell>
          <cell r="O100">
            <v>-0.17647058823529418</v>
          </cell>
          <cell r="P100">
            <v>1352.6475</v>
          </cell>
          <cell r="Q100">
            <v>1637.7</v>
          </cell>
          <cell r="R100">
            <v>1850.6</v>
          </cell>
          <cell r="S100">
            <v>2205</v>
          </cell>
          <cell r="T100">
            <v>0.27829931972789107</v>
          </cell>
          <cell r="U100">
            <v>1707.5519999999999</v>
          </cell>
          <cell r="V100">
            <v>6.8051807499859313E-2</v>
          </cell>
          <cell r="W100">
            <v>1352.6475</v>
          </cell>
          <cell r="X100">
            <v>0.61344557823129253</v>
          </cell>
          <cell r="Y100">
            <v>0</v>
          </cell>
          <cell r="Z100">
            <v>0</v>
          </cell>
          <cell r="AA100">
            <v>1637</v>
          </cell>
          <cell r="AB100">
            <v>1353</v>
          </cell>
          <cell r="AC100">
            <v>1503</v>
          </cell>
          <cell r="AD100">
            <v>1587</v>
          </cell>
          <cell r="AE100">
            <v>1669.94</v>
          </cell>
          <cell r="AF100">
            <v>0.19000233541324837</v>
          </cell>
          <cell r="AG100">
            <v>4.7061571074409808E-2</v>
          </cell>
          <cell r="AH100">
            <v>1704</v>
          </cell>
          <cell r="AI100">
            <v>1737</v>
          </cell>
          <cell r="AJ100">
            <v>0.22127374784110534</v>
          </cell>
          <cell r="AK100">
            <v>1770.5</v>
          </cell>
          <cell r="AL100">
            <v>1804</v>
          </cell>
          <cell r="AM100">
            <v>0.25019539911308203</v>
          </cell>
          <cell r="AN100">
            <v>2057.5</v>
          </cell>
          <cell r="AO100">
            <v>2311</v>
          </cell>
          <cell r="AP100">
            <v>2564.5</v>
          </cell>
          <cell r="AQ100">
            <v>0</v>
          </cell>
          <cell r="AS100">
            <v>3599</v>
          </cell>
        </row>
        <row r="101">
          <cell r="B101" t="str">
            <v>AC</v>
          </cell>
          <cell r="C101" t="str">
            <v>DOM</v>
          </cell>
          <cell r="D101" t="str">
            <v>DOM</v>
          </cell>
          <cell r="E101" t="str">
            <v>08</v>
          </cell>
          <cell r="F101">
            <v>39934</v>
          </cell>
          <cell r="G101">
            <v>40114</v>
          </cell>
          <cell r="H101" t="str">
            <v>7640004346</v>
          </cell>
          <cell r="I101" t="str">
            <v>3KMHHD50440GVHDD</v>
          </cell>
          <cell r="J101">
            <v>0</v>
          </cell>
          <cell r="K101" t="str">
            <v>EM-103 128MB Expanded Memory bizhub 181</v>
          </cell>
          <cell r="L101">
            <v>473</v>
          </cell>
          <cell r="M101">
            <v>184</v>
          </cell>
          <cell r="N101">
            <v>189.52</v>
          </cell>
          <cell r="O101">
            <v>6.9886140557518558E-2</v>
          </cell>
          <cell r="P101">
            <v>203.76</v>
          </cell>
          <cell r="Q101">
            <v>195.04</v>
          </cell>
          <cell r="R101">
            <v>220.4</v>
          </cell>
          <cell r="S101">
            <v>254.7</v>
          </cell>
          <cell r="T101">
            <v>0.25590891244601482</v>
          </cell>
          <cell r="U101">
            <v>219.04199999999997</v>
          </cell>
          <cell r="V101">
            <v>0.13477780516978463</v>
          </cell>
          <cell r="W101">
            <v>203.76</v>
          </cell>
          <cell r="X101">
            <v>0.8</v>
          </cell>
          <cell r="Y101">
            <v>0</v>
          </cell>
          <cell r="Z101">
            <v>0</v>
          </cell>
          <cell r="AA101">
            <v>247</v>
          </cell>
          <cell r="AB101">
            <v>204</v>
          </cell>
          <cell r="AC101">
            <v>227</v>
          </cell>
          <cell r="AD101">
            <v>240</v>
          </cell>
          <cell r="AE101">
            <v>251.56</v>
          </cell>
          <cell r="AF101">
            <v>0.1900143107012244</v>
          </cell>
          <cell r="AG101">
            <v>0.24662108443313718</v>
          </cell>
          <cell r="AH101">
            <v>280</v>
          </cell>
          <cell r="AI101">
            <v>308</v>
          </cell>
          <cell r="AJ101">
            <v>0.33844155844155849</v>
          </cell>
          <cell r="AK101">
            <v>336</v>
          </cell>
          <cell r="AL101">
            <v>364</v>
          </cell>
          <cell r="AM101">
            <v>0.44021978021978025</v>
          </cell>
          <cell r="AN101">
            <v>391.25</v>
          </cell>
          <cell r="AO101">
            <v>418.5</v>
          </cell>
          <cell r="AP101">
            <v>445.75</v>
          </cell>
          <cell r="AQ101">
            <v>0</v>
          </cell>
          <cell r="AS101">
            <v>473</v>
          </cell>
        </row>
        <row r="102">
          <cell r="B102" t="str">
            <v>AC</v>
          </cell>
          <cell r="C102" t="str">
            <v>DOM</v>
          </cell>
          <cell r="D102" t="str">
            <v>DOM</v>
          </cell>
          <cell r="E102" t="str">
            <v>08</v>
          </cell>
          <cell r="F102">
            <v>39934</v>
          </cell>
          <cell r="G102">
            <v>40114</v>
          </cell>
          <cell r="H102" t="str">
            <v>7640005369</v>
          </cell>
          <cell r="I102" t="str">
            <v>3KMHHD509HDD</v>
          </cell>
          <cell r="J102" t="str">
            <v>DNU</v>
          </cell>
          <cell r="K102" t="str">
            <v>HD-509 Hard Disk Kit (MXI)</v>
          </cell>
          <cell r="L102">
            <v>893</v>
          </cell>
          <cell r="M102">
            <v>130</v>
          </cell>
          <cell r="N102">
            <v>133.9</v>
          </cell>
          <cell r="O102">
            <v>0.67103970125786161</v>
          </cell>
          <cell r="P102">
            <v>407.04</v>
          </cell>
          <cell r="Q102">
            <v>137.80000000000001</v>
          </cell>
          <cell r="R102">
            <v>155.71</v>
          </cell>
          <cell r="S102">
            <v>508.8</v>
          </cell>
          <cell r="T102">
            <v>0.73683176100628922</v>
          </cell>
          <cell r="U102">
            <v>394.01472000000001</v>
          </cell>
          <cell r="V102">
            <v>0.66016498063828688</v>
          </cell>
          <cell r="W102">
            <v>407.04</v>
          </cell>
          <cell r="X102">
            <v>0.8</v>
          </cell>
          <cell r="Y102">
            <v>0</v>
          </cell>
          <cell r="Z102">
            <v>0</v>
          </cell>
          <cell r="AA102">
            <v>492</v>
          </cell>
          <cell r="AB102">
            <v>408</v>
          </cell>
          <cell r="AC102">
            <v>453</v>
          </cell>
          <cell r="AD102">
            <v>478</v>
          </cell>
          <cell r="AE102">
            <v>502.52</v>
          </cell>
          <cell r="AF102">
            <v>0.19000238796465804</v>
          </cell>
          <cell r="AG102">
            <v>0.73354294356443528</v>
          </cell>
          <cell r="AH102">
            <v>559</v>
          </cell>
          <cell r="AI102">
            <v>615</v>
          </cell>
          <cell r="AJ102">
            <v>0.3381463414634146</v>
          </cell>
          <cell r="AK102">
            <v>671</v>
          </cell>
          <cell r="AL102">
            <v>727</v>
          </cell>
          <cell r="AM102">
            <v>0.44011004126547454</v>
          </cell>
          <cell r="AN102">
            <v>768.5</v>
          </cell>
          <cell r="AO102">
            <v>810</v>
          </cell>
          <cell r="AP102">
            <v>851.5</v>
          </cell>
          <cell r="AQ102">
            <v>0</v>
          </cell>
          <cell r="AS102">
            <v>893</v>
          </cell>
        </row>
        <row r="103">
          <cell r="B103" t="str">
            <v>AC</v>
          </cell>
          <cell r="C103" t="str">
            <v>DOM</v>
          </cell>
          <cell r="D103" t="str">
            <v>DOM</v>
          </cell>
          <cell r="E103" t="str">
            <v>08</v>
          </cell>
          <cell r="F103">
            <v>39952</v>
          </cell>
          <cell r="G103">
            <v>40001</v>
          </cell>
          <cell r="H103" t="str">
            <v>7640002318</v>
          </cell>
          <cell r="I103" t="str">
            <v>4KMIC204IC_N</v>
          </cell>
          <cell r="J103">
            <v>0</v>
          </cell>
          <cell r="K103" t="str">
            <v>Hecon Base 10 Cable 2 (Made by Hitech)</v>
          </cell>
          <cell r="L103">
            <v>126</v>
          </cell>
          <cell r="M103">
            <v>38</v>
          </cell>
          <cell r="N103">
            <v>39.14</v>
          </cell>
          <cell r="O103">
            <v>0.28315018315018314</v>
          </cell>
          <cell r="P103">
            <v>54.6</v>
          </cell>
          <cell r="Q103">
            <v>40.28</v>
          </cell>
          <cell r="R103">
            <v>45.52</v>
          </cell>
          <cell r="S103">
            <v>68.25</v>
          </cell>
          <cell r="T103">
            <v>0.42652014652014653</v>
          </cell>
          <cell r="U103">
            <v>52.852800000000002</v>
          </cell>
          <cell r="V103">
            <v>0.25945266854357762</v>
          </cell>
          <cell r="W103">
            <v>54.6</v>
          </cell>
          <cell r="X103">
            <v>0.8</v>
          </cell>
          <cell r="Y103">
            <v>0</v>
          </cell>
          <cell r="Z103">
            <v>0</v>
          </cell>
          <cell r="AA103">
            <v>66</v>
          </cell>
          <cell r="AB103">
            <v>55</v>
          </cell>
          <cell r="AC103">
            <v>61</v>
          </cell>
          <cell r="AD103">
            <v>65</v>
          </cell>
          <cell r="AE103">
            <v>67.41</v>
          </cell>
          <cell r="AF103">
            <v>0.19003115264797502</v>
          </cell>
          <cell r="AG103">
            <v>0.41937398012164362</v>
          </cell>
          <cell r="AH103">
            <v>76</v>
          </cell>
          <cell r="AI103">
            <v>83</v>
          </cell>
          <cell r="AJ103">
            <v>0.34216867469879514</v>
          </cell>
          <cell r="AK103">
            <v>90.5</v>
          </cell>
          <cell r="AL103">
            <v>98</v>
          </cell>
          <cell r="AM103">
            <v>0.44285714285714284</v>
          </cell>
          <cell r="AN103">
            <v>105</v>
          </cell>
          <cell r="AO103">
            <v>112</v>
          </cell>
          <cell r="AP103">
            <v>119</v>
          </cell>
          <cell r="AQ103">
            <v>0</v>
          </cell>
          <cell r="AS103">
            <v>126</v>
          </cell>
        </row>
        <row r="104">
          <cell r="B104" t="str">
            <v>AC</v>
          </cell>
          <cell r="C104" t="str">
            <v>DOM</v>
          </cell>
          <cell r="D104" t="str">
            <v>DOM</v>
          </cell>
          <cell r="E104" t="str">
            <v>08</v>
          </cell>
          <cell r="F104">
            <v>39952</v>
          </cell>
          <cell r="G104">
            <v>40001</v>
          </cell>
          <cell r="H104" t="str">
            <v>7640002846</v>
          </cell>
          <cell r="I104" t="str">
            <v>3KMKMK708</v>
          </cell>
          <cell r="J104">
            <v>0</v>
          </cell>
          <cell r="K104" t="str">
            <v>ESP 10FT Cable for Power Filters</v>
          </cell>
          <cell r="L104">
            <v>50</v>
          </cell>
          <cell r="M104">
            <v>10</v>
          </cell>
          <cell r="N104">
            <v>10.3</v>
          </cell>
          <cell r="O104">
            <v>0.48499999999999999</v>
          </cell>
          <cell r="P104">
            <v>20</v>
          </cell>
          <cell r="Q104">
            <v>10.6</v>
          </cell>
          <cell r="R104">
            <v>11.98</v>
          </cell>
          <cell r="S104">
            <v>25</v>
          </cell>
          <cell r="T104">
            <v>0.58799999999999997</v>
          </cell>
          <cell r="U104">
            <v>19.36</v>
          </cell>
          <cell r="V104">
            <v>0.46797520661157022</v>
          </cell>
          <cell r="W104">
            <v>20</v>
          </cell>
          <cell r="X104">
            <v>0.8</v>
          </cell>
          <cell r="Y104">
            <v>0</v>
          </cell>
          <cell r="Z104">
            <v>0</v>
          </cell>
          <cell r="AA104">
            <v>24</v>
          </cell>
          <cell r="AB104">
            <v>20</v>
          </cell>
          <cell r="AC104">
            <v>23</v>
          </cell>
          <cell r="AD104">
            <v>24</v>
          </cell>
          <cell r="AE104">
            <v>24.69</v>
          </cell>
          <cell r="AF104">
            <v>0.18995544754961527</v>
          </cell>
          <cell r="AG104">
            <v>0.5828270554880518</v>
          </cell>
          <cell r="AH104">
            <v>28</v>
          </cell>
          <cell r="AI104">
            <v>31</v>
          </cell>
          <cell r="AJ104">
            <v>0.35483870967741937</v>
          </cell>
          <cell r="AK104">
            <v>33.5</v>
          </cell>
          <cell r="AL104">
            <v>36</v>
          </cell>
          <cell r="AM104">
            <v>0.44444444444444442</v>
          </cell>
          <cell r="AN104">
            <v>39.5</v>
          </cell>
          <cell r="AO104">
            <v>43</v>
          </cell>
          <cell r="AP104">
            <v>46.5</v>
          </cell>
          <cell r="AQ104">
            <v>0</v>
          </cell>
          <cell r="AS104">
            <v>50</v>
          </cell>
        </row>
        <row r="105">
          <cell r="B105" t="str">
            <v>AC</v>
          </cell>
          <cell r="C105" t="str">
            <v>DOM</v>
          </cell>
          <cell r="D105" t="str">
            <v>DOM</v>
          </cell>
          <cell r="E105" t="str">
            <v>P3</v>
          </cell>
          <cell r="F105">
            <v>39952</v>
          </cell>
          <cell r="G105">
            <v>40001</v>
          </cell>
          <cell r="H105" t="str">
            <v>7640004585</v>
          </cell>
          <cell r="I105" t="str">
            <v>3KMHML503</v>
          </cell>
          <cell r="J105">
            <v>0</v>
          </cell>
          <cell r="K105" t="str">
            <v>512MB x 2 (1GB total) upgrade memory for IC-302/303/305</v>
          </cell>
          <cell r="L105">
            <v>520</v>
          </cell>
          <cell r="M105">
            <v>210</v>
          </cell>
          <cell r="N105">
            <v>216.3</v>
          </cell>
          <cell r="O105">
            <v>-0.17647058823529407</v>
          </cell>
          <cell r="P105">
            <v>183.85500000000002</v>
          </cell>
          <cell r="Q105">
            <v>222.6</v>
          </cell>
          <cell r="R105">
            <v>251.54</v>
          </cell>
          <cell r="S105">
            <v>265.8</v>
          </cell>
          <cell r="T105">
            <v>0.18623024830699775</v>
          </cell>
          <cell r="U105">
            <v>228.58799999999999</v>
          </cell>
          <cell r="V105">
            <v>5.3756102682555443E-2</v>
          </cell>
          <cell r="W105">
            <v>183.85500000000002</v>
          </cell>
          <cell r="X105">
            <v>0.691704288939052</v>
          </cell>
          <cell r="Y105">
            <v>0</v>
          </cell>
          <cell r="Z105">
            <v>0</v>
          </cell>
          <cell r="AA105">
            <v>222</v>
          </cell>
          <cell r="AB105">
            <v>184</v>
          </cell>
          <cell r="AC105">
            <v>205</v>
          </cell>
          <cell r="AD105">
            <v>216</v>
          </cell>
          <cell r="AE105">
            <v>226.98</v>
          </cell>
          <cell r="AF105">
            <v>0.18999471319058936</v>
          </cell>
          <cell r="AG105">
            <v>4.7052603753634591E-2</v>
          </cell>
          <cell r="AH105">
            <v>232</v>
          </cell>
          <cell r="AI105">
            <v>237</v>
          </cell>
          <cell r="AJ105">
            <v>0.22424050632911385</v>
          </cell>
          <cell r="AK105">
            <v>241.5</v>
          </cell>
          <cell r="AL105">
            <v>246</v>
          </cell>
          <cell r="AM105">
            <v>0.25262195121951214</v>
          </cell>
          <cell r="AN105">
            <v>280.26</v>
          </cell>
          <cell r="AO105">
            <v>314.52</v>
          </cell>
          <cell r="AP105">
            <v>348.78</v>
          </cell>
          <cell r="AQ105">
            <v>0</v>
          </cell>
          <cell r="AR105">
            <v>503</v>
          </cell>
          <cell r="AS105">
            <v>520</v>
          </cell>
        </row>
        <row r="106">
          <cell r="B106" t="str">
            <v>AC</v>
          </cell>
          <cell r="C106" t="str">
            <v>DOM</v>
          </cell>
          <cell r="D106" t="str">
            <v>DOM</v>
          </cell>
          <cell r="E106" t="str">
            <v>P3</v>
          </cell>
          <cell r="F106">
            <v>39952</v>
          </cell>
          <cell r="G106">
            <v>40001</v>
          </cell>
          <cell r="H106" t="str">
            <v>7640004586</v>
          </cell>
          <cell r="I106" t="str">
            <v>7KMRADF605_N</v>
          </cell>
          <cell r="J106">
            <v>0</v>
          </cell>
          <cell r="K106" t="str">
            <v>1GB x 2  (2GB total) upgrade memory for IC-302/303/305</v>
          </cell>
          <cell r="L106">
            <v>815</v>
          </cell>
          <cell r="M106">
            <v>350</v>
          </cell>
          <cell r="N106">
            <v>360.5</v>
          </cell>
          <cell r="O106">
            <v>-0.17647058823529407</v>
          </cell>
          <cell r="P106">
            <v>306.42500000000001</v>
          </cell>
          <cell r="Q106">
            <v>371</v>
          </cell>
          <cell r="R106">
            <v>419.23</v>
          </cell>
          <cell r="S106">
            <v>439.4</v>
          </cell>
          <cell r="T106">
            <v>0.17956304050978603</v>
          </cell>
          <cell r="U106">
            <v>377.88399999999996</v>
          </cell>
          <cell r="V106">
            <v>4.6003535476495327E-2</v>
          </cell>
          <cell r="W106">
            <v>306.42500000000001</v>
          </cell>
          <cell r="X106">
            <v>0.69737141556668192</v>
          </cell>
          <cell r="Y106">
            <v>0</v>
          </cell>
          <cell r="Z106">
            <v>0</v>
          </cell>
          <cell r="AA106">
            <v>371</v>
          </cell>
          <cell r="AB106">
            <v>307</v>
          </cell>
          <cell r="AC106">
            <v>341</v>
          </cell>
          <cell r="AD106">
            <v>360</v>
          </cell>
          <cell r="AE106">
            <v>378.3</v>
          </cell>
          <cell r="AF106">
            <v>0.18999471319058947</v>
          </cell>
          <cell r="AG106">
            <v>4.7052603753634709E-2</v>
          </cell>
          <cell r="AH106">
            <v>387</v>
          </cell>
          <cell r="AI106">
            <v>394</v>
          </cell>
          <cell r="AJ106">
            <v>0.22227157360406088</v>
          </cell>
          <cell r="AK106">
            <v>401.5</v>
          </cell>
          <cell r="AL106">
            <v>409</v>
          </cell>
          <cell r="AM106">
            <v>0.25079462102689482</v>
          </cell>
          <cell r="AN106">
            <v>466.35</v>
          </cell>
          <cell r="AO106">
            <v>523.70000000000005</v>
          </cell>
          <cell r="AP106">
            <v>581.04999999999995</v>
          </cell>
          <cell r="AQ106">
            <v>0</v>
          </cell>
          <cell r="AR106">
            <v>503</v>
          </cell>
          <cell r="AS106">
            <v>815</v>
          </cell>
        </row>
        <row r="107">
          <cell r="B107" t="str">
            <v>AC</v>
          </cell>
          <cell r="C107" t="str">
            <v>DOM</v>
          </cell>
          <cell r="D107" t="str">
            <v>DOM</v>
          </cell>
          <cell r="E107" t="str">
            <v>P3</v>
          </cell>
          <cell r="F107">
            <v>39989</v>
          </cell>
          <cell r="G107">
            <v>40001</v>
          </cell>
          <cell r="H107" t="str">
            <v>7640000747</v>
          </cell>
          <cell r="I107" t="str">
            <v>6KMFS511CF_N</v>
          </cell>
          <cell r="J107">
            <v>0</v>
          </cell>
          <cell r="K107" t="str">
            <v xml:space="preserve">EFI Color Profiler Kit: ES-1000 Color Spectophotometer, Monitor Calibration Software &amp; Hardware </v>
          </cell>
          <cell r="L107">
            <v>2000</v>
          </cell>
          <cell r="M107">
            <v>1020</v>
          </cell>
          <cell r="N107">
            <v>1030</v>
          </cell>
          <cell r="O107">
            <v>-0.17647058823529413</v>
          </cell>
          <cell r="P107">
            <v>1325.52</v>
          </cell>
          <cell r="Q107">
            <v>1081.2</v>
          </cell>
          <cell r="R107">
            <v>1221.76</v>
          </cell>
          <cell r="S107">
            <v>1656.9</v>
          </cell>
          <cell r="T107">
            <v>0.35976824189751955</v>
          </cell>
          <cell r="U107">
            <v>1283.1033600000001</v>
          </cell>
          <cell r="V107">
            <v>0.17325444459906963</v>
          </cell>
          <cell r="W107">
            <v>875.5</v>
          </cell>
          <cell r="X107">
            <v>0.79999999999999993</v>
          </cell>
          <cell r="Y107">
            <v>0</v>
          </cell>
          <cell r="Z107">
            <v>0</v>
          </cell>
          <cell r="AA107">
            <v>1059</v>
          </cell>
          <cell r="AB107">
            <v>876</v>
          </cell>
          <cell r="AC107">
            <v>973</v>
          </cell>
          <cell r="AD107">
            <v>1027</v>
          </cell>
          <cell r="AE107">
            <v>1080.8599999999999</v>
          </cell>
          <cell r="AF107">
            <v>0.18999685435671587</v>
          </cell>
          <cell r="AG107">
            <v>4.7055122772606907E-2</v>
          </cell>
          <cell r="AH107">
            <v>1103</v>
          </cell>
          <cell r="AI107">
            <v>1125</v>
          </cell>
          <cell r="AJ107">
            <v>0.22177777777777777</v>
          </cell>
          <cell r="AK107">
            <v>1146.5</v>
          </cell>
          <cell r="AL107">
            <v>1168</v>
          </cell>
          <cell r="AM107">
            <v>0.25042808219178081</v>
          </cell>
          <cell r="AN107">
            <v>1331.99</v>
          </cell>
          <cell r="AO107">
            <v>1495.98</v>
          </cell>
          <cell r="AP107">
            <v>1659.97</v>
          </cell>
          <cell r="AQ107">
            <v>0</v>
          </cell>
          <cell r="AR107">
            <v>503</v>
          </cell>
          <cell r="AS107">
            <v>2000</v>
          </cell>
        </row>
        <row r="108">
          <cell r="B108" t="str">
            <v>AC</v>
          </cell>
          <cell r="C108" t="str">
            <v>DOM</v>
          </cell>
          <cell r="D108" t="str">
            <v>DOM</v>
          </cell>
          <cell r="E108" t="str">
            <v>P3</v>
          </cell>
          <cell r="F108">
            <v>39989</v>
          </cell>
          <cell r="G108">
            <v>40001</v>
          </cell>
          <cell r="H108" t="str">
            <v>7640001281</v>
          </cell>
          <cell r="I108" t="str">
            <v>3KMKML501MLK</v>
          </cell>
          <cell r="J108">
            <v>0</v>
          </cell>
          <cell r="K108" t="str">
            <v>256MB Memory Upgrade for IC-402 &amp; IC-406  Image Controllers</v>
          </cell>
          <cell r="L108">
            <v>110</v>
          </cell>
          <cell r="M108">
            <v>526</v>
          </cell>
          <cell r="N108">
            <v>29.1799</v>
          </cell>
          <cell r="O108">
            <v>-0.17647058823529418</v>
          </cell>
          <cell r="P108">
            <v>638.4</v>
          </cell>
          <cell r="Q108">
            <v>557.55999999999995</v>
          </cell>
          <cell r="R108">
            <v>630.04</v>
          </cell>
          <cell r="S108">
            <v>798</v>
          </cell>
          <cell r="T108">
            <v>0.31448621553884715</v>
          </cell>
          <cell r="U108">
            <v>617.97119999999995</v>
          </cell>
          <cell r="V108">
            <v>0.11478075353673439</v>
          </cell>
          <cell r="W108">
            <v>24.802914999999999</v>
          </cell>
          <cell r="X108">
            <v>0.79999999999999993</v>
          </cell>
          <cell r="Y108">
            <v>0</v>
          </cell>
          <cell r="Z108">
            <v>0</v>
          </cell>
          <cell r="AA108">
            <v>30</v>
          </cell>
          <cell r="AB108">
            <v>25</v>
          </cell>
          <cell r="AC108">
            <v>28</v>
          </cell>
          <cell r="AD108">
            <v>30</v>
          </cell>
          <cell r="AE108">
            <v>30.62</v>
          </cell>
          <cell r="AF108">
            <v>0.18997664924885702</v>
          </cell>
          <cell r="AG108">
            <v>4.7031352057478805E-2</v>
          </cell>
          <cell r="AH108">
            <v>32</v>
          </cell>
          <cell r="AI108">
            <v>33</v>
          </cell>
          <cell r="AJ108">
            <v>0.2483965151515152</v>
          </cell>
          <cell r="AK108">
            <v>33.5</v>
          </cell>
          <cell r="AL108">
            <v>34</v>
          </cell>
          <cell r="AM108">
            <v>0.27050250000000003</v>
          </cell>
          <cell r="AN108">
            <v>38.42</v>
          </cell>
          <cell r="AO108">
            <v>42.84</v>
          </cell>
          <cell r="AP108">
            <v>47.26</v>
          </cell>
          <cell r="AQ108">
            <v>0</v>
          </cell>
          <cell r="AR108">
            <v>503</v>
          </cell>
          <cell r="AS108">
            <v>110</v>
          </cell>
        </row>
        <row r="109">
          <cell r="B109" t="str">
            <v>AC</v>
          </cell>
          <cell r="C109" t="str">
            <v>DOM</v>
          </cell>
          <cell r="D109" t="str">
            <v>DOM</v>
          </cell>
          <cell r="E109" t="str">
            <v>P3</v>
          </cell>
          <cell r="F109">
            <v>39989</v>
          </cell>
          <cell r="G109">
            <v>40015</v>
          </cell>
          <cell r="H109" t="str">
            <v>7640001522</v>
          </cell>
          <cell r="I109" t="str">
            <v>NLA</v>
          </cell>
          <cell r="J109" t="str">
            <v>x</v>
          </cell>
          <cell r="K109" t="str">
            <v>HD-501 40 GB Hard Disk Drive</v>
          </cell>
          <cell r="L109">
            <v>321</v>
          </cell>
          <cell r="M109">
            <v>418</v>
          </cell>
          <cell r="N109">
            <v>192.4</v>
          </cell>
          <cell r="O109">
            <v>-0.17647058823529421</v>
          </cell>
          <cell r="P109">
            <v>373.065</v>
          </cell>
          <cell r="Q109">
            <v>443.08</v>
          </cell>
          <cell r="R109">
            <v>500.68</v>
          </cell>
          <cell r="S109">
            <v>611.1</v>
          </cell>
          <cell r="T109">
            <v>0.28178694158075601</v>
          </cell>
          <cell r="U109">
            <v>473.23584</v>
          </cell>
          <cell r="V109">
            <v>7.2555451421430717E-2</v>
          </cell>
          <cell r="W109">
            <v>163.54</v>
          </cell>
          <cell r="X109">
            <v>0.61048109965635733</v>
          </cell>
          <cell r="Y109">
            <v>0</v>
          </cell>
          <cell r="Z109">
            <v>0</v>
          </cell>
          <cell r="AA109">
            <v>198</v>
          </cell>
          <cell r="AB109">
            <v>164</v>
          </cell>
          <cell r="AC109">
            <v>182</v>
          </cell>
          <cell r="AD109">
            <v>192</v>
          </cell>
          <cell r="AE109">
            <v>201.9</v>
          </cell>
          <cell r="AF109">
            <v>0.18999504705299661</v>
          </cell>
          <cell r="AG109">
            <v>4.7052996532937097E-2</v>
          </cell>
          <cell r="AH109">
            <v>207</v>
          </cell>
          <cell r="AI109">
            <v>211</v>
          </cell>
          <cell r="AJ109">
            <v>0.22492890995260667</v>
          </cell>
          <cell r="AK109">
            <v>215</v>
          </cell>
          <cell r="AL109">
            <v>219</v>
          </cell>
          <cell r="AM109">
            <v>0.25324200913242012</v>
          </cell>
          <cell r="AN109">
            <v>244.5</v>
          </cell>
          <cell r="AO109">
            <v>270</v>
          </cell>
          <cell r="AP109">
            <v>295.5</v>
          </cell>
          <cell r="AQ109">
            <v>0</v>
          </cell>
          <cell r="AR109">
            <v>503</v>
          </cell>
          <cell r="AS109">
            <v>321</v>
          </cell>
        </row>
        <row r="110">
          <cell r="B110" t="str">
            <v>AC</v>
          </cell>
          <cell r="C110" t="str">
            <v>DOM</v>
          </cell>
          <cell r="D110" t="str">
            <v>DOM</v>
          </cell>
          <cell r="E110" t="str">
            <v>P3</v>
          </cell>
          <cell r="F110">
            <v>39989</v>
          </cell>
          <cell r="G110">
            <v>40001</v>
          </cell>
          <cell r="H110" t="str">
            <v>7640002234</v>
          </cell>
          <cell r="I110" t="str">
            <v>3KMKRHDDKIT</v>
          </cell>
          <cell r="J110" t="str">
            <v>x</v>
          </cell>
          <cell r="K110" t="str">
            <v>EFI Secure Erase</v>
          </cell>
          <cell r="L110">
            <v>825</v>
          </cell>
          <cell r="M110">
            <v>1124</v>
          </cell>
          <cell r="N110">
            <v>412</v>
          </cell>
          <cell r="O110">
            <v>-0.17647058823529416</v>
          </cell>
          <cell r="P110">
            <v>1003.17</v>
          </cell>
          <cell r="Q110">
            <v>1191.44</v>
          </cell>
          <cell r="R110">
            <v>1346.33</v>
          </cell>
          <cell r="S110">
            <v>1837.5</v>
          </cell>
          <cell r="T110">
            <v>0.35771428571428571</v>
          </cell>
          <cell r="U110">
            <v>1422.96</v>
          </cell>
          <cell r="V110">
            <v>0.17060212514757969</v>
          </cell>
          <cell r="W110">
            <v>350.2</v>
          </cell>
          <cell r="X110">
            <v>0.54594285714285717</v>
          </cell>
          <cell r="Y110">
            <v>0</v>
          </cell>
          <cell r="Z110">
            <v>0</v>
          </cell>
          <cell r="AA110">
            <v>424</v>
          </cell>
          <cell r="AB110">
            <v>351</v>
          </cell>
          <cell r="AC110">
            <v>390</v>
          </cell>
          <cell r="AD110">
            <v>412</v>
          </cell>
          <cell r="AE110">
            <v>432.35</v>
          </cell>
          <cell r="AF110">
            <v>0.19000809529316534</v>
          </cell>
          <cell r="AG110">
            <v>4.7068347403723884E-2</v>
          </cell>
          <cell r="AH110">
            <v>442</v>
          </cell>
          <cell r="AI110">
            <v>450</v>
          </cell>
          <cell r="AJ110">
            <v>0.2217777777777778</v>
          </cell>
          <cell r="AK110">
            <v>458.5</v>
          </cell>
          <cell r="AL110">
            <v>467</v>
          </cell>
          <cell r="AM110">
            <v>0.25010706638115632</v>
          </cell>
          <cell r="AN110">
            <v>532.65</v>
          </cell>
          <cell r="AO110">
            <v>598.29999999999995</v>
          </cell>
          <cell r="AP110">
            <v>663.95</v>
          </cell>
          <cell r="AQ110">
            <v>0</v>
          </cell>
          <cell r="AS110">
            <v>825</v>
          </cell>
        </row>
        <row r="111">
          <cell r="B111" t="str">
            <v>AC</v>
          </cell>
          <cell r="C111" t="str">
            <v>DOM</v>
          </cell>
          <cell r="D111" t="str">
            <v>DOM</v>
          </cell>
          <cell r="E111" t="str">
            <v>P3</v>
          </cell>
          <cell r="F111">
            <v>39989</v>
          </cell>
          <cell r="G111">
            <v>40001</v>
          </cell>
          <cell r="H111" t="str">
            <v>7640002235</v>
          </cell>
          <cell r="I111" t="str">
            <v>3KMHAHDDCASE</v>
          </cell>
          <cell r="J111" t="str">
            <v>x</v>
          </cell>
          <cell r="K111" t="str">
            <v>Hot Folders</v>
          </cell>
          <cell r="L111">
            <v>825</v>
          </cell>
          <cell r="M111">
            <v>56</v>
          </cell>
          <cell r="N111">
            <v>412</v>
          </cell>
          <cell r="O111">
            <v>-0.17647058823529416</v>
          </cell>
          <cell r="P111">
            <v>49.980000000000004</v>
          </cell>
          <cell r="Q111">
            <v>59.36</v>
          </cell>
          <cell r="R111">
            <v>67.08</v>
          </cell>
          <cell r="S111">
            <v>102.9</v>
          </cell>
          <cell r="T111">
            <v>0.42857142857142855</v>
          </cell>
          <cell r="U111">
            <v>79.685760000000002</v>
          </cell>
          <cell r="V111">
            <v>0.26210153482880755</v>
          </cell>
          <cell r="W111">
            <v>350.2</v>
          </cell>
          <cell r="X111">
            <v>0.48571428571428571</v>
          </cell>
          <cell r="Y111">
            <v>0</v>
          </cell>
          <cell r="Z111">
            <v>0</v>
          </cell>
          <cell r="AA111">
            <v>424</v>
          </cell>
          <cell r="AB111">
            <v>351</v>
          </cell>
          <cell r="AC111">
            <v>390</v>
          </cell>
          <cell r="AD111">
            <v>412</v>
          </cell>
          <cell r="AE111">
            <v>432.35</v>
          </cell>
          <cell r="AF111">
            <v>0.19000809529316534</v>
          </cell>
          <cell r="AG111">
            <v>4.7068347403723884E-2</v>
          </cell>
          <cell r="AH111">
            <v>442</v>
          </cell>
          <cell r="AI111">
            <v>450</v>
          </cell>
          <cell r="AJ111">
            <v>0.2217777777777778</v>
          </cell>
          <cell r="AK111">
            <v>458.5</v>
          </cell>
          <cell r="AL111">
            <v>467</v>
          </cell>
          <cell r="AM111">
            <v>0.25010706638115632</v>
          </cell>
          <cell r="AN111">
            <v>532.65</v>
          </cell>
          <cell r="AO111">
            <v>598.29999999999995</v>
          </cell>
          <cell r="AP111">
            <v>663.95</v>
          </cell>
          <cell r="AQ111">
            <v>0</v>
          </cell>
          <cell r="AS111">
            <v>825</v>
          </cell>
        </row>
        <row r="112">
          <cell r="B112" t="str">
            <v>AC</v>
          </cell>
          <cell r="C112" t="str">
            <v>DOM</v>
          </cell>
          <cell r="D112" t="str">
            <v>DOM</v>
          </cell>
          <cell r="E112" t="str">
            <v>P3</v>
          </cell>
          <cell r="F112">
            <v>39989</v>
          </cell>
          <cell r="G112">
            <v>40001</v>
          </cell>
          <cell r="H112" t="str">
            <v>7640002236</v>
          </cell>
          <cell r="I112" t="str">
            <v>3KMHML503MLPFXBD</v>
          </cell>
          <cell r="J112">
            <v>0</v>
          </cell>
          <cell r="K112" t="str">
            <v>EFI AutoTrap</v>
          </cell>
          <cell r="L112">
            <v>825</v>
          </cell>
          <cell r="M112">
            <v>464</v>
          </cell>
          <cell r="N112">
            <v>412</v>
          </cell>
          <cell r="O112">
            <v>-0.17647058823529416</v>
          </cell>
          <cell r="P112">
            <v>590.79999999999995</v>
          </cell>
          <cell r="Q112">
            <v>491.84</v>
          </cell>
          <cell r="R112">
            <v>555.78</v>
          </cell>
          <cell r="S112">
            <v>738.5</v>
          </cell>
          <cell r="T112">
            <v>0.34656736628300611</v>
          </cell>
          <cell r="U112">
            <v>571.89440000000002</v>
          </cell>
          <cell r="V112">
            <v>0.15620785935305542</v>
          </cell>
          <cell r="W112">
            <v>350.2</v>
          </cell>
          <cell r="X112">
            <v>0.79999999999999993</v>
          </cell>
          <cell r="Y112">
            <v>0</v>
          </cell>
          <cell r="Z112">
            <v>0</v>
          </cell>
          <cell r="AA112">
            <v>424</v>
          </cell>
          <cell r="AB112">
            <v>351</v>
          </cell>
          <cell r="AC112">
            <v>390</v>
          </cell>
          <cell r="AD112">
            <v>412</v>
          </cell>
          <cell r="AE112">
            <v>432.35</v>
          </cell>
          <cell r="AF112">
            <v>0.19000809529316534</v>
          </cell>
          <cell r="AG112">
            <v>4.7068347403723884E-2</v>
          </cell>
          <cell r="AH112">
            <v>442</v>
          </cell>
          <cell r="AI112">
            <v>450</v>
          </cell>
          <cell r="AJ112">
            <v>0.2217777777777778</v>
          </cell>
          <cell r="AK112">
            <v>458.5</v>
          </cell>
          <cell r="AL112">
            <v>467</v>
          </cell>
          <cell r="AM112">
            <v>0.25010706638115632</v>
          </cell>
          <cell r="AN112">
            <v>532.65</v>
          </cell>
          <cell r="AO112">
            <v>598.29999999999995</v>
          </cell>
          <cell r="AP112">
            <v>663.95</v>
          </cell>
          <cell r="AQ112">
            <v>0</v>
          </cell>
          <cell r="AS112">
            <v>825</v>
          </cell>
        </row>
        <row r="113">
          <cell r="B113" t="str">
            <v>AC</v>
          </cell>
          <cell r="C113" t="str">
            <v>DOM</v>
          </cell>
          <cell r="D113" t="str">
            <v>DOM</v>
          </cell>
          <cell r="E113" t="str">
            <v>P3</v>
          </cell>
          <cell r="F113">
            <v>39989</v>
          </cell>
          <cell r="G113">
            <v>40001</v>
          </cell>
          <cell r="H113" t="str">
            <v>7640002237</v>
          </cell>
          <cell r="I113" t="str">
            <v>3KMKFAXFKIT</v>
          </cell>
          <cell r="J113">
            <v>0</v>
          </cell>
          <cell r="K113" t="str">
            <v xml:space="preserve">EFI Impose Version 2.6 </v>
          </cell>
          <cell r="L113">
            <v>2500</v>
          </cell>
          <cell r="M113">
            <v>444</v>
          </cell>
          <cell r="N113">
            <v>1287.99955</v>
          </cell>
          <cell r="O113">
            <v>-0.17647058823529405</v>
          </cell>
          <cell r="P113">
            <v>579.6</v>
          </cell>
          <cell r="Q113">
            <v>470.64</v>
          </cell>
          <cell r="R113">
            <v>531.82000000000005</v>
          </cell>
          <cell r="S113">
            <v>724.5</v>
          </cell>
          <cell r="T113">
            <v>0.36265010351966875</v>
          </cell>
          <cell r="U113">
            <v>561.05279999999993</v>
          </cell>
          <cell r="V113">
            <v>0.17697585681775396</v>
          </cell>
          <cell r="W113">
            <v>1094.7996175000001</v>
          </cell>
          <cell r="X113">
            <v>0.8</v>
          </cell>
          <cell r="Y113">
            <v>0</v>
          </cell>
          <cell r="Z113">
            <v>0</v>
          </cell>
          <cell r="AA113">
            <v>1325</v>
          </cell>
          <cell r="AB113">
            <v>1095</v>
          </cell>
          <cell r="AC113">
            <v>1217</v>
          </cell>
          <cell r="AD113">
            <v>1285</v>
          </cell>
          <cell r="AE113">
            <v>1351.6</v>
          </cell>
          <cell r="AF113">
            <v>0.18999732354246809</v>
          </cell>
          <cell r="AG113">
            <v>4.7055674755844858E-2</v>
          </cell>
          <cell r="AH113">
            <v>1379</v>
          </cell>
          <cell r="AI113">
            <v>1406</v>
          </cell>
          <cell r="AJ113">
            <v>0.2213373986486486</v>
          </cell>
          <cell r="AK113">
            <v>1433</v>
          </cell>
          <cell r="AL113">
            <v>1460</v>
          </cell>
          <cell r="AM113">
            <v>0.2501372482876712</v>
          </cell>
          <cell r="AN113">
            <v>1665.21</v>
          </cell>
          <cell r="AO113">
            <v>1870.42</v>
          </cell>
          <cell r="AP113">
            <v>2075.63</v>
          </cell>
          <cell r="AQ113">
            <v>0</v>
          </cell>
          <cell r="AS113">
            <v>2500</v>
          </cell>
        </row>
        <row r="114">
          <cell r="B114" t="str">
            <v>AC</v>
          </cell>
          <cell r="C114" t="str">
            <v>DOM</v>
          </cell>
          <cell r="D114" t="str">
            <v>DOM</v>
          </cell>
          <cell r="E114" t="str">
            <v>P3</v>
          </cell>
          <cell r="F114">
            <v>39990</v>
          </cell>
          <cell r="G114">
            <v>40001</v>
          </cell>
          <cell r="H114" t="str">
            <v>7640000059</v>
          </cell>
          <cell r="I114" t="str">
            <v>3KMHDK702</v>
          </cell>
          <cell r="J114">
            <v>0</v>
          </cell>
          <cell r="K114" t="str">
            <v>CD-2M (Copy Desk)</v>
          </cell>
          <cell r="L114">
            <v>164</v>
          </cell>
          <cell r="M114">
            <v>107</v>
          </cell>
          <cell r="N114">
            <v>61</v>
          </cell>
          <cell r="O114">
            <v>0</v>
          </cell>
          <cell r="P114">
            <v>111.28</v>
          </cell>
          <cell r="Q114">
            <v>113.42</v>
          </cell>
          <cell r="R114">
            <v>128.16</v>
          </cell>
          <cell r="S114">
            <v>115.5</v>
          </cell>
          <cell r="T114">
            <v>3.6536796536796527E-2</v>
          </cell>
          <cell r="U114">
            <v>111.28</v>
          </cell>
          <cell r="V114">
            <v>0</v>
          </cell>
          <cell r="W114">
            <v>51.85</v>
          </cell>
          <cell r="X114">
            <v>0.96346320346320347</v>
          </cell>
          <cell r="Y114">
            <v>0</v>
          </cell>
          <cell r="Z114">
            <v>0</v>
          </cell>
          <cell r="AA114">
            <v>135</v>
          </cell>
          <cell r="AB114">
            <v>52</v>
          </cell>
          <cell r="AC114">
            <v>58</v>
          </cell>
          <cell r="AD114">
            <v>62</v>
          </cell>
          <cell r="AE114">
            <v>64.010000000000005</v>
          </cell>
          <cell r="AF114">
            <v>0.18997031713794724</v>
          </cell>
          <cell r="AG114">
            <v>4.7023902515232072E-2</v>
          </cell>
          <cell r="AH114">
            <v>67</v>
          </cell>
          <cell r="AI114">
            <v>68</v>
          </cell>
          <cell r="AJ114">
            <v>0.23749999999999999</v>
          </cell>
          <cell r="AK114">
            <v>69</v>
          </cell>
          <cell r="AL114">
            <v>70</v>
          </cell>
          <cell r="AM114">
            <v>0.25928571428571429</v>
          </cell>
          <cell r="AN114">
            <v>79.510000000000005</v>
          </cell>
          <cell r="AO114">
            <v>89.02</v>
          </cell>
          <cell r="AP114">
            <v>98.53</v>
          </cell>
          <cell r="AQ114">
            <v>0</v>
          </cell>
          <cell r="AS114">
            <v>164</v>
          </cell>
        </row>
        <row r="115">
          <cell r="B115" t="str">
            <v>AC</v>
          </cell>
          <cell r="C115" t="str">
            <v>DOM</v>
          </cell>
          <cell r="D115" t="str">
            <v>DOM</v>
          </cell>
          <cell r="E115" t="str">
            <v>P3</v>
          </cell>
          <cell r="F115">
            <v>39990</v>
          </cell>
          <cell r="G115">
            <v>40001</v>
          </cell>
          <cell r="H115" t="str">
            <v>7640000061</v>
          </cell>
          <cell r="I115" t="str">
            <v>3KMHDK703BF</v>
          </cell>
          <cell r="J115">
            <v>0</v>
          </cell>
          <cell r="K115" t="str">
            <v>CT-2 (Copy Table) (required if [2] PF-118 selected)</v>
          </cell>
          <cell r="L115">
            <v>130</v>
          </cell>
          <cell r="M115">
            <v>92</v>
          </cell>
          <cell r="N115">
            <v>59</v>
          </cell>
          <cell r="O115">
            <v>0</v>
          </cell>
          <cell r="P115">
            <v>95.68</v>
          </cell>
          <cell r="Q115">
            <v>97.52</v>
          </cell>
          <cell r="R115">
            <v>110.2</v>
          </cell>
          <cell r="S115">
            <v>104</v>
          </cell>
          <cell r="T115">
            <v>7.9999999999999932E-2</v>
          </cell>
          <cell r="U115">
            <v>95.68</v>
          </cell>
          <cell r="V115">
            <v>0</v>
          </cell>
          <cell r="W115">
            <v>50.15</v>
          </cell>
          <cell r="X115">
            <v>0.92</v>
          </cell>
          <cell r="Y115">
            <v>0</v>
          </cell>
          <cell r="Z115">
            <v>0</v>
          </cell>
          <cell r="AA115">
            <v>116</v>
          </cell>
          <cell r="AB115">
            <v>51</v>
          </cell>
          <cell r="AC115">
            <v>56</v>
          </cell>
          <cell r="AD115">
            <v>59</v>
          </cell>
          <cell r="AE115">
            <v>61.91</v>
          </cell>
          <cell r="AF115">
            <v>0.18995315780972377</v>
          </cell>
          <cell r="AG115">
            <v>4.7003715070263234E-2</v>
          </cell>
          <cell r="AH115">
            <v>64</v>
          </cell>
          <cell r="AI115">
            <v>65</v>
          </cell>
          <cell r="AJ115">
            <v>0.22846153846153849</v>
          </cell>
          <cell r="AK115">
            <v>66</v>
          </cell>
          <cell r="AL115">
            <v>67</v>
          </cell>
          <cell r="AM115">
            <v>0.25149253731343285</v>
          </cell>
          <cell r="AN115">
            <v>76.37</v>
          </cell>
          <cell r="AO115">
            <v>85.74</v>
          </cell>
          <cell r="AP115">
            <v>95.11</v>
          </cell>
          <cell r="AQ115">
            <v>0</v>
          </cell>
          <cell r="AS115">
            <v>130</v>
          </cell>
        </row>
        <row r="116">
          <cell r="B116" t="str">
            <v>AC</v>
          </cell>
          <cell r="C116" t="str">
            <v>DOM</v>
          </cell>
          <cell r="D116" t="str">
            <v>DOM</v>
          </cell>
          <cell r="E116" t="str">
            <v>P3</v>
          </cell>
          <cell r="F116">
            <v>39990</v>
          </cell>
          <cell r="G116">
            <v>40001</v>
          </cell>
          <cell r="H116" t="str">
            <v>7640000062</v>
          </cell>
          <cell r="I116" t="str">
            <v>6KMFS519BF_N</v>
          </cell>
          <cell r="J116" t="str">
            <v>x</v>
          </cell>
          <cell r="K116" t="str">
            <v>PR2000U - UNIX High-speed Printer Interface, 100 Mpbs, Ethernet, LPD/LPR, 
64 MB RAM ALREADY INCLUDES 8 SESSIONS</v>
          </cell>
          <cell r="L116">
            <v>5775</v>
          </cell>
          <cell r="M116">
            <v>617</v>
          </cell>
          <cell r="N116">
            <v>4987</v>
          </cell>
          <cell r="O116">
            <v>-0.17647058823529424</v>
          </cell>
          <cell r="P116">
            <v>545.428</v>
          </cell>
          <cell r="Q116">
            <v>654.02</v>
          </cell>
          <cell r="R116">
            <v>739.04</v>
          </cell>
          <cell r="S116">
            <v>878.9</v>
          </cell>
          <cell r="T116">
            <v>0.26990556377289787</v>
          </cell>
          <cell r="U116">
            <v>680.62015999999994</v>
          </cell>
          <cell r="V116">
            <v>5.7212763136489937E-2</v>
          </cell>
          <cell r="W116">
            <v>4238.95</v>
          </cell>
          <cell r="X116">
            <v>0.62058027079303679</v>
          </cell>
          <cell r="Y116">
            <v>0</v>
          </cell>
          <cell r="Z116">
            <v>0</v>
          </cell>
          <cell r="AA116">
            <v>660</v>
          </cell>
          <cell r="AB116">
            <v>4239</v>
          </cell>
          <cell r="AC116">
            <v>4710</v>
          </cell>
          <cell r="AD116">
            <v>4972</v>
          </cell>
          <cell r="AE116">
            <v>5233.2700000000004</v>
          </cell>
          <cell r="AF116">
            <v>0.18999975158935054</v>
          </cell>
          <cell r="AG116">
            <v>4.7058531281588836E-2</v>
          </cell>
          <cell r="AH116">
            <v>5339</v>
          </cell>
          <cell r="AI116">
            <v>5443</v>
          </cell>
          <cell r="AJ116">
            <v>0.22121072937718173</v>
          </cell>
          <cell r="AK116">
            <v>5547.5</v>
          </cell>
          <cell r="AL116">
            <v>5652</v>
          </cell>
          <cell r="AM116">
            <v>0.25000884642604393</v>
          </cell>
          <cell r="AN116">
            <v>5682.75</v>
          </cell>
          <cell r="AO116">
            <v>5713.5</v>
          </cell>
          <cell r="AP116">
            <v>5744.25</v>
          </cell>
          <cell r="AQ116">
            <v>0</v>
          </cell>
          <cell r="AS116">
            <v>5775</v>
          </cell>
        </row>
        <row r="117">
          <cell r="B117" t="str">
            <v>AC</v>
          </cell>
          <cell r="C117" t="str">
            <v>DOM</v>
          </cell>
          <cell r="D117" t="str">
            <v>DOM</v>
          </cell>
          <cell r="E117" t="str">
            <v>P3</v>
          </cell>
          <cell r="F117">
            <v>39990</v>
          </cell>
          <cell r="G117">
            <v>40001</v>
          </cell>
          <cell r="H117" t="str">
            <v>7640000063</v>
          </cell>
          <cell r="I117" t="str">
            <v>7KMDF610_N</v>
          </cell>
          <cell r="J117">
            <v>0</v>
          </cell>
          <cell r="K117" t="str">
            <v>PR2000A - 5250 High-speed IPDS Printer Interface, 100 Mpbs Ethernet, PPD/PPR, 64 MB RAM 
(3 IPDS maximum + 5 SCS) (Base Unit)</v>
          </cell>
          <cell r="L117">
            <v>5775</v>
          </cell>
          <cell r="M117">
            <v>587</v>
          </cell>
          <cell r="N117">
            <v>4987</v>
          </cell>
          <cell r="O117">
            <v>-0.17647058823529413</v>
          </cell>
          <cell r="P117">
            <v>518.90800000000002</v>
          </cell>
          <cell r="Q117">
            <v>622.22</v>
          </cell>
          <cell r="R117">
            <v>703.11</v>
          </cell>
          <cell r="S117">
            <v>924</v>
          </cell>
          <cell r="T117">
            <v>0.33930735930735928</v>
          </cell>
          <cell r="U117">
            <v>715.54559999999992</v>
          </cell>
          <cell r="V117">
            <v>0.14683285034524693</v>
          </cell>
          <cell r="W117">
            <v>4238.95</v>
          </cell>
          <cell r="X117">
            <v>0.56158874458874464</v>
          </cell>
          <cell r="Y117">
            <v>0</v>
          </cell>
          <cell r="Z117">
            <v>0</v>
          </cell>
          <cell r="AA117">
            <v>628</v>
          </cell>
          <cell r="AB117">
            <v>4239</v>
          </cell>
          <cell r="AC117">
            <v>4710</v>
          </cell>
          <cell r="AD117">
            <v>4972</v>
          </cell>
          <cell r="AE117">
            <v>5233.2700000000004</v>
          </cell>
          <cell r="AF117">
            <v>0.18999975158935054</v>
          </cell>
          <cell r="AG117">
            <v>4.7058531281588836E-2</v>
          </cell>
          <cell r="AH117">
            <v>5339</v>
          </cell>
          <cell r="AI117">
            <v>5443</v>
          </cell>
          <cell r="AJ117">
            <v>0.22121072937718173</v>
          </cell>
          <cell r="AK117">
            <v>5547.5</v>
          </cell>
          <cell r="AL117">
            <v>5652</v>
          </cell>
          <cell r="AM117">
            <v>0.25000884642604393</v>
          </cell>
          <cell r="AN117">
            <v>5682.75</v>
          </cell>
          <cell r="AO117">
            <v>5713.5</v>
          </cell>
          <cell r="AP117">
            <v>5744.25</v>
          </cell>
          <cell r="AQ117">
            <v>0</v>
          </cell>
          <cell r="AS117">
            <v>5775</v>
          </cell>
        </row>
        <row r="118">
          <cell r="B118" t="str">
            <v>AC</v>
          </cell>
          <cell r="C118" t="str">
            <v>DOM</v>
          </cell>
          <cell r="D118" t="str">
            <v>DOM</v>
          </cell>
          <cell r="E118" t="str">
            <v>P3</v>
          </cell>
          <cell r="F118">
            <v>39990</v>
          </cell>
          <cell r="G118">
            <v>40001</v>
          </cell>
          <cell r="H118" t="str">
            <v>7640000068</v>
          </cell>
          <cell r="I118" t="str">
            <v>7KMRADF611_N</v>
          </cell>
          <cell r="J118" t="str">
            <v>x</v>
          </cell>
          <cell r="K118" t="str">
            <v>128 MB DIMM Memory for Pi3502/ Pi5501 (required for scanning)</v>
          </cell>
          <cell r="L118">
            <v>140</v>
          </cell>
          <cell r="M118">
            <v>587</v>
          </cell>
          <cell r="N118">
            <v>43</v>
          </cell>
          <cell r="O118">
            <v>-0.17647058823529413</v>
          </cell>
          <cell r="P118">
            <v>518.90800000000002</v>
          </cell>
          <cell r="Q118">
            <v>622.22</v>
          </cell>
          <cell r="R118">
            <v>703.11</v>
          </cell>
          <cell r="S118">
            <v>924</v>
          </cell>
          <cell r="T118">
            <v>0.33930735930735928</v>
          </cell>
          <cell r="U118">
            <v>715.54559999999992</v>
          </cell>
          <cell r="V118">
            <v>0.14683285034524693</v>
          </cell>
          <cell r="W118">
            <v>36.549999999999997</v>
          </cell>
          <cell r="X118">
            <v>0.56158874458874464</v>
          </cell>
          <cell r="Y118">
            <v>0</v>
          </cell>
          <cell r="Z118">
            <v>0</v>
          </cell>
          <cell r="AA118">
            <v>628</v>
          </cell>
          <cell r="AB118">
            <v>37</v>
          </cell>
          <cell r="AC118">
            <v>41</v>
          </cell>
          <cell r="AD118">
            <v>44</v>
          </cell>
          <cell r="AE118">
            <v>45.12</v>
          </cell>
          <cell r="AF118">
            <v>0.18993794326241137</v>
          </cell>
          <cell r="AG118">
            <v>4.6985815602836822E-2</v>
          </cell>
          <cell r="AH118">
            <v>47</v>
          </cell>
          <cell r="AI118">
            <v>48</v>
          </cell>
          <cell r="AJ118">
            <v>0.23854166666666674</v>
          </cell>
          <cell r="AK118">
            <v>48.5</v>
          </cell>
          <cell r="AL118">
            <v>49</v>
          </cell>
          <cell r="AM118">
            <v>0.25408163265306127</v>
          </cell>
          <cell r="AN118">
            <v>55.79</v>
          </cell>
          <cell r="AO118">
            <v>62.58</v>
          </cell>
          <cell r="AP118">
            <v>69.37</v>
          </cell>
          <cell r="AQ118">
            <v>0</v>
          </cell>
          <cell r="AS118">
            <v>140</v>
          </cell>
        </row>
        <row r="119">
          <cell r="B119" t="str">
            <v>AC</v>
          </cell>
          <cell r="C119" t="str">
            <v>DOM</v>
          </cell>
          <cell r="D119" t="str">
            <v>DOM</v>
          </cell>
          <cell r="E119" t="str">
            <v>P3</v>
          </cell>
          <cell r="F119">
            <v>39990</v>
          </cell>
          <cell r="G119">
            <v>40001</v>
          </cell>
          <cell r="H119" t="str">
            <v>7640000073</v>
          </cell>
          <cell r="I119" t="str">
            <v>4KMIC408EMBFC_N</v>
          </cell>
          <cell r="J119">
            <v>0</v>
          </cell>
          <cell r="K119" t="str">
            <v>64 MB DIMM Memory for Pi3502/ Pi5501</v>
          </cell>
          <cell r="L119">
            <v>85</v>
          </cell>
          <cell r="M119">
            <v>3524</v>
          </cell>
          <cell r="N119">
            <v>20</v>
          </cell>
          <cell r="O119">
            <v>-0.17647058823529413</v>
          </cell>
          <cell r="P119">
            <v>3085.2620000000002</v>
          </cell>
          <cell r="Q119">
            <v>3735.44</v>
          </cell>
          <cell r="R119">
            <v>4221.05</v>
          </cell>
          <cell r="S119">
            <v>4583.3</v>
          </cell>
          <cell r="T119">
            <v>0.20805533131150042</v>
          </cell>
          <cell r="U119">
            <v>3941.6379999999999</v>
          </cell>
          <cell r="V119">
            <v>7.9134106176163233E-2</v>
          </cell>
          <cell r="W119">
            <v>17</v>
          </cell>
          <cell r="X119">
            <v>0.67315296838522465</v>
          </cell>
          <cell r="Y119">
            <v>0</v>
          </cell>
          <cell r="Z119">
            <v>0</v>
          </cell>
          <cell r="AA119">
            <v>3733</v>
          </cell>
          <cell r="AB119">
            <v>17</v>
          </cell>
          <cell r="AC119">
            <v>19</v>
          </cell>
          <cell r="AD119">
            <v>20</v>
          </cell>
          <cell r="AE119">
            <v>20.99</v>
          </cell>
          <cell r="AF119">
            <v>0.19009051929490228</v>
          </cell>
          <cell r="AG119">
            <v>4.7165316817532089E-2</v>
          </cell>
          <cell r="AH119">
            <v>22</v>
          </cell>
          <cell r="AI119">
            <v>22</v>
          </cell>
          <cell r="AJ119">
            <v>0.22727272727272727</v>
          </cell>
          <cell r="AK119">
            <v>22.5</v>
          </cell>
          <cell r="AL119">
            <v>23</v>
          </cell>
          <cell r="AM119">
            <v>0.2608695652173913</v>
          </cell>
          <cell r="AN119">
            <v>26.1</v>
          </cell>
          <cell r="AO119">
            <v>29.2</v>
          </cell>
          <cell r="AP119">
            <v>32.299999999999997</v>
          </cell>
          <cell r="AQ119">
            <v>0</v>
          </cell>
          <cell r="AS119">
            <v>85</v>
          </cell>
        </row>
        <row r="120">
          <cell r="B120" t="str">
            <v>AC</v>
          </cell>
          <cell r="C120" t="str">
            <v>DOM</v>
          </cell>
          <cell r="D120" t="str">
            <v>DOM</v>
          </cell>
          <cell r="E120" t="str">
            <v>P3</v>
          </cell>
          <cell r="F120">
            <v>39990</v>
          </cell>
          <cell r="G120">
            <v>40001</v>
          </cell>
          <cell r="H120" t="str">
            <v>7640000095</v>
          </cell>
          <cell r="I120" t="str">
            <v>4KMIC408EMBFC_N</v>
          </cell>
          <cell r="J120">
            <v>0</v>
          </cell>
          <cell r="K120" t="str">
            <v>Copier Memory (16MB)</v>
          </cell>
          <cell r="L120">
            <v>200</v>
          </cell>
          <cell r="M120">
            <v>3524</v>
          </cell>
          <cell r="N120">
            <v>23</v>
          </cell>
          <cell r="O120">
            <v>1.0069164139375456E-2</v>
          </cell>
          <cell r="P120">
            <v>3666.64</v>
          </cell>
          <cell r="Q120">
            <v>3735.44</v>
          </cell>
          <cell r="R120">
            <v>4221.05</v>
          </cell>
          <cell r="S120">
            <v>4583.3</v>
          </cell>
          <cell r="T120">
            <v>0.20805533131150042</v>
          </cell>
          <cell r="U120">
            <v>3941.6379999999999</v>
          </cell>
          <cell r="V120">
            <v>7.9134106176163233E-2</v>
          </cell>
          <cell r="W120">
            <v>19.55</v>
          </cell>
          <cell r="X120">
            <v>0.79999999999999993</v>
          </cell>
          <cell r="Y120">
            <v>0</v>
          </cell>
          <cell r="Z120">
            <v>0</v>
          </cell>
          <cell r="AA120">
            <v>4436</v>
          </cell>
          <cell r="AB120">
            <v>20</v>
          </cell>
          <cell r="AC120">
            <v>22</v>
          </cell>
          <cell r="AD120">
            <v>24</v>
          </cell>
          <cell r="AE120">
            <v>24.14</v>
          </cell>
          <cell r="AF120">
            <v>0.19014084507042253</v>
          </cell>
          <cell r="AG120">
            <v>4.7224523612261829E-2</v>
          </cell>
          <cell r="AH120">
            <v>26</v>
          </cell>
          <cell r="AI120">
            <v>26</v>
          </cell>
          <cell r="AJ120">
            <v>0.24807692307692306</v>
          </cell>
          <cell r="AK120">
            <v>26.5</v>
          </cell>
          <cell r="AL120">
            <v>27</v>
          </cell>
          <cell r="AM120">
            <v>0.27592592592592591</v>
          </cell>
          <cell r="AN120">
            <v>30.43</v>
          </cell>
          <cell r="AO120">
            <v>33.86</v>
          </cell>
          <cell r="AP120">
            <v>37.29</v>
          </cell>
          <cell r="AQ120">
            <v>0</v>
          </cell>
          <cell r="AS120">
            <v>200</v>
          </cell>
        </row>
        <row r="121">
          <cell r="B121" t="str">
            <v>AC</v>
          </cell>
          <cell r="C121" t="str">
            <v>DOM</v>
          </cell>
          <cell r="D121" t="str">
            <v>DOM</v>
          </cell>
          <cell r="E121" t="str">
            <v>P3</v>
          </cell>
          <cell r="F121">
            <v>39990</v>
          </cell>
          <cell r="G121">
            <v>40001</v>
          </cell>
          <cell r="H121" t="str">
            <v>7640000097</v>
          </cell>
          <cell r="I121" t="str">
            <v>6KMLU301LCU_N</v>
          </cell>
          <cell r="J121">
            <v>0</v>
          </cell>
          <cell r="K121" t="str">
            <v>2-Drawer Height (CD-3M)</v>
          </cell>
          <cell r="L121">
            <v>158</v>
          </cell>
          <cell r="M121">
            <v>561</v>
          </cell>
          <cell r="N121">
            <v>59</v>
          </cell>
          <cell r="O121">
            <v>0.18768099799509907</v>
          </cell>
          <cell r="P121">
            <v>718.24</v>
          </cell>
          <cell r="Q121">
            <v>594.66</v>
          </cell>
          <cell r="R121">
            <v>671.97</v>
          </cell>
          <cell r="S121">
            <v>897.8</v>
          </cell>
          <cell r="T121">
            <v>0.3501447983960792</v>
          </cell>
          <cell r="U121">
            <v>695.25631999999996</v>
          </cell>
          <cell r="V121">
            <v>0.16082747726766428</v>
          </cell>
          <cell r="W121">
            <v>50.15</v>
          </cell>
          <cell r="X121">
            <v>0.8</v>
          </cell>
          <cell r="Y121">
            <v>0</v>
          </cell>
          <cell r="Z121">
            <v>0</v>
          </cell>
          <cell r="AA121">
            <v>869</v>
          </cell>
          <cell r="AB121">
            <v>51</v>
          </cell>
          <cell r="AC121">
            <v>56</v>
          </cell>
          <cell r="AD121">
            <v>59</v>
          </cell>
          <cell r="AE121">
            <v>61.91</v>
          </cell>
          <cell r="AF121">
            <v>0.18995315780972377</v>
          </cell>
          <cell r="AG121">
            <v>4.7003715070263234E-2</v>
          </cell>
          <cell r="AH121">
            <v>64</v>
          </cell>
          <cell r="AI121">
            <v>65</v>
          </cell>
          <cell r="AJ121">
            <v>0.22846153846153849</v>
          </cell>
          <cell r="AK121">
            <v>66</v>
          </cell>
          <cell r="AL121">
            <v>67</v>
          </cell>
          <cell r="AM121">
            <v>0.25149253731343285</v>
          </cell>
          <cell r="AN121">
            <v>76.37</v>
          </cell>
          <cell r="AO121">
            <v>85.74</v>
          </cell>
          <cell r="AP121">
            <v>95.11</v>
          </cell>
          <cell r="AQ121">
            <v>0</v>
          </cell>
          <cell r="AS121">
            <v>158</v>
          </cell>
        </row>
        <row r="122">
          <cell r="B122" t="str">
            <v>AC</v>
          </cell>
          <cell r="C122" t="str">
            <v>DOM</v>
          </cell>
          <cell r="D122" t="str">
            <v>DOM</v>
          </cell>
          <cell r="E122" t="str">
            <v>P3</v>
          </cell>
          <cell r="F122">
            <v>39990</v>
          </cell>
          <cell r="G122">
            <v>40001</v>
          </cell>
          <cell r="H122" t="str">
            <v>7640000098</v>
          </cell>
          <cell r="I122" t="str">
            <v>6KMLU202LCT_N</v>
          </cell>
          <cell r="J122">
            <v>0</v>
          </cell>
          <cell r="K122" t="str">
            <v>3-Drawer Height (PF-11T)</v>
          </cell>
          <cell r="L122">
            <v>182</v>
          </cell>
          <cell r="M122">
            <v>1057</v>
          </cell>
          <cell r="N122">
            <v>67</v>
          </cell>
          <cell r="O122">
            <v>-0.17647058823529418</v>
          </cell>
          <cell r="P122">
            <v>934.38799999999992</v>
          </cell>
          <cell r="Q122">
            <v>1120.42</v>
          </cell>
          <cell r="R122">
            <v>1266.07</v>
          </cell>
          <cell r="S122">
            <v>1546.2</v>
          </cell>
          <cell r="T122">
            <v>0.28904410813607556</v>
          </cell>
          <cell r="U122">
            <v>1197.3772799999999</v>
          </cell>
          <cell r="V122">
            <v>8.1926792531089254E-2</v>
          </cell>
          <cell r="W122">
            <v>56.949999999999996</v>
          </cell>
          <cell r="X122">
            <v>0.60431250808433568</v>
          </cell>
          <cell r="Y122">
            <v>0</v>
          </cell>
          <cell r="Z122">
            <v>0</v>
          </cell>
          <cell r="AA122">
            <v>1130</v>
          </cell>
          <cell r="AB122">
            <v>57</v>
          </cell>
          <cell r="AC122">
            <v>64</v>
          </cell>
          <cell r="AD122">
            <v>68</v>
          </cell>
          <cell r="AE122">
            <v>70.31</v>
          </cell>
          <cell r="AF122">
            <v>0.19001564500071122</v>
          </cell>
          <cell r="AG122">
            <v>4.7077229412601368E-2</v>
          </cell>
          <cell r="AH122">
            <v>73</v>
          </cell>
          <cell r="AI122">
            <v>74</v>
          </cell>
          <cell r="AJ122">
            <v>0.23040540540540547</v>
          </cell>
          <cell r="AK122">
            <v>75</v>
          </cell>
          <cell r="AL122">
            <v>76</v>
          </cell>
          <cell r="AM122">
            <v>0.25065789473684214</v>
          </cell>
          <cell r="AN122">
            <v>86.66</v>
          </cell>
          <cell r="AO122">
            <v>97.32</v>
          </cell>
          <cell r="AP122">
            <v>107.98</v>
          </cell>
          <cell r="AQ122">
            <v>0</v>
          </cell>
          <cell r="AR122">
            <v>352</v>
          </cell>
          <cell r="AS122">
            <v>182</v>
          </cell>
        </row>
        <row r="123">
          <cell r="B123" t="str">
            <v>AC</v>
          </cell>
          <cell r="C123" t="str">
            <v>DOM</v>
          </cell>
          <cell r="D123" t="str">
            <v>DOM</v>
          </cell>
          <cell r="E123" t="str">
            <v>P3</v>
          </cell>
          <cell r="F123">
            <v>39990</v>
          </cell>
          <cell r="G123">
            <v>40001</v>
          </cell>
          <cell r="H123" t="str">
            <v>7640000099</v>
          </cell>
          <cell r="I123" t="str">
            <v>6KMLU202LCT_N</v>
          </cell>
          <cell r="J123">
            <v>0</v>
          </cell>
          <cell r="K123" t="str">
            <v>Copy Table (CT-3)</v>
          </cell>
          <cell r="L123">
            <v>125</v>
          </cell>
          <cell r="M123">
            <v>1057</v>
          </cell>
          <cell r="N123">
            <v>46</v>
          </cell>
          <cell r="O123">
            <v>0.11130513517009448</v>
          </cell>
          <cell r="P123">
            <v>1236.96</v>
          </cell>
          <cell r="Q123">
            <v>1120.42</v>
          </cell>
          <cell r="R123">
            <v>1266.07</v>
          </cell>
          <cell r="S123">
            <v>1546.2</v>
          </cell>
          <cell r="T123">
            <v>0.28904410813607556</v>
          </cell>
          <cell r="U123">
            <v>1197.3772799999999</v>
          </cell>
          <cell r="V123">
            <v>8.1926792531089254E-2</v>
          </cell>
          <cell r="W123">
            <v>39.1</v>
          </cell>
          <cell r="X123">
            <v>0.8</v>
          </cell>
          <cell r="Y123">
            <v>0</v>
          </cell>
          <cell r="Z123">
            <v>0</v>
          </cell>
          <cell r="AA123">
            <v>1497</v>
          </cell>
          <cell r="AB123">
            <v>40</v>
          </cell>
          <cell r="AC123">
            <v>44</v>
          </cell>
          <cell r="AD123">
            <v>47</v>
          </cell>
          <cell r="AE123">
            <v>48.27</v>
          </cell>
          <cell r="AF123">
            <v>0.18997306815827639</v>
          </cell>
          <cell r="AG123">
            <v>4.7027139009736957E-2</v>
          </cell>
          <cell r="AH123">
            <v>50</v>
          </cell>
          <cell r="AI123">
            <v>51</v>
          </cell>
          <cell r="AJ123">
            <v>0.23333333333333331</v>
          </cell>
          <cell r="AK123">
            <v>52</v>
          </cell>
          <cell r="AL123">
            <v>53</v>
          </cell>
          <cell r="AM123">
            <v>0.26226415094339622</v>
          </cell>
          <cell r="AN123">
            <v>60.11</v>
          </cell>
          <cell r="AO123">
            <v>67.22</v>
          </cell>
          <cell r="AP123">
            <v>74.33</v>
          </cell>
          <cell r="AQ123">
            <v>0</v>
          </cell>
          <cell r="AR123">
            <v>352</v>
          </cell>
          <cell r="AS123">
            <v>125</v>
          </cell>
        </row>
        <row r="124">
          <cell r="B124" t="str">
            <v>AC</v>
          </cell>
          <cell r="C124" t="str">
            <v>DOM</v>
          </cell>
          <cell r="D124" t="str">
            <v>DOM</v>
          </cell>
          <cell r="E124" t="str">
            <v>P3</v>
          </cell>
          <cell r="F124">
            <v>39990</v>
          </cell>
          <cell r="G124">
            <v>40001</v>
          </cell>
          <cell r="H124" t="str">
            <v>7640000101</v>
          </cell>
          <cell r="I124" t="str">
            <v>6KMPF601PFU_N</v>
          </cell>
          <cell r="J124">
            <v>0</v>
          </cell>
          <cell r="K124" t="str">
            <v>Printer Memory (128MB)</v>
          </cell>
          <cell r="L124">
            <v>62</v>
          </cell>
          <cell r="M124">
            <v>2020</v>
          </cell>
          <cell r="N124">
            <v>57</v>
          </cell>
          <cell r="O124">
            <v>-0.17647058823529418</v>
          </cell>
          <cell r="P124">
            <v>1785.68</v>
          </cell>
          <cell r="Q124">
            <v>2141.1999999999998</v>
          </cell>
          <cell r="R124">
            <v>2419.56</v>
          </cell>
          <cell r="S124">
            <v>3241.9</v>
          </cell>
          <cell r="T124">
            <v>0.35198494709892342</v>
          </cell>
          <cell r="U124">
            <v>2510.52736</v>
          </cell>
          <cell r="V124">
            <v>0.1632037023488164</v>
          </cell>
          <cell r="W124">
            <v>48.449999999999996</v>
          </cell>
          <cell r="X124">
            <v>0.55081279496591506</v>
          </cell>
          <cell r="Y124">
            <v>0</v>
          </cell>
          <cell r="Z124">
            <v>0</v>
          </cell>
          <cell r="AA124">
            <v>2160</v>
          </cell>
          <cell r="AB124">
            <v>49</v>
          </cell>
          <cell r="AC124">
            <v>54</v>
          </cell>
          <cell r="AD124">
            <v>57</v>
          </cell>
          <cell r="AE124">
            <v>59.81</v>
          </cell>
          <cell r="AF124">
            <v>0.18993479351279061</v>
          </cell>
          <cell r="AG124">
            <v>4.6982110015047686E-2</v>
          </cell>
          <cell r="AH124">
            <v>62</v>
          </cell>
          <cell r="AI124">
            <v>63</v>
          </cell>
          <cell r="AJ124">
            <v>0.23095238095238102</v>
          </cell>
          <cell r="AK124">
            <v>64</v>
          </cell>
          <cell r="AL124">
            <v>65</v>
          </cell>
          <cell r="AM124">
            <v>0.25461538461538469</v>
          </cell>
          <cell r="AN124">
            <v>64.25</v>
          </cell>
          <cell r="AO124">
            <v>63.5</v>
          </cell>
          <cell r="AP124">
            <v>62.75</v>
          </cell>
          <cell r="AQ124">
            <v>0</v>
          </cell>
          <cell r="AR124">
            <v>352</v>
          </cell>
          <cell r="AS124">
            <v>62</v>
          </cell>
        </row>
        <row r="125">
          <cell r="B125" t="str">
            <v>AC</v>
          </cell>
          <cell r="C125" t="str">
            <v>DOM</v>
          </cell>
          <cell r="D125" t="str">
            <v>DOM</v>
          </cell>
          <cell r="E125" t="str">
            <v>P3</v>
          </cell>
          <cell r="F125">
            <v>39990</v>
          </cell>
          <cell r="G125">
            <v>40001</v>
          </cell>
          <cell r="H125" t="str">
            <v>7640000105</v>
          </cell>
          <cell r="I125" t="str">
            <v>3KMKHD506HDD</v>
          </cell>
          <cell r="J125">
            <v>0</v>
          </cell>
          <cell r="K125" t="str">
            <v>Printer Memory (64MB)</v>
          </cell>
          <cell r="L125">
            <v>45</v>
          </cell>
          <cell r="M125">
            <v>745</v>
          </cell>
          <cell r="N125">
            <v>37</v>
          </cell>
          <cell r="O125">
            <v>0.1173790212339378</v>
          </cell>
          <cell r="P125">
            <v>877.84</v>
          </cell>
          <cell r="Q125">
            <v>789.7</v>
          </cell>
          <cell r="R125">
            <v>892.36</v>
          </cell>
          <cell r="S125">
            <v>1097.3</v>
          </cell>
          <cell r="T125">
            <v>0.29390321698715016</v>
          </cell>
          <cell r="U125">
            <v>849.74911999999995</v>
          </cell>
          <cell r="V125">
            <v>8.8201468216877812E-2</v>
          </cell>
          <cell r="W125">
            <v>31.45</v>
          </cell>
          <cell r="X125">
            <v>0.8</v>
          </cell>
          <cell r="Y125">
            <v>0</v>
          </cell>
          <cell r="Z125">
            <v>0</v>
          </cell>
          <cell r="AA125">
            <v>1062</v>
          </cell>
          <cell r="AB125">
            <v>32</v>
          </cell>
          <cell r="AC125">
            <v>35</v>
          </cell>
          <cell r="AD125">
            <v>37</v>
          </cell>
          <cell r="AE125">
            <v>38.83</v>
          </cell>
          <cell r="AF125">
            <v>0.19005923255215038</v>
          </cell>
          <cell r="AG125">
            <v>4.7128508884882778E-2</v>
          </cell>
          <cell r="AH125">
            <v>40</v>
          </cell>
          <cell r="AI125">
            <v>41</v>
          </cell>
          <cell r="AJ125">
            <v>0.2329268292682927</v>
          </cell>
          <cell r="AK125">
            <v>41.5</v>
          </cell>
          <cell r="AL125">
            <v>42</v>
          </cell>
          <cell r="AM125">
            <v>0.25119047619047619</v>
          </cell>
          <cell r="AN125">
            <v>42.75</v>
          </cell>
          <cell r="AO125">
            <v>43.5</v>
          </cell>
          <cell r="AP125">
            <v>44.25</v>
          </cell>
          <cell r="AQ125">
            <v>0</v>
          </cell>
          <cell r="AR125">
            <v>352</v>
          </cell>
          <cell r="AS125">
            <v>45</v>
          </cell>
        </row>
        <row r="126">
          <cell r="B126" t="str">
            <v>AC</v>
          </cell>
          <cell r="C126" t="str">
            <v>DOM</v>
          </cell>
          <cell r="D126" t="str">
            <v>DOM</v>
          </cell>
          <cell r="E126" t="str">
            <v>P3</v>
          </cell>
          <cell r="F126">
            <v>39990</v>
          </cell>
          <cell r="G126">
            <v>40001</v>
          </cell>
          <cell r="H126" t="str">
            <v>7640000106</v>
          </cell>
          <cell r="I126" t="str">
            <v>6KMHT503DHUM_N</v>
          </cell>
          <cell r="J126">
            <v>0</v>
          </cell>
          <cell r="K126" t="str">
            <v>256MB Memory Upgrade (M256-1)</v>
          </cell>
          <cell r="L126">
            <v>210</v>
          </cell>
          <cell r="M126">
            <v>438</v>
          </cell>
          <cell r="N126">
            <v>116</v>
          </cell>
          <cell r="O126">
            <v>4.8621553884711718E-2</v>
          </cell>
          <cell r="P126">
            <v>478.8</v>
          </cell>
          <cell r="Q126">
            <v>464.28</v>
          </cell>
          <cell r="R126">
            <v>524.64</v>
          </cell>
          <cell r="S126">
            <v>598.5</v>
          </cell>
          <cell r="T126">
            <v>0.23889724310776936</v>
          </cell>
          <cell r="U126">
            <v>514.71</v>
          </cell>
          <cell r="V126">
            <v>0.11499679431135978</v>
          </cell>
          <cell r="W126">
            <v>98.6</v>
          </cell>
          <cell r="X126">
            <v>0.8</v>
          </cell>
          <cell r="Y126">
            <v>0</v>
          </cell>
          <cell r="Z126">
            <v>0</v>
          </cell>
          <cell r="AA126">
            <v>579</v>
          </cell>
          <cell r="AB126">
            <v>99</v>
          </cell>
          <cell r="AC126">
            <v>110</v>
          </cell>
          <cell r="AD126">
            <v>116</v>
          </cell>
          <cell r="AE126">
            <v>121.73</v>
          </cell>
          <cell r="AF126">
            <v>0.19001067937238159</v>
          </cell>
          <cell r="AG126">
            <v>4.7071387496919442E-2</v>
          </cell>
          <cell r="AH126">
            <v>125</v>
          </cell>
          <cell r="AI126">
            <v>127</v>
          </cell>
          <cell r="AJ126">
            <v>0.22362204724409454</v>
          </cell>
          <cell r="AK126">
            <v>129.5</v>
          </cell>
          <cell r="AL126">
            <v>132</v>
          </cell>
          <cell r="AM126">
            <v>0.25303030303030305</v>
          </cell>
          <cell r="AN126">
            <v>150.35</v>
          </cell>
          <cell r="AO126">
            <v>168.7</v>
          </cell>
          <cell r="AP126">
            <v>187.05</v>
          </cell>
          <cell r="AQ126">
            <v>0</v>
          </cell>
          <cell r="AS126">
            <v>210</v>
          </cell>
        </row>
        <row r="127">
          <cell r="B127" t="str">
            <v>AC</v>
          </cell>
          <cell r="C127" t="str">
            <v>DOM</v>
          </cell>
          <cell r="D127" t="str">
            <v>DOM</v>
          </cell>
          <cell r="E127" t="str">
            <v>P3</v>
          </cell>
          <cell r="F127">
            <v>39990</v>
          </cell>
          <cell r="G127">
            <v>40001</v>
          </cell>
          <cell r="H127" t="str">
            <v>7640000110</v>
          </cell>
          <cell r="I127" t="str">
            <v>6KMHT504DHUM_N</v>
          </cell>
          <cell r="J127">
            <v>0</v>
          </cell>
          <cell r="K127" t="str">
            <v>64MB Memory Upgrade (M64-1)</v>
          </cell>
          <cell r="L127">
            <v>115</v>
          </cell>
          <cell r="M127">
            <v>741</v>
          </cell>
          <cell r="N127">
            <v>34</v>
          </cell>
          <cell r="O127">
            <v>0</v>
          </cell>
          <cell r="P127">
            <v>770.64</v>
          </cell>
          <cell r="Q127">
            <v>785.46</v>
          </cell>
          <cell r="R127">
            <v>887.57</v>
          </cell>
          <cell r="S127">
            <v>947.7</v>
          </cell>
          <cell r="T127">
            <v>0.18683127572016467</v>
          </cell>
          <cell r="U127">
            <v>815.02200000000005</v>
          </cell>
          <cell r="V127">
            <v>5.4454971767633337E-2</v>
          </cell>
          <cell r="W127">
            <v>28.9</v>
          </cell>
          <cell r="X127">
            <v>0.81316872427983533</v>
          </cell>
          <cell r="Y127">
            <v>0</v>
          </cell>
          <cell r="Z127">
            <v>0</v>
          </cell>
          <cell r="AA127">
            <v>932</v>
          </cell>
          <cell r="AB127">
            <v>29</v>
          </cell>
          <cell r="AC127">
            <v>33</v>
          </cell>
          <cell r="AD127">
            <v>35</v>
          </cell>
          <cell r="AE127">
            <v>35.68</v>
          </cell>
          <cell r="AF127">
            <v>0.1900224215246637</v>
          </cell>
          <cell r="AG127">
            <v>4.7085201793721963E-2</v>
          </cell>
          <cell r="AH127">
            <v>37</v>
          </cell>
          <cell r="AI127">
            <v>38</v>
          </cell>
          <cell r="AJ127">
            <v>0.23947368421052637</v>
          </cell>
          <cell r="AK127">
            <v>38.5</v>
          </cell>
          <cell r="AL127">
            <v>39</v>
          </cell>
          <cell r="AM127">
            <v>0.258974358974359</v>
          </cell>
          <cell r="AN127">
            <v>44.3</v>
          </cell>
          <cell r="AO127">
            <v>49.6</v>
          </cell>
          <cell r="AP127">
            <v>54.9</v>
          </cell>
          <cell r="AQ127">
            <v>0</v>
          </cell>
          <cell r="AS127">
            <v>115</v>
          </cell>
        </row>
        <row r="128">
          <cell r="B128" t="str">
            <v>AC</v>
          </cell>
          <cell r="C128" t="str">
            <v>DOM</v>
          </cell>
          <cell r="D128" t="str">
            <v>DOM</v>
          </cell>
          <cell r="E128" t="str">
            <v>P3</v>
          </cell>
          <cell r="F128">
            <v>39990</v>
          </cell>
          <cell r="G128">
            <v>40001</v>
          </cell>
          <cell r="H128" t="str">
            <v>7640000111</v>
          </cell>
          <cell r="I128" t="str">
            <v>3KMOC506PC</v>
          </cell>
          <cell r="J128">
            <v>0</v>
          </cell>
          <cell r="K128" t="str">
            <v>128MB Memory Upgrade (M128-1)</v>
          </cell>
          <cell r="L128">
            <v>177</v>
          </cell>
          <cell r="M128">
            <v>61</v>
          </cell>
          <cell r="N128">
            <v>65</v>
          </cell>
          <cell r="O128">
            <v>0.19817997977755306</v>
          </cell>
          <cell r="P128">
            <v>79.12</v>
          </cell>
          <cell r="Q128">
            <v>64.66</v>
          </cell>
          <cell r="R128">
            <v>73.069999999999993</v>
          </cell>
          <cell r="S128">
            <v>98.9</v>
          </cell>
          <cell r="T128">
            <v>0.35854398382204244</v>
          </cell>
          <cell r="U128">
            <v>76.588160000000002</v>
          </cell>
          <cell r="V128">
            <v>0.17167353282805067</v>
          </cell>
          <cell r="W128">
            <v>55.25</v>
          </cell>
          <cell r="X128">
            <v>0.8</v>
          </cell>
          <cell r="Y128">
            <v>0</v>
          </cell>
          <cell r="Z128">
            <v>0</v>
          </cell>
          <cell r="AA128">
            <v>96</v>
          </cell>
          <cell r="AB128">
            <v>56</v>
          </cell>
          <cell r="AC128">
            <v>62</v>
          </cell>
          <cell r="AD128">
            <v>66</v>
          </cell>
          <cell r="AE128">
            <v>68.209999999999994</v>
          </cell>
          <cell r="AF128">
            <v>0.19000146606069485</v>
          </cell>
          <cell r="AG128">
            <v>4.7060548306699812E-2</v>
          </cell>
          <cell r="AH128">
            <v>71</v>
          </cell>
          <cell r="AI128">
            <v>72</v>
          </cell>
          <cell r="AJ128">
            <v>0.2326388888888889</v>
          </cell>
          <cell r="AK128">
            <v>73</v>
          </cell>
          <cell r="AL128">
            <v>74</v>
          </cell>
          <cell r="AM128">
            <v>0.2533783783783784</v>
          </cell>
          <cell r="AN128">
            <v>84.28</v>
          </cell>
          <cell r="AO128">
            <v>94.56</v>
          </cell>
          <cell r="AP128">
            <v>104.84</v>
          </cell>
          <cell r="AQ128">
            <v>0</v>
          </cell>
          <cell r="AS128">
            <v>177</v>
          </cell>
        </row>
        <row r="129">
          <cell r="B129" t="str">
            <v>AC</v>
          </cell>
          <cell r="C129" t="str">
            <v>DOM</v>
          </cell>
          <cell r="D129" t="str">
            <v>DOM</v>
          </cell>
          <cell r="E129" t="str">
            <v>P3</v>
          </cell>
          <cell r="F129">
            <v>39990</v>
          </cell>
          <cell r="G129">
            <v>40001</v>
          </cell>
          <cell r="H129" t="str">
            <v>7640000118</v>
          </cell>
          <cell r="I129" t="str">
            <v>3KMCOT502OPT</v>
          </cell>
          <cell r="J129">
            <v>0</v>
          </cell>
          <cell r="K129" t="str">
            <v>Token Ring Card for Pi5500</v>
          </cell>
          <cell r="L129">
            <v>580</v>
          </cell>
          <cell r="M129">
            <v>214</v>
          </cell>
          <cell r="N129">
            <v>0</v>
          </cell>
          <cell r="O129">
            <v>0.10054962819269316</v>
          </cell>
          <cell r="P129">
            <v>247.44</v>
          </cell>
          <cell r="Q129">
            <v>226.84</v>
          </cell>
          <cell r="R129">
            <v>256.33</v>
          </cell>
          <cell r="S129">
            <v>309.3</v>
          </cell>
          <cell r="T129">
            <v>0.28043970255415457</v>
          </cell>
          <cell r="U129">
            <v>239.52191999999999</v>
          </cell>
          <cell r="V129">
            <v>7.0815731604021853E-2</v>
          </cell>
          <cell r="W129">
            <v>0</v>
          </cell>
          <cell r="X129">
            <v>0.79999999999999993</v>
          </cell>
          <cell r="Y129">
            <v>0</v>
          </cell>
          <cell r="Z129">
            <v>0</v>
          </cell>
          <cell r="AA129">
            <v>299</v>
          </cell>
          <cell r="AB129">
            <v>0</v>
          </cell>
          <cell r="AC129">
            <v>0</v>
          </cell>
          <cell r="AD129">
            <v>0</v>
          </cell>
          <cell r="AE129">
            <v>0</v>
          </cell>
          <cell r="AF129" t="e">
            <v>#DIV/0!</v>
          </cell>
          <cell r="AG129" t="e">
            <v>#DIV/0!</v>
          </cell>
          <cell r="AH129">
            <v>0</v>
          </cell>
          <cell r="AI129">
            <v>0</v>
          </cell>
          <cell r="AJ129" t="e">
            <v>#DIV/0!</v>
          </cell>
          <cell r="AK129">
            <v>0</v>
          </cell>
          <cell r="AL129">
            <v>0</v>
          </cell>
          <cell r="AM129" t="e">
            <v>#DIV/0!</v>
          </cell>
          <cell r="AN129">
            <v>0</v>
          </cell>
          <cell r="AO129">
            <v>0</v>
          </cell>
          <cell r="AP129">
            <v>0</v>
          </cell>
          <cell r="AQ129">
            <v>0</v>
          </cell>
          <cell r="AS129">
            <v>580</v>
          </cell>
        </row>
        <row r="130">
          <cell r="B130" t="str">
            <v>AC</v>
          </cell>
          <cell r="C130" t="str">
            <v>DOM</v>
          </cell>
          <cell r="D130" t="str">
            <v>DOM</v>
          </cell>
          <cell r="E130" t="str">
            <v>P3</v>
          </cell>
          <cell r="F130">
            <v>39990</v>
          </cell>
          <cell r="G130">
            <v>40001</v>
          </cell>
          <cell r="H130" t="str">
            <v>7640000187</v>
          </cell>
          <cell r="I130" t="str">
            <v>6KMFS607BKLTFN_N</v>
          </cell>
          <cell r="J130">
            <v>0</v>
          </cell>
          <cell r="K130" t="str">
            <v>Doc Builder pro Dongle Ver 1.5 (CN3102e only)</v>
          </cell>
          <cell r="L130">
            <v>2500</v>
          </cell>
          <cell r="M130">
            <v>1530</v>
          </cell>
          <cell r="N130">
            <v>1288</v>
          </cell>
          <cell r="O130">
            <v>-0.17647058823529416</v>
          </cell>
          <cell r="P130">
            <v>1352.52</v>
          </cell>
          <cell r="Q130">
            <v>1621.8</v>
          </cell>
          <cell r="R130">
            <v>1832.63</v>
          </cell>
          <cell r="S130">
            <v>2239.5</v>
          </cell>
          <cell r="T130">
            <v>0.28948425987943738</v>
          </cell>
          <cell r="U130">
            <v>1734.2688000000001</v>
          </cell>
          <cell r="V130">
            <v>8.2495170298860249E-2</v>
          </cell>
          <cell r="W130">
            <v>1094.8</v>
          </cell>
          <cell r="X130">
            <v>0.60393837910247827</v>
          </cell>
          <cell r="Y130">
            <v>0</v>
          </cell>
          <cell r="Z130">
            <v>0</v>
          </cell>
          <cell r="AA130">
            <v>1636</v>
          </cell>
          <cell r="AB130">
            <v>1095</v>
          </cell>
          <cell r="AC130">
            <v>1217</v>
          </cell>
          <cell r="AD130">
            <v>1285</v>
          </cell>
          <cell r="AE130">
            <v>1351.6</v>
          </cell>
          <cell r="AF130">
            <v>0.18999704054453978</v>
          </cell>
          <cell r="AG130">
            <v>4.7055341817105585E-2</v>
          </cell>
          <cell r="AH130">
            <v>1379</v>
          </cell>
          <cell r="AI130">
            <v>1406</v>
          </cell>
          <cell r="AJ130">
            <v>0.22133712660028454</v>
          </cell>
          <cell r="AK130">
            <v>1433</v>
          </cell>
          <cell r="AL130">
            <v>1460</v>
          </cell>
          <cell r="AM130">
            <v>0.25013698630136988</v>
          </cell>
          <cell r="AN130">
            <v>1665.21</v>
          </cell>
          <cell r="AO130">
            <v>1870.42</v>
          </cell>
          <cell r="AP130">
            <v>2075.63</v>
          </cell>
          <cell r="AQ130">
            <v>0</v>
          </cell>
          <cell r="AS130">
            <v>2500</v>
          </cell>
        </row>
        <row r="131">
          <cell r="B131" t="str">
            <v>AC</v>
          </cell>
          <cell r="C131" t="str">
            <v>DOM</v>
          </cell>
          <cell r="D131" t="str">
            <v>DOM</v>
          </cell>
          <cell r="E131" t="str">
            <v>P3</v>
          </cell>
          <cell r="F131">
            <v>39990</v>
          </cell>
          <cell r="G131">
            <v>40001</v>
          </cell>
          <cell r="H131" t="str">
            <v>7640000189</v>
          </cell>
          <cell r="I131" t="str">
            <v>6KMFS607BKLTFN_N</v>
          </cell>
          <cell r="J131">
            <v>0</v>
          </cell>
          <cell r="K131" t="str">
            <v>Hard Disk Drive HDD-5</v>
          </cell>
          <cell r="L131">
            <v>321</v>
          </cell>
          <cell r="M131">
            <v>1530</v>
          </cell>
          <cell r="N131">
            <v>128</v>
          </cell>
          <cell r="O131">
            <v>0.11185532484929665</v>
          </cell>
          <cell r="P131">
            <v>1791.6</v>
          </cell>
          <cell r="Q131">
            <v>1621.8</v>
          </cell>
          <cell r="R131">
            <v>1832.63</v>
          </cell>
          <cell r="S131">
            <v>2239.5</v>
          </cell>
          <cell r="T131">
            <v>0.28948425987943738</v>
          </cell>
          <cell r="U131">
            <v>1734.2688000000001</v>
          </cell>
          <cell r="V131">
            <v>8.2495170298860249E-2</v>
          </cell>
          <cell r="W131">
            <v>108.8</v>
          </cell>
          <cell r="X131">
            <v>0.79999999999999993</v>
          </cell>
          <cell r="Y131">
            <v>0</v>
          </cell>
          <cell r="Z131">
            <v>0</v>
          </cell>
          <cell r="AA131">
            <v>2168</v>
          </cell>
          <cell r="AB131">
            <v>109</v>
          </cell>
          <cell r="AC131">
            <v>121</v>
          </cell>
          <cell r="AD131">
            <v>128</v>
          </cell>
          <cell r="AE131">
            <v>134.32</v>
          </cell>
          <cell r="AF131">
            <v>0.18999404407385345</v>
          </cell>
          <cell r="AG131">
            <v>4.7051816557474639E-2</v>
          </cell>
          <cell r="AH131">
            <v>138</v>
          </cell>
          <cell r="AI131">
            <v>141</v>
          </cell>
          <cell r="AJ131">
            <v>0.22836879432624116</v>
          </cell>
          <cell r="AK131">
            <v>143.5</v>
          </cell>
          <cell r="AL131">
            <v>146</v>
          </cell>
          <cell r="AM131">
            <v>0.25479452054794521</v>
          </cell>
          <cell r="AN131">
            <v>166.17</v>
          </cell>
          <cell r="AO131">
            <v>186.34</v>
          </cell>
          <cell r="AP131">
            <v>206.51</v>
          </cell>
          <cell r="AQ131">
            <v>0</v>
          </cell>
          <cell r="AS131">
            <v>321</v>
          </cell>
        </row>
        <row r="132">
          <cell r="B132" t="str">
            <v>AC</v>
          </cell>
          <cell r="C132" t="str">
            <v>DOM</v>
          </cell>
          <cell r="D132" t="str">
            <v>DOM</v>
          </cell>
          <cell r="E132" t="str">
            <v>P3</v>
          </cell>
          <cell r="F132">
            <v>39990</v>
          </cell>
          <cell r="G132">
            <v>40001</v>
          </cell>
          <cell r="H132" t="str">
            <v>7640000190</v>
          </cell>
          <cell r="I132" t="str">
            <v>6KMPK512HPK_N</v>
          </cell>
          <cell r="J132">
            <v>0</v>
          </cell>
          <cell r="K132" t="str">
            <v>128MB Upgrade for CN3102e/IC-401</v>
          </cell>
          <cell r="L132">
            <v>110</v>
          </cell>
          <cell r="M132">
            <v>286</v>
          </cell>
          <cell r="N132">
            <v>38</v>
          </cell>
          <cell r="O132">
            <v>0.12517647058823531</v>
          </cell>
          <cell r="P132">
            <v>340</v>
          </cell>
          <cell r="Q132">
            <v>303.16000000000003</v>
          </cell>
          <cell r="R132">
            <v>342.57</v>
          </cell>
          <cell r="S132">
            <v>425</v>
          </cell>
          <cell r="T132">
            <v>0.30014117647058824</v>
          </cell>
          <cell r="U132">
            <v>329.12</v>
          </cell>
          <cell r="V132">
            <v>9.6256684491978634E-2</v>
          </cell>
          <cell r="W132">
            <v>32.299999999999997</v>
          </cell>
          <cell r="X132">
            <v>0.8</v>
          </cell>
          <cell r="Y132">
            <v>0</v>
          </cell>
          <cell r="Z132">
            <v>0</v>
          </cell>
          <cell r="AA132">
            <v>411</v>
          </cell>
          <cell r="AB132">
            <v>33</v>
          </cell>
          <cell r="AC132">
            <v>36</v>
          </cell>
          <cell r="AD132">
            <v>38</v>
          </cell>
          <cell r="AE132">
            <v>39.880000000000003</v>
          </cell>
          <cell r="AF132">
            <v>0.1900702106318958</v>
          </cell>
          <cell r="AG132">
            <v>4.7141424272818519E-2</v>
          </cell>
          <cell r="AH132">
            <v>41</v>
          </cell>
          <cell r="AI132">
            <v>42</v>
          </cell>
          <cell r="AJ132">
            <v>0.23095238095238102</v>
          </cell>
          <cell r="AK132">
            <v>43</v>
          </cell>
          <cell r="AL132">
            <v>44</v>
          </cell>
          <cell r="AM132">
            <v>0.26590909090909098</v>
          </cell>
          <cell r="AN132">
            <v>49.82</v>
          </cell>
          <cell r="AO132">
            <v>55.64</v>
          </cell>
          <cell r="AP132">
            <v>61.46</v>
          </cell>
          <cell r="AQ132">
            <v>0</v>
          </cell>
          <cell r="AS132">
            <v>110</v>
          </cell>
        </row>
        <row r="133">
          <cell r="B133" t="str">
            <v>AC</v>
          </cell>
          <cell r="C133" t="str">
            <v>DOM</v>
          </cell>
          <cell r="D133" t="str">
            <v>DOM</v>
          </cell>
          <cell r="E133" t="str">
            <v>P3</v>
          </cell>
          <cell r="F133">
            <v>39990</v>
          </cell>
          <cell r="G133">
            <v>40001</v>
          </cell>
          <cell r="H133" t="str">
            <v>7640000192</v>
          </cell>
          <cell r="I133" t="str">
            <v>3KMHPI502PI</v>
          </cell>
          <cell r="J133">
            <v>0</v>
          </cell>
          <cell r="K133" t="str">
            <v>256MB Memory (must be included)</v>
          </cell>
          <cell r="L133">
            <v>200</v>
          </cell>
          <cell r="M133">
            <v>414</v>
          </cell>
          <cell r="N133">
            <v>61</v>
          </cell>
          <cell r="O133">
            <v>-0.17647058823529413</v>
          </cell>
          <cell r="P133">
            <v>365.976</v>
          </cell>
          <cell r="Q133">
            <v>438.84</v>
          </cell>
          <cell r="R133">
            <v>495.89</v>
          </cell>
          <cell r="S133">
            <v>573.70000000000005</v>
          </cell>
          <cell r="T133">
            <v>0.24950322468188954</v>
          </cell>
          <cell r="U133">
            <v>493.38200000000001</v>
          </cell>
          <cell r="V133">
            <v>0.12732933102545291</v>
          </cell>
          <cell r="W133">
            <v>51.85</v>
          </cell>
          <cell r="X133">
            <v>0.6379222590203939</v>
          </cell>
          <cell r="Y133">
            <v>0</v>
          </cell>
          <cell r="Z133">
            <v>0</v>
          </cell>
          <cell r="AA133">
            <v>443</v>
          </cell>
          <cell r="AB133">
            <v>52</v>
          </cell>
          <cell r="AC133">
            <v>58</v>
          </cell>
          <cell r="AD133">
            <v>62</v>
          </cell>
          <cell r="AE133">
            <v>64.010000000000005</v>
          </cell>
          <cell r="AF133">
            <v>0.18997031713794724</v>
          </cell>
          <cell r="AG133">
            <v>4.7023902515232072E-2</v>
          </cell>
          <cell r="AH133">
            <v>67</v>
          </cell>
          <cell r="AI133">
            <v>68</v>
          </cell>
          <cell r="AJ133">
            <v>0.23749999999999999</v>
          </cell>
          <cell r="AK133">
            <v>69</v>
          </cell>
          <cell r="AL133">
            <v>70</v>
          </cell>
          <cell r="AM133">
            <v>0.25928571428571429</v>
          </cell>
          <cell r="AN133">
            <v>79.510000000000005</v>
          </cell>
          <cell r="AO133">
            <v>89.02</v>
          </cell>
          <cell r="AP133">
            <v>98.53</v>
          </cell>
          <cell r="AQ133">
            <v>0</v>
          </cell>
          <cell r="AS133">
            <v>200</v>
          </cell>
        </row>
        <row r="134">
          <cell r="B134" t="str">
            <v>AC</v>
          </cell>
          <cell r="C134" t="str">
            <v>DOM</v>
          </cell>
          <cell r="D134" t="str">
            <v>DOM</v>
          </cell>
          <cell r="E134" t="str">
            <v>P3</v>
          </cell>
          <cell r="F134">
            <v>39990</v>
          </cell>
          <cell r="G134">
            <v>40001</v>
          </cell>
          <cell r="H134" t="str">
            <v>7640000743</v>
          </cell>
          <cell r="I134" t="str">
            <v>6KMPI502V2_N</v>
          </cell>
          <cell r="J134">
            <v>0</v>
          </cell>
          <cell r="K134" t="str">
            <v>FACI Kit</v>
          </cell>
          <cell r="L134">
            <v>3599</v>
          </cell>
          <cell r="M134">
            <v>414</v>
          </cell>
          <cell r="N134">
            <v>1545</v>
          </cell>
          <cell r="O134">
            <v>6.1879030852361815E-2</v>
          </cell>
          <cell r="P134">
            <v>458.96</v>
          </cell>
          <cell r="Q134">
            <v>438.84</v>
          </cell>
          <cell r="R134">
            <v>495.89</v>
          </cell>
          <cell r="S134">
            <v>573.70000000000005</v>
          </cell>
          <cell r="T134">
            <v>0.24950322468188954</v>
          </cell>
          <cell r="U134">
            <v>493.38200000000001</v>
          </cell>
          <cell r="V134">
            <v>0.12732933102545291</v>
          </cell>
          <cell r="W134">
            <v>1313.25</v>
          </cell>
          <cell r="X134">
            <v>0.79999999999999993</v>
          </cell>
          <cell r="Y134">
            <v>0</v>
          </cell>
          <cell r="Z134">
            <v>0</v>
          </cell>
          <cell r="AA134">
            <v>555</v>
          </cell>
          <cell r="AB134">
            <v>1314</v>
          </cell>
          <cell r="AC134">
            <v>1460</v>
          </cell>
          <cell r="AD134">
            <v>1541</v>
          </cell>
          <cell r="AE134">
            <v>1621.3</v>
          </cell>
          <cell r="AF134">
            <v>0.19000185036698944</v>
          </cell>
          <cell r="AG134">
            <v>4.7061000431752271E-2</v>
          </cell>
          <cell r="AH134">
            <v>1655</v>
          </cell>
          <cell r="AI134">
            <v>1687</v>
          </cell>
          <cell r="AJ134">
            <v>0.22154712507409602</v>
          </cell>
          <cell r="AK134">
            <v>1719</v>
          </cell>
          <cell r="AL134">
            <v>1751</v>
          </cell>
          <cell r="AM134">
            <v>0.25</v>
          </cell>
          <cell r="AN134">
            <v>1997.23</v>
          </cell>
          <cell r="AO134">
            <v>2243.46</v>
          </cell>
          <cell r="AP134">
            <v>2489.69</v>
          </cell>
          <cell r="AQ134">
            <v>0</v>
          </cell>
          <cell r="AS134">
            <v>3599</v>
          </cell>
        </row>
        <row r="135">
          <cell r="B135" t="str">
            <v>AC</v>
          </cell>
          <cell r="C135" t="str">
            <v>DOM</v>
          </cell>
          <cell r="D135" t="str">
            <v>DOM</v>
          </cell>
          <cell r="E135" t="str">
            <v>P3</v>
          </cell>
          <cell r="F135">
            <v>39990</v>
          </cell>
          <cell r="G135">
            <v>40001</v>
          </cell>
          <cell r="H135" t="str">
            <v>7640000745</v>
          </cell>
          <cell r="I135" t="str">
            <v>6KMRU503RBPU_N</v>
          </cell>
          <cell r="J135">
            <v>0</v>
          </cell>
          <cell r="K135" t="str">
            <v>Graphic Arts Package</v>
          </cell>
          <cell r="L135">
            <v>5000</v>
          </cell>
          <cell r="M135">
            <v>898</v>
          </cell>
          <cell r="N135">
            <v>2575</v>
          </cell>
          <cell r="O135">
            <v>-0.17647058823529421</v>
          </cell>
          <cell r="P135">
            <v>793.83199999999999</v>
          </cell>
          <cell r="Q135">
            <v>951.88</v>
          </cell>
          <cell r="R135">
            <v>1075.6199999999999</v>
          </cell>
          <cell r="S135">
            <v>1141.2</v>
          </cell>
          <cell r="T135">
            <v>0.181633368384157</v>
          </cell>
          <cell r="U135">
            <v>981.43200000000002</v>
          </cell>
          <cell r="V135">
            <v>4.8410893469949971E-2</v>
          </cell>
          <cell r="W135">
            <v>2188.75</v>
          </cell>
          <cell r="X135">
            <v>0.6956116368734665</v>
          </cell>
          <cell r="Y135">
            <v>0</v>
          </cell>
          <cell r="Z135">
            <v>0</v>
          </cell>
          <cell r="AA135">
            <v>960</v>
          </cell>
          <cell r="AB135">
            <v>2189</v>
          </cell>
          <cell r="AC135">
            <v>2432</v>
          </cell>
          <cell r="AD135">
            <v>2568</v>
          </cell>
          <cell r="AE135">
            <v>2702.16</v>
          </cell>
          <cell r="AF135">
            <v>0.18999985197027558</v>
          </cell>
          <cell r="AG135">
            <v>4.7058649376794812E-2</v>
          </cell>
          <cell r="AH135">
            <v>2757</v>
          </cell>
          <cell r="AI135">
            <v>2811</v>
          </cell>
          <cell r="AJ135">
            <v>0.22136250444681607</v>
          </cell>
          <cell r="AK135">
            <v>2865</v>
          </cell>
          <cell r="AL135">
            <v>2919</v>
          </cell>
          <cell r="AM135">
            <v>0.250171291538198</v>
          </cell>
          <cell r="AN135">
            <v>3329.22</v>
          </cell>
          <cell r="AO135">
            <v>3739.44</v>
          </cell>
          <cell r="AP135">
            <v>4149.66</v>
          </cell>
          <cell r="AQ135">
            <v>0</v>
          </cell>
          <cell r="AS135">
            <v>5000</v>
          </cell>
        </row>
        <row r="136">
          <cell r="B136" t="str">
            <v>AC</v>
          </cell>
          <cell r="C136" t="str">
            <v>DOM</v>
          </cell>
          <cell r="D136" t="str">
            <v>DOM</v>
          </cell>
          <cell r="E136" t="str">
            <v>P3</v>
          </cell>
          <cell r="F136">
            <v>39990</v>
          </cell>
          <cell r="G136">
            <v>40001</v>
          </cell>
          <cell r="H136" t="str">
            <v>7640000746</v>
          </cell>
          <cell r="I136" t="str">
            <v>6KMRU504PRBPU_N</v>
          </cell>
          <cell r="J136">
            <v>0</v>
          </cell>
          <cell r="K136" t="str">
            <v>Doc Builder Pro</v>
          </cell>
          <cell r="L136">
            <v>2500</v>
          </cell>
          <cell r="M136">
            <v>1173</v>
          </cell>
          <cell r="N136">
            <v>1288</v>
          </cell>
          <cell r="O136">
            <v>-0.17647058823529416</v>
          </cell>
          <cell r="P136">
            <v>1036.932</v>
          </cell>
          <cell r="Q136">
            <v>1243.3800000000001</v>
          </cell>
          <cell r="R136">
            <v>1405.02</v>
          </cell>
          <cell r="S136">
            <v>1491.4</v>
          </cell>
          <cell r="T136">
            <v>0.18203030709400564</v>
          </cell>
          <cell r="U136">
            <v>1282.604</v>
          </cell>
          <cell r="V136">
            <v>4.8872450109308851E-2</v>
          </cell>
          <cell r="W136">
            <v>1094.8</v>
          </cell>
          <cell r="X136">
            <v>0.69527423897009522</v>
          </cell>
          <cell r="Y136">
            <v>0</v>
          </cell>
          <cell r="Z136">
            <v>0</v>
          </cell>
          <cell r="AA136">
            <v>1255</v>
          </cell>
          <cell r="AB136">
            <v>1095</v>
          </cell>
          <cell r="AC136">
            <v>1217</v>
          </cell>
          <cell r="AD136">
            <v>1285</v>
          </cell>
          <cell r="AE136">
            <v>1351.6</v>
          </cell>
          <cell r="AF136">
            <v>0.18999704054453978</v>
          </cell>
          <cell r="AG136">
            <v>4.7055341817105585E-2</v>
          </cell>
          <cell r="AH136">
            <v>1379</v>
          </cell>
          <cell r="AI136">
            <v>1406</v>
          </cell>
          <cell r="AJ136">
            <v>0.22133712660028454</v>
          </cell>
          <cell r="AK136">
            <v>1433</v>
          </cell>
          <cell r="AL136">
            <v>1460</v>
          </cell>
          <cell r="AM136">
            <v>0.25013698630136988</v>
          </cell>
          <cell r="AN136">
            <v>1665.21</v>
          </cell>
          <cell r="AO136">
            <v>1870.42</v>
          </cell>
          <cell r="AP136">
            <v>2075.63</v>
          </cell>
          <cell r="AQ136">
            <v>0</v>
          </cell>
          <cell r="AR136">
            <v>288</v>
          </cell>
          <cell r="AS136">
            <v>2500</v>
          </cell>
        </row>
        <row r="137">
          <cell r="B137" t="str">
            <v>AC</v>
          </cell>
          <cell r="C137" t="str">
            <v>DOM</v>
          </cell>
          <cell r="D137" t="str">
            <v>DOM</v>
          </cell>
          <cell r="E137" t="str">
            <v>P3</v>
          </cell>
          <cell r="F137">
            <v>39990</v>
          </cell>
          <cell r="G137">
            <v>40001</v>
          </cell>
          <cell r="H137" t="str">
            <v>7640000749</v>
          </cell>
          <cell r="I137" t="str">
            <v>6KMRU504V2_N</v>
          </cell>
          <cell r="J137">
            <v>0</v>
          </cell>
          <cell r="K137" t="str">
            <v>Memory 256MB x 4 (Copier) (MU-412)</v>
          </cell>
          <cell r="L137">
            <v>385</v>
          </cell>
          <cell r="M137">
            <v>220</v>
          </cell>
          <cell r="N137">
            <v>226.6</v>
          </cell>
          <cell r="O137">
            <v>-0.17647058823529418</v>
          </cell>
          <cell r="P137">
            <v>1083.5999999999999</v>
          </cell>
          <cell r="Q137">
            <v>1060</v>
          </cell>
          <cell r="R137">
            <v>1197.8</v>
          </cell>
          <cell r="S137">
            <v>350</v>
          </cell>
          <cell r="T137">
            <v>0.23218899963086009</v>
          </cell>
          <cell r="U137">
            <v>1164.8699999999999</v>
          </cell>
          <cell r="V137">
            <v>0.10719651119867445</v>
          </cell>
          <cell r="W137">
            <v>192.60999999999999</v>
          </cell>
          <cell r="X137">
            <v>0.79999999999999993</v>
          </cell>
          <cell r="Y137">
            <v>0</v>
          </cell>
          <cell r="Z137">
            <v>0</v>
          </cell>
          <cell r="AA137">
            <v>1311</v>
          </cell>
          <cell r="AB137">
            <v>193</v>
          </cell>
          <cell r="AC137">
            <v>215</v>
          </cell>
          <cell r="AD137">
            <v>227</v>
          </cell>
          <cell r="AE137">
            <v>237.79</v>
          </cell>
          <cell r="AF137">
            <v>0.18999957946086887</v>
          </cell>
          <cell r="AG137">
            <v>4.705832877749274E-2</v>
          </cell>
          <cell r="AH137">
            <v>243</v>
          </cell>
          <cell r="AI137">
            <v>248</v>
          </cell>
          <cell r="AJ137">
            <v>0.22334677419354845</v>
          </cell>
          <cell r="AK137">
            <v>252.5</v>
          </cell>
          <cell r="AL137">
            <v>257</v>
          </cell>
          <cell r="AM137">
            <v>0.25054474708171209</v>
          </cell>
          <cell r="AN137">
            <v>289</v>
          </cell>
          <cell r="AO137">
            <v>321</v>
          </cell>
          <cell r="AP137">
            <v>353</v>
          </cell>
          <cell r="AQ137">
            <v>0</v>
          </cell>
          <cell r="AR137">
            <v>288</v>
          </cell>
          <cell r="AS137">
            <v>385</v>
          </cell>
        </row>
        <row r="138">
          <cell r="B138" t="str">
            <v>AC</v>
          </cell>
          <cell r="C138" t="str">
            <v>DOM</v>
          </cell>
          <cell r="D138" t="str">
            <v>DOM</v>
          </cell>
          <cell r="E138" t="str">
            <v>P3</v>
          </cell>
          <cell r="F138">
            <v>39990</v>
          </cell>
          <cell r="G138">
            <v>40001</v>
          </cell>
          <cell r="H138" t="str">
            <v>7640000750</v>
          </cell>
          <cell r="I138" t="str">
            <v>7KMDF609RADF_N</v>
          </cell>
          <cell r="J138">
            <v>0</v>
          </cell>
          <cell r="K138" t="str">
            <v>Fiery S300 256-MB Upgrade (bringing total to 512 MB)</v>
          </cell>
          <cell r="L138">
            <v>385</v>
          </cell>
          <cell r="M138">
            <v>559</v>
          </cell>
          <cell r="N138">
            <v>177</v>
          </cell>
          <cell r="O138">
            <v>-0.17647058823529413</v>
          </cell>
          <cell r="P138">
            <v>494.15600000000001</v>
          </cell>
          <cell r="Q138">
            <v>592.54</v>
          </cell>
          <cell r="R138">
            <v>669.57</v>
          </cell>
          <cell r="S138">
            <v>877.8</v>
          </cell>
          <cell r="T138">
            <v>0.33770790612895873</v>
          </cell>
          <cell r="U138">
            <v>679.7683199999999</v>
          </cell>
          <cell r="V138">
            <v>0.14476744076570075</v>
          </cell>
          <cell r="W138">
            <v>150.44999999999999</v>
          </cell>
          <cell r="X138">
            <v>0.56294827979038509</v>
          </cell>
          <cell r="Y138">
            <v>0</v>
          </cell>
          <cell r="Z138">
            <v>0</v>
          </cell>
          <cell r="AA138">
            <v>598</v>
          </cell>
          <cell r="AB138">
            <v>151</v>
          </cell>
          <cell r="AC138">
            <v>168</v>
          </cell>
          <cell r="AD138">
            <v>177</v>
          </cell>
          <cell r="AE138">
            <v>185.74</v>
          </cell>
          <cell r="AF138">
            <v>0.18999676967804469</v>
          </cell>
          <cell r="AG138">
            <v>4.705502315064073E-2</v>
          </cell>
          <cell r="AH138">
            <v>190</v>
          </cell>
          <cell r="AI138">
            <v>194</v>
          </cell>
          <cell r="AJ138">
            <v>0.22448453608247429</v>
          </cell>
          <cell r="AK138">
            <v>197.5</v>
          </cell>
          <cell r="AL138">
            <v>201</v>
          </cell>
          <cell r="AM138">
            <v>0.25149253731343291</v>
          </cell>
          <cell r="AN138">
            <v>229.11</v>
          </cell>
          <cell r="AO138">
            <v>257.22000000000003</v>
          </cell>
          <cell r="AP138">
            <v>285.33</v>
          </cell>
          <cell r="AQ138">
            <v>0</v>
          </cell>
          <cell r="AS138">
            <v>385</v>
          </cell>
        </row>
        <row r="139">
          <cell r="B139" t="str">
            <v>AC</v>
          </cell>
          <cell r="C139" t="str">
            <v>DOM</v>
          </cell>
          <cell r="D139" t="str">
            <v>DOM</v>
          </cell>
          <cell r="E139" t="str">
            <v>P3</v>
          </cell>
          <cell r="F139">
            <v>39990</v>
          </cell>
          <cell r="G139">
            <v>40001</v>
          </cell>
          <cell r="H139" t="str">
            <v>7640000771</v>
          </cell>
          <cell r="I139" t="str">
            <v>7KMDF609V2_N</v>
          </cell>
          <cell r="J139">
            <v>0</v>
          </cell>
          <cell r="K139" t="str">
            <v>EFI Graphics Arts Package - CN3102 Pro ONLY</v>
          </cell>
          <cell r="L139">
            <v>5000</v>
          </cell>
          <cell r="M139">
            <v>559</v>
          </cell>
          <cell r="N139">
            <v>2575</v>
          </cell>
          <cell r="O139">
            <v>0.17213488266119845</v>
          </cell>
          <cell r="P139">
            <v>702.24</v>
          </cell>
          <cell r="Q139">
            <v>592.54</v>
          </cell>
          <cell r="R139">
            <v>669.57</v>
          </cell>
          <cell r="S139">
            <v>877.8</v>
          </cell>
          <cell r="T139">
            <v>0.33770790612895873</v>
          </cell>
          <cell r="U139">
            <v>679.7683199999999</v>
          </cell>
          <cell r="V139">
            <v>0.14476744076570075</v>
          </cell>
          <cell r="W139">
            <v>2188.75</v>
          </cell>
          <cell r="X139">
            <v>0.8</v>
          </cell>
          <cell r="Y139">
            <v>0</v>
          </cell>
          <cell r="Z139">
            <v>0</v>
          </cell>
          <cell r="AA139">
            <v>850</v>
          </cell>
          <cell r="AB139">
            <v>2189</v>
          </cell>
          <cell r="AC139">
            <v>2432</v>
          </cell>
          <cell r="AD139">
            <v>2568</v>
          </cell>
          <cell r="AE139">
            <v>2702.16</v>
          </cell>
          <cell r="AF139">
            <v>0.18999985197027558</v>
          </cell>
          <cell r="AG139">
            <v>4.7058649376794812E-2</v>
          </cell>
          <cell r="AH139">
            <v>2757</v>
          </cell>
          <cell r="AI139">
            <v>2811</v>
          </cell>
          <cell r="AJ139">
            <v>0.22136250444681607</v>
          </cell>
          <cell r="AK139">
            <v>2865</v>
          </cell>
          <cell r="AL139">
            <v>2919</v>
          </cell>
          <cell r="AM139">
            <v>0.250171291538198</v>
          </cell>
          <cell r="AN139">
            <v>3329.22</v>
          </cell>
          <cell r="AO139">
            <v>3739.44</v>
          </cell>
          <cell r="AP139">
            <v>4149.66</v>
          </cell>
          <cell r="AQ139">
            <v>0</v>
          </cell>
          <cell r="AS139">
            <v>5000</v>
          </cell>
        </row>
        <row r="140">
          <cell r="B140" t="str">
            <v>AC</v>
          </cell>
          <cell r="C140" t="str">
            <v>DOM</v>
          </cell>
          <cell r="D140" t="str">
            <v>DOM</v>
          </cell>
          <cell r="E140" t="str">
            <v>P3</v>
          </cell>
          <cell r="F140">
            <v>39990</v>
          </cell>
          <cell r="G140">
            <v>40001</v>
          </cell>
          <cell r="H140" t="str">
            <v>7640000776</v>
          </cell>
          <cell r="I140" t="str">
            <v>4KMIC304ECC_N</v>
          </cell>
          <cell r="J140">
            <v>0</v>
          </cell>
          <cell r="K140" t="str">
            <v>EFI Color Profiler Kit - CN3102 Pro ONLY (includes ES-1000 color spectrophotometer)</v>
          </cell>
          <cell r="L140">
            <v>2000</v>
          </cell>
          <cell r="M140">
            <v>10710</v>
          </cell>
          <cell r="N140">
            <v>1030</v>
          </cell>
          <cell r="O140">
            <v>-0.17647058823529416</v>
          </cell>
          <cell r="P140">
            <v>9467.64</v>
          </cell>
          <cell r="Q140">
            <v>11352.6</v>
          </cell>
          <cell r="R140">
            <v>12828.44</v>
          </cell>
          <cell r="S140">
            <v>15384.5</v>
          </cell>
          <cell r="T140">
            <v>0.27599856998927497</v>
          </cell>
          <cell r="U140">
            <v>11913.756799999999</v>
          </cell>
          <cell r="V140">
            <v>6.5080798023340519E-2</v>
          </cell>
          <cell r="W140">
            <v>875.5</v>
          </cell>
          <cell r="X140">
            <v>0.61540121550911631</v>
          </cell>
          <cell r="Y140">
            <v>0</v>
          </cell>
          <cell r="Z140">
            <v>0</v>
          </cell>
          <cell r="AA140">
            <v>11455</v>
          </cell>
          <cell r="AB140">
            <v>876</v>
          </cell>
          <cell r="AC140">
            <v>973</v>
          </cell>
          <cell r="AD140">
            <v>1027</v>
          </cell>
          <cell r="AE140">
            <v>1080.8599999999999</v>
          </cell>
          <cell r="AF140">
            <v>0.18999685435671587</v>
          </cell>
          <cell r="AG140">
            <v>4.7055122772606907E-2</v>
          </cell>
          <cell r="AH140">
            <v>1103</v>
          </cell>
          <cell r="AI140">
            <v>1125</v>
          </cell>
          <cell r="AJ140">
            <v>0.22177777777777777</v>
          </cell>
          <cell r="AK140">
            <v>1146.5</v>
          </cell>
          <cell r="AL140">
            <v>1168</v>
          </cell>
          <cell r="AM140">
            <v>0.25042808219178081</v>
          </cell>
          <cell r="AN140">
            <v>1331.99</v>
          </cell>
          <cell r="AO140">
            <v>1495.98</v>
          </cell>
          <cell r="AP140">
            <v>1659.97</v>
          </cell>
          <cell r="AQ140">
            <v>0</v>
          </cell>
          <cell r="AS140">
            <v>2000</v>
          </cell>
        </row>
        <row r="141">
          <cell r="B141" t="str">
            <v>AC</v>
          </cell>
          <cell r="C141" t="str">
            <v>DOM</v>
          </cell>
          <cell r="D141" t="str">
            <v>DOM</v>
          </cell>
          <cell r="E141" t="str">
            <v>P3</v>
          </cell>
          <cell r="F141">
            <v>39990</v>
          </cell>
          <cell r="G141">
            <v>40001</v>
          </cell>
          <cell r="H141" t="str">
            <v>7640000801</v>
          </cell>
          <cell r="I141" t="str">
            <v>4KMIC304ECC_N</v>
          </cell>
          <cell r="J141">
            <v>0</v>
          </cell>
          <cell r="K141" t="str">
            <v>256MB Memory Upgrade</v>
          </cell>
          <cell r="L141">
            <v>210</v>
          </cell>
          <cell r="M141">
            <v>68</v>
          </cell>
          <cell r="N141">
            <v>70.040000000000006</v>
          </cell>
          <cell r="O141">
            <v>-0.1764705882352941</v>
          </cell>
          <cell r="P141">
            <v>12307.6</v>
          </cell>
          <cell r="Q141">
            <v>11352.6</v>
          </cell>
          <cell r="R141">
            <v>12828.44</v>
          </cell>
          <cell r="S141">
            <v>88</v>
          </cell>
          <cell r="T141">
            <v>0.27599856998927497</v>
          </cell>
          <cell r="U141">
            <v>11913.756799999999</v>
          </cell>
          <cell r="V141">
            <v>6.5080798023340519E-2</v>
          </cell>
          <cell r="W141">
            <v>59.534000000000006</v>
          </cell>
          <cell r="X141">
            <v>0.8</v>
          </cell>
          <cell r="Y141">
            <v>0</v>
          </cell>
          <cell r="Z141">
            <v>0</v>
          </cell>
          <cell r="AA141">
            <v>14891</v>
          </cell>
          <cell r="AB141">
            <v>60</v>
          </cell>
          <cell r="AC141">
            <v>67</v>
          </cell>
          <cell r="AD141">
            <v>71</v>
          </cell>
          <cell r="AE141">
            <v>73.5</v>
          </cell>
          <cell r="AF141">
            <v>0.1900136054421768</v>
          </cell>
          <cell r="AG141">
            <v>4.7074829931972706E-2</v>
          </cell>
          <cell r="AH141">
            <v>76</v>
          </cell>
          <cell r="AI141">
            <v>77</v>
          </cell>
          <cell r="AJ141">
            <v>0.22683116883116874</v>
          </cell>
          <cell r="AK141">
            <v>78.5</v>
          </cell>
          <cell r="AL141">
            <v>80</v>
          </cell>
          <cell r="AM141">
            <v>0.25582499999999991</v>
          </cell>
          <cell r="AN141">
            <v>91.01</v>
          </cell>
          <cell r="AO141">
            <v>102.02</v>
          </cell>
          <cell r="AP141">
            <v>113.03</v>
          </cell>
          <cell r="AQ141">
            <v>0</v>
          </cell>
          <cell r="AS141">
            <v>210</v>
          </cell>
        </row>
        <row r="142">
          <cell r="B142" t="str">
            <v>AC</v>
          </cell>
          <cell r="C142" t="str">
            <v>DOM</v>
          </cell>
          <cell r="D142" t="str">
            <v>DOM</v>
          </cell>
          <cell r="E142" t="str">
            <v>P3</v>
          </cell>
          <cell r="F142">
            <v>39990</v>
          </cell>
          <cell r="G142">
            <v>40001</v>
          </cell>
          <cell r="H142" t="str">
            <v>7640000848</v>
          </cell>
          <cell r="I142" t="str">
            <v>4KMIC304_N</v>
          </cell>
          <cell r="J142">
            <v>0</v>
          </cell>
          <cell r="K142" t="str">
            <v xml:space="preserve">Exit Tray and Extension </v>
          </cell>
          <cell r="L142">
            <v>78</v>
          </cell>
          <cell r="M142">
            <v>14.87</v>
          </cell>
          <cell r="N142">
            <v>15.316099999999999</v>
          </cell>
          <cell r="O142">
            <v>-0.17647058823529421</v>
          </cell>
          <cell r="P142">
            <v>12307.6</v>
          </cell>
          <cell r="Q142">
            <v>11352.6</v>
          </cell>
          <cell r="R142">
            <v>12828.44</v>
          </cell>
          <cell r="S142">
            <v>48.17</v>
          </cell>
          <cell r="T142">
            <v>0.27599856998927497</v>
          </cell>
          <cell r="U142">
            <v>11913.756799999999</v>
          </cell>
          <cell r="V142">
            <v>6.5080798023340519E-2</v>
          </cell>
          <cell r="W142">
            <v>13.018684999999998</v>
          </cell>
          <cell r="X142">
            <v>0.8</v>
          </cell>
          <cell r="Y142">
            <v>0</v>
          </cell>
          <cell r="Z142">
            <v>0</v>
          </cell>
          <cell r="AA142">
            <v>14891</v>
          </cell>
          <cell r="AB142">
            <v>14</v>
          </cell>
          <cell r="AC142">
            <v>15</v>
          </cell>
          <cell r="AD142">
            <v>16</v>
          </cell>
          <cell r="AE142">
            <v>16.07</v>
          </cell>
          <cell r="AF142">
            <v>0.18987647790914763</v>
          </cell>
          <cell r="AG142">
            <v>4.6913503422526544E-2</v>
          </cell>
          <cell r="AH142">
            <v>18</v>
          </cell>
          <cell r="AI142">
            <v>18</v>
          </cell>
          <cell r="AJ142">
            <v>0.27673972222222232</v>
          </cell>
          <cell r="AK142">
            <v>18</v>
          </cell>
          <cell r="AL142">
            <v>18</v>
          </cell>
          <cell r="AM142">
            <v>0.27673972222222232</v>
          </cell>
          <cell r="AN142">
            <v>20.28</v>
          </cell>
          <cell r="AO142">
            <v>22.56</v>
          </cell>
          <cell r="AP142">
            <v>24.84</v>
          </cell>
          <cell r="AQ142">
            <v>0</v>
          </cell>
          <cell r="AS142">
            <v>78</v>
          </cell>
        </row>
        <row r="143">
          <cell r="B143" t="str">
            <v>AC</v>
          </cell>
          <cell r="C143" t="str">
            <v>DOM</v>
          </cell>
          <cell r="D143" t="str">
            <v>DOM</v>
          </cell>
          <cell r="E143" t="str">
            <v>P3</v>
          </cell>
          <cell r="F143">
            <v>39990</v>
          </cell>
          <cell r="G143">
            <v>40001</v>
          </cell>
          <cell r="H143" t="str">
            <v>7640000849</v>
          </cell>
          <cell r="I143" t="str">
            <v>4KMGMIC409_N</v>
          </cell>
          <cell r="J143" t="str">
            <v>x</v>
          </cell>
          <cell r="K143" t="str">
            <v>512MB Memory Upgrade (M512-1)</v>
          </cell>
          <cell r="L143">
            <v>350</v>
          </cell>
          <cell r="M143">
            <v>2193</v>
          </cell>
          <cell r="N143">
            <v>140</v>
          </cell>
          <cell r="O143">
            <v>-0.17647058823529418</v>
          </cell>
          <cell r="P143">
            <v>1919.9714999999999</v>
          </cell>
          <cell r="Q143">
            <v>2324.58</v>
          </cell>
          <cell r="R143">
            <v>2626.78</v>
          </cell>
          <cell r="S143">
            <v>2572.5</v>
          </cell>
          <cell r="T143">
            <v>0.12194752186588922</v>
          </cell>
          <cell r="U143">
            <v>2258.79</v>
          </cell>
          <cell r="V143">
            <v>0</v>
          </cell>
          <cell r="W143">
            <v>119</v>
          </cell>
          <cell r="X143">
            <v>0.74634460641399414</v>
          </cell>
          <cell r="Y143">
            <v>0</v>
          </cell>
          <cell r="Z143">
            <v>0</v>
          </cell>
          <cell r="AA143">
            <v>2323</v>
          </cell>
          <cell r="AB143">
            <v>119</v>
          </cell>
          <cell r="AC143">
            <v>133</v>
          </cell>
          <cell r="AD143">
            <v>140</v>
          </cell>
          <cell r="AE143">
            <v>146.91</v>
          </cell>
          <cell r="AF143">
            <v>0.18998026002314342</v>
          </cell>
          <cell r="AG143">
            <v>4.703560002722753E-2</v>
          </cell>
          <cell r="AH143">
            <v>150</v>
          </cell>
          <cell r="AI143">
            <v>153</v>
          </cell>
          <cell r="AJ143">
            <v>0.22222222222222221</v>
          </cell>
          <cell r="AK143">
            <v>156</v>
          </cell>
          <cell r="AL143">
            <v>159</v>
          </cell>
          <cell r="AM143">
            <v>0.25157232704402516</v>
          </cell>
          <cell r="AN143">
            <v>181.23</v>
          </cell>
          <cell r="AO143">
            <v>203.46</v>
          </cell>
          <cell r="AP143">
            <v>225.69</v>
          </cell>
          <cell r="AQ143">
            <v>0</v>
          </cell>
          <cell r="AS143">
            <v>350</v>
          </cell>
        </row>
        <row r="144">
          <cell r="B144" t="str">
            <v>AC</v>
          </cell>
          <cell r="C144" t="str">
            <v>DOM</v>
          </cell>
          <cell r="D144" t="str">
            <v>DOM</v>
          </cell>
          <cell r="E144" t="str">
            <v>P3</v>
          </cell>
          <cell r="F144">
            <v>39990</v>
          </cell>
          <cell r="G144">
            <v>40001</v>
          </cell>
          <cell r="H144" t="str">
            <v>7640000872</v>
          </cell>
          <cell r="I144" t="str">
            <v>4KMIC409_N</v>
          </cell>
          <cell r="J144" t="str">
            <v>x</v>
          </cell>
          <cell r="K144" t="str">
            <v>HD-501 Hard Disk Drive - 40GB (Stamping, Store to HDD and Box Functionality)</v>
          </cell>
          <cell r="L144">
            <v>321</v>
          </cell>
          <cell r="M144">
            <v>2193</v>
          </cell>
          <cell r="N144">
            <v>191</v>
          </cell>
          <cell r="O144">
            <v>-0.17647058823529418</v>
          </cell>
          <cell r="P144">
            <v>1919.9714999999999</v>
          </cell>
          <cell r="Q144">
            <v>2324.58</v>
          </cell>
          <cell r="R144">
            <v>2626.78</v>
          </cell>
          <cell r="S144">
            <v>2572.5</v>
          </cell>
          <cell r="T144">
            <v>0.12194752186588922</v>
          </cell>
          <cell r="U144">
            <v>2258.79</v>
          </cell>
          <cell r="V144">
            <v>0</v>
          </cell>
          <cell r="W144">
            <v>162.35</v>
          </cell>
          <cell r="X144">
            <v>0.74634460641399414</v>
          </cell>
          <cell r="Y144">
            <v>0</v>
          </cell>
          <cell r="Z144">
            <v>0</v>
          </cell>
          <cell r="AA144">
            <v>2323</v>
          </cell>
          <cell r="AB144">
            <v>163</v>
          </cell>
          <cell r="AC144">
            <v>181</v>
          </cell>
          <cell r="AD144">
            <v>191</v>
          </cell>
          <cell r="AE144">
            <v>200.43</v>
          </cell>
          <cell r="AF144">
            <v>0.18999151823579311</v>
          </cell>
          <cell r="AG144">
            <v>4.7048844983285966E-2</v>
          </cell>
          <cell r="AH144">
            <v>205</v>
          </cell>
          <cell r="AI144">
            <v>209</v>
          </cell>
          <cell r="AJ144">
            <v>0.2232057416267943</v>
          </cell>
          <cell r="AK144">
            <v>213</v>
          </cell>
          <cell r="AL144">
            <v>217</v>
          </cell>
          <cell r="AM144">
            <v>0.25184331797235027</v>
          </cell>
          <cell r="AN144">
            <v>243</v>
          </cell>
          <cell r="AO144">
            <v>269</v>
          </cell>
          <cell r="AP144">
            <v>295</v>
          </cell>
          <cell r="AQ144">
            <v>0</v>
          </cell>
          <cell r="AS144">
            <v>321</v>
          </cell>
        </row>
        <row r="145">
          <cell r="B145" t="str">
            <v>AC</v>
          </cell>
          <cell r="C145" t="str">
            <v>DOM</v>
          </cell>
          <cell r="D145" t="str">
            <v>DOM</v>
          </cell>
          <cell r="E145" t="str">
            <v>P3</v>
          </cell>
          <cell r="F145">
            <v>39990</v>
          </cell>
          <cell r="G145">
            <v>40001</v>
          </cell>
          <cell r="H145" t="str">
            <v>7640000873</v>
          </cell>
          <cell r="I145" t="str">
            <v>6KMPB501PBU_N</v>
          </cell>
          <cell r="J145" t="str">
            <v>DNU</v>
          </cell>
          <cell r="K145" t="str">
            <v>Graphic Arts SPOT ON (system software 2.0 Only)</v>
          </cell>
          <cell r="L145">
            <v>825</v>
          </cell>
          <cell r="M145">
            <v>11730</v>
          </cell>
          <cell r="N145">
            <v>412</v>
          </cell>
          <cell r="O145">
            <v>0.2103382563125297</v>
          </cell>
          <cell r="P145">
            <v>15448.64</v>
          </cell>
          <cell r="Q145">
            <v>12433.8</v>
          </cell>
          <cell r="R145">
            <v>14050.19</v>
          </cell>
          <cell r="S145">
            <v>19310.8</v>
          </cell>
          <cell r="T145">
            <v>0.36827060505002374</v>
          </cell>
          <cell r="U145">
            <v>14954.283519999999</v>
          </cell>
          <cell r="V145">
            <v>0.18423373586005132</v>
          </cell>
          <cell r="W145">
            <v>350.2</v>
          </cell>
          <cell r="X145">
            <v>0.8</v>
          </cell>
          <cell r="Y145">
            <v>0</v>
          </cell>
          <cell r="Z145">
            <v>0</v>
          </cell>
          <cell r="AA145">
            <v>18691</v>
          </cell>
          <cell r="AB145">
            <v>351</v>
          </cell>
          <cell r="AC145">
            <v>390</v>
          </cell>
          <cell r="AD145">
            <v>412</v>
          </cell>
          <cell r="AE145">
            <v>432.35</v>
          </cell>
          <cell r="AF145">
            <v>0.19000809529316534</v>
          </cell>
          <cell r="AG145">
            <v>4.7068347403723884E-2</v>
          </cell>
          <cell r="AH145">
            <v>442</v>
          </cell>
          <cell r="AI145">
            <v>450</v>
          </cell>
          <cell r="AJ145">
            <v>0.2217777777777778</v>
          </cell>
          <cell r="AK145">
            <v>458.5</v>
          </cell>
          <cell r="AL145">
            <v>467</v>
          </cell>
          <cell r="AM145">
            <v>0.25010706638115632</v>
          </cell>
          <cell r="AN145">
            <v>532.65</v>
          </cell>
          <cell r="AO145">
            <v>598.29999999999995</v>
          </cell>
          <cell r="AP145">
            <v>663.95</v>
          </cell>
          <cell r="AQ145">
            <v>0</v>
          </cell>
          <cell r="AS145">
            <v>825</v>
          </cell>
        </row>
        <row r="146">
          <cell r="B146" t="str">
            <v>AC</v>
          </cell>
          <cell r="C146" t="str">
            <v>DOM</v>
          </cell>
          <cell r="D146" t="str">
            <v>DOM</v>
          </cell>
          <cell r="E146" t="str">
            <v>P3</v>
          </cell>
          <cell r="F146">
            <v>39990</v>
          </cell>
          <cell r="G146">
            <v>40001</v>
          </cell>
          <cell r="H146" t="str">
            <v>7640000874</v>
          </cell>
          <cell r="I146" t="str">
            <v>6KMPB501PBU_N</v>
          </cell>
          <cell r="J146">
            <v>0</v>
          </cell>
          <cell r="K146" t="str">
            <v>Graphic Arts HOT FOLDERS (system software 2.0 Only)</v>
          </cell>
          <cell r="L146">
            <v>825</v>
          </cell>
          <cell r="M146">
            <v>11730</v>
          </cell>
          <cell r="N146">
            <v>412</v>
          </cell>
          <cell r="O146">
            <v>0.2103382563125297</v>
          </cell>
          <cell r="P146">
            <v>15448.64</v>
          </cell>
          <cell r="Q146">
            <v>12433.8</v>
          </cell>
          <cell r="R146">
            <v>14050.19</v>
          </cell>
          <cell r="S146">
            <v>19310.8</v>
          </cell>
          <cell r="T146">
            <v>0.36827060505002374</v>
          </cell>
          <cell r="U146">
            <v>14954.283519999999</v>
          </cell>
          <cell r="V146">
            <v>0.18423373586005132</v>
          </cell>
          <cell r="W146">
            <v>350.2</v>
          </cell>
          <cell r="X146">
            <v>0.8</v>
          </cell>
          <cell r="Y146">
            <v>0</v>
          </cell>
          <cell r="Z146">
            <v>0</v>
          </cell>
          <cell r="AA146">
            <v>18691</v>
          </cell>
          <cell r="AB146">
            <v>351</v>
          </cell>
          <cell r="AC146">
            <v>390</v>
          </cell>
          <cell r="AD146">
            <v>412</v>
          </cell>
          <cell r="AE146">
            <v>432.35</v>
          </cell>
          <cell r="AF146">
            <v>0.19000809529316534</v>
          </cell>
          <cell r="AG146">
            <v>4.7068347403723884E-2</v>
          </cell>
          <cell r="AH146">
            <v>442</v>
          </cell>
          <cell r="AI146">
            <v>450</v>
          </cell>
          <cell r="AJ146">
            <v>0.2217777777777778</v>
          </cell>
          <cell r="AK146">
            <v>458.5</v>
          </cell>
          <cell r="AL146">
            <v>467</v>
          </cell>
          <cell r="AM146">
            <v>0.25010706638115632</v>
          </cell>
          <cell r="AN146">
            <v>532.65</v>
          </cell>
          <cell r="AO146">
            <v>598.29999999999995</v>
          </cell>
          <cell r="AP146">
            <v>663.95</v>
          </cell>
          <cell r="AQ146">
            <v>0</v>
          </cell>
          <cell r="AS146">
            <v>825</v>
          </cell>
        </row>
        <row r="147">
          <cell r="B147" t="str">
            <v>AC</v>
          </cell>
          <cell r="C147" t="str">
            <v>DOM</v>
          </cell>
          <cell r="D147" t="str">
            <v>DOM</v>
          </cell>
          <cell r="E147" t="str">
            <v>P3</v>
          </cell>
          <cell r="F147">
            <v>39990</v>
          </cell>
          <cell r="G147">
            <v>40001</v>
          </cell>
          <cell r="H147" t="str">
            <v>7640000875</v>
          </cell>
          <cell r="I147" t="str">
            <v>3KMHWT502TABLE</v>
          </cell>
          <cell r="J147">
            <v>0</v>
          </cell>
          <cell r="K147" t="str">
            <v>Graphic Arts ATUO TRAP (system software 2.0 Only)</v>
          </cell>
          <cell r="L147">
            <v>825</v>
          </cell>
          <cell r="M147">
            <v>31</v>
          </cell>
          <cell r="N147">
            <v>412</v>
          </cell>
          <cell r="O147">
            <v>0.23238095238095233</v>
          </cell>
          <cell r="P147">
            <v>42</v>
          </cell>
          <cell r="Q147">
            <v>32.86</v>
          </cell>
          <cell r="R147">
            <v>37.130000000000003</v>
          </cell>
          <cell r="S147">
            <v>52.5</v>
          </cell>
          <cell r="T147">
            <v>0.38590476190476186</v>
          </cell>
          <cell r="U147">
            <v>40.655999999999999</v>
          </cell>
          <cell r="V147">
            <v>0.20700511609602512</v>
          </cell>
          <cell r="W147">
            <v>350.2</v>
          </cell>
          <cell r="X147">
            <v>0.8</v>
          </cell>
          <cell r="Y147">
            <v>0</v>
          </cell>
          <cell r="Z147">
            <v>0</v>
          </cell>
          <cell r="AA147">
            <v>51</v>
          </cell>
          <cell r="AB147">
            <v>351</v>
          </cell>
          <cell r="AC147">
            <v>390</v>
          </cell>
          <cell r="AD147">
            <v>412</v>
          </cell>
          <cell r="AE147">
            <v>432.35</v>
          </cell>
          <cell r="AF147">
            <v>0.19000809529316534</v>
          </cell>
          <cell r="AG147">
            <v>4.7068347403723884E-2</v>
          </cell>
          <cell r="AH147">
            <v>442</v>
          </cell>
          <cell r="AI147">
            <v>450</v>
          </cell>
          <cell r="AJ147">
            <v>0.2217777777777778</v>
          </cell>
          <cell r="AK147">
            <v>458.5</v>
          </cell>
          <cell r="AL147">
            <v>467</v>
          </cell>
          <cell r="AM147">
            <v>0.25010706638115632</v>
          </cell>
          <cell r="AN147">
            <v>532.65</v>
          </cell>
          <cell r="AO147">
            <v>598.29999999999995</v>
          </cell>
          <cell r="AP147">
            <v>663.95</v>
          </cell>
          <cell r="AQ147">
            <v>0</v>
          </cell>
          <cell r="AS147">
            <v>825</v>
          </cell>
        </row>
        <row r="148">
          <cell r="B148" t="str">
            <v>AC</v>
          </cell>
          <cell r="C148" t="str">
            <v>DOM</v>
          </cell>
          <cell r="D148" t="str">
            <v>DOM</v>
          </cell>
          <cell r="E148" t="str">
            <v>P3</v>
          </cell>
          <cell r="F148">
            <v>39990</v>
          </cell>
          <cell r="G148">
            <v>40001</v>
          </cell>
          <cell r="H148" t="str">
            <v>7640000878</v>
          </cell>
          <cell r="I148" t="str">
            <v>6KMFS518_N</v>
          </cell>
          <cell r="J148">
            <v>0</v>
          </cell>
          <cell r="K148" t="str">
            <v>256MB Copier Memory (must be purchased with mainframe)</v>
          </cell>
          <cell r="L148">
            <v>300</v>
          </cell>
          <cell r="M148">
            <v>1581</v>
          </cell>
          <cell r="N148">
            <v>61</v>
          </cell>
          <cell r="O148">
            <v>-0.1764705882352941</v>
          </cell>
          <cell r="P148">
            <v>1397.604</v>
          </cell>
          <cell r="Q148">
            <v>1675.86</v>
          </cell>
          <cell r="R148">
            <v>1893.72</v>
          </cell>
          <cell r="S148">
            <v>2494.8000000000002</v>
          </cell>
          <cell r="T148">
            <v>0.34093314093314098</v>
          </cell>
          <cell r="U148">
            <v>1931.9731200000001</v>
          </cell>
          <cell r="V148">
            <v>0.14893225843639071</v>
          </cell>
          <cell r="W148">
            <v>51.85</v>
          </cell>
          <cell r="X148">
            <v>0.56020683020683015</v>
          </cell>
          <cell r="Y148">
            <v>0</v>
          </cell>
          <cell r="Z148">
            <v>0</v>
          </cell>
          <cell r="AA148">
            <v>1691</v>
          </cell>
          <cell r="AB148">
            <v>52</v>
          </cell>
          <cell r="AC148">
            <v>58</v>
          </cell>
          <cell r="AD148">
            <v>62</v>
          </cell>
          <cell r="AE148">
            <v>64.010000000000005</v>
          </cell>
          <cell r="AF148">
            <v>0.18997031713794724</v>
          </cell>
          <cell r="AG148">
            <v>4.7023902515232072E-2</v>
          </cell>
          <cell r="AH148">
            <v>67</v>
          </cell>
          <cell r="AI148">
            <v>68</v>
          </cell>
          <cell r="AJ148">
            <v>0.23749999999999999</v>
          </cell>
          <cell r="AK148">
            <v>69</v>
          </cell>
          <cell r="AL148">
            <v>70</v>
          </cell>
          <cell r="AM148">
            <v>0.25928571428571429</v>
          </cell>
          <cell r="AN148">
            <v>79.510000000000005</v>
          </cell>
          <cell r="AO148">
            <v>89.02</v>
          </cell>
          <cell r="AP148">
            <v>98.53</v>
          </cell>
          <cell r="AQ148">
            <v>0</v>
          </cell>
          <cell r="AS148">
            <v>300</v>
          </cell>
        </row>
        <row r="149">
          <cell r="B149" t="str">
            <v>AC</v>
          </cell>
          <cell r="C149" t="str">
            <v>DOM</v>
          </cell>
          <cell r="D149" t="str">
            <v>DOM</v>
          </cell>
          <cell r="E149" t="str">
            <v>P3</v>
          </cell>
          <cell r="F149">
            <v>39990</v>
          </cell>
          <cell r="G149">
            <v>40001</v>
          </cell>
          <cell r="H149" t="str">
            <v>7640000891</v>
          </cell>
          <cell r="I149" t="str">
            <v>6KMFS517STPF_N</v>
          </cell>
          <cell r="J149" t="str">
            <v>x</v>
          </cell>
          <cell r="K149" t="str">
            <v>GA Lite - AUTO TRAP - for the IP-921 only</v>
          </cell>
          <cell r="L149">
            <v>825</v>
          </cell>
          <cell r="M149">
            <v>918</v>
          </cell>
          <cell r="N149">
            <v>412</v>
          </cell>
          <cell r="O149">
            <v>-0.17647058823529407</v>
          </cell>
          <cell r="P149">
            <v>811.51200000000006</v>
          </cell>
          <cell r="Q149">
            <v>973.08</v>
          </cell>
          <cell r="R149">
            <v>1099.58</v>
          </cell>
          <cell r="S149">
            <v>1333.5</v>
          </cell>
          <cell r="T149">
            <v>0.28404949381327332</v>
          </cell>
          <cell r="U149">
            <v>1032.6623999999999</v>
          </cell>
          <cell r="V149">
            <v>7.5477135605983056E-2</v>
          </cell>
          <cell r="W149">
            <v>350.2</v>
          </cell>
          <cell r="X149">
            <v>0.60855793025871774</v>
          </cell>
          <cell r="Y149">
            <v>0</v>
          </cell>
          <cell r="Z149">
            <v>0</v>
          </cell>
          <cell r="AA149">
            <v>982</v>
          </cell>
          <cell r="AB149">
            <v>351</v>
          </cell>
          <cell r="AC149">
            <v>390</v>
          </cell>
          <cell r="AD149">
            <v>412</v>
          </cell>
          <cell r="AE149">
            <v>432.35</v>
          </cell>
          <cell r="AF149">
            <v>0.19000809529316534</v>
          </cell>
          <cell r="AG149">
            <v>4.7068347403723884E-2</v>
          </cell>
          <cell r="AH149">
            <v>442</v>
          </cell>
          <cell r="AI149">
            <v>450</v>
          </cell>
          <cell r="AJ149">
            <v>0.2217777777777778</v>
          </cell>
          <cell r="AK149">
            <v>458.5</v>
          </cell>
          <cell r="AL149">
            <v>467</v>
          </cell>
          <cell r="AM149">
            <v>0.25010706638115632</v>
          </cell>
          <cell r="AN149">
            <v>532.65</v>
          </cell>
          <cell r="AO149">
            <v>598.29999999999995</v>
          </cell>
          <cell r="AP149">
            <v>663.95</v>
          </cell>
          <cell r="AQ149">
            <v>0</v>
          </cell>
          <cell r="AS149">
            <v>825</v>
          </cell>
        </row>
        <row r="150">
          <cell r="B150" t="str">
            <v>AC</v>
          </cell>
          <cell r="C150" t="str">
            <v>DOM</v>
          </cell>
          <cell r="D150" t="str">
            <v>DOM</v>
          </cell>
          <cell r="E150" t="str">
            <v>P3</v>
          </cell>
          <cell r="F150">
            <v>39990</v>
          </cell>
          <cell r="G150">
            <v>40001</v>
          </cell>
          <cell r="H150" t="str">
            <v>7640000892</v>
          </cell>
          <cell r="I150" t="str">
            <v>6KMZU603ZFU_N</v>
          </cell>
          <cell r="J150">
            <v>0</v>
          </cell>
          <cell r="K150" t="str">
            <v>GA Lite - SPOT-ON - for the IP-921 only</v>
          </cell>
          <cell r="L150">
            <v>825</v>
          </cell>
          <cell r="M150">
            <v>1989</v>
          </cell>
          <cell r="N150">
            <v>412</v>
          </cell>
          <cell r="O150">
            <v>-0.17647058823529418</v>
          </cell>
          <cell r="P150">
            <v>1758.2759999999998</v>
          </cell>
          <cell r="Q150">
            <v>2108.34</v>
          </cell>
          <cell r="R150">
            <v>2382.42</v>
          </cell>
          <cell r="S150">
            <v>3360</v>
          </cell>
          <cell r="T150">
            <v>0.3843571428571429</v>
          </cell>
          <cell r="U150">
            <v>2601.9839999999999</v>
          </cell>
          <cell r="V150">
            <v>0.20500664108618655</v>
          </cell>
          <cell r="W150">
            <v>350.2</v>
          </cell>
          <cell r="X150">
            <v>0.52329642857142855</v>
          </cell>
          <cell r="Y150">
            <v>0</v>
          </cell>
          <cell r="Z150">
            <v>0</v>
          </cell>
          <cell r="AA150">
            <v>2127</v>
          </cell>
          <cell r="AB150">
            <v>351</v>
          </cell>
          <cell r="AC150">
            <v>390</v>
          </cell>
          <cell r="AD150">
            <v>412</v>
          </cell>
          <cell r="AE150">
            <v>432.35</v>
          </cell>
          <cell r="AF150">
            <v>0.19000809529316534</v>
          </cell>
          <cell r="AG150">
            <v>4.7068347403723884E-2</v>
          </cell>
          <cell r="AH150">
            <v>442</v>
          </cell>
          <cell r="AI150">
            <v>450</v>
          </cell>
          <cell r="AJ150">
            <v>0.2217777777777778</v>
          </cell>
          <cell r="AK150">
            <v>458.5</v>
          </cell>
          <cell r="AL150">
            <v>467</v>
          </cell>
          <cell r="AM150">
            <v>0.25010706638115632</v>
          </cell>
          <cell r="AN150">
            <v>532.65</v>
          </cell>
          <cell r="AO150">
            <v>598.29999999999995</v>
          </cell>
          <cell r="AP150">
            <v>663.95</v>
          </cell>
          <cell r="AQ150">
            <v>0</v>
          </cell>
          <cell r="AS150">
            <v>825</v>
          </cell>
        </row>
        <row r="151">
          <cell r="B151" t="str">
            <v>AC</v>
          </cell>
          <cell r="C151" t="str">
            <v>DOM</v>
          </cell>
          <cell r="D151" t="str">
            <v>DOM</v>
          </cell>
          <cell r="E151" t="str">
            <v>P3</v>
          </cell>
          <cell r="F151">
            <v>39990</v>
          </cell>
          <cell r="G151">
            <v>40001</v>
          </cell>
          <cell r="H151" t="str">
            <v>7640000893</v>
          </cell>
          <cell r="I151" t="str">
            <v>6KMFS608SF_N</v>
          </cell>
          <cell r="J151" t="str">
            <v>x</v>
          </cell>
          <cell r="K151" t="str">
            <v>GA Lite - HOT FOLDERS - for the IP-921 only</v>
          </cell>
          <cell r="L151">
            <v>825</v>
          </cell>
          <cell r="M151">
            <v>1530</v>
          </cell>
          <cell r="N151">
            <v>412</v>
          </cell>
          <cell r="O151">
            <v>-0.17647058823529416</v>
          </cell>
          <cell r="P151">
            <v>1352.52</v>
          </cell>
          <cell r="Q151">
            <v>1621.8</v>
          </cell>
          <cell r="R151">
            <v>1832.63</v>
          </cell>
          <cell r="S151">
            <v>2257.5</v>
          </cell>
          <cell r="T151">
            <v>0.29514950166112952</v>
          </cell>
          <cell r="U151">
            <v>1748.2079999999999</v>
          </cell>
          <cell r="V151">
            <v>8.9810823426045308E-2</v>
          </cell>
          <cell r="W151">
            <v>350.2</v>
          </cell>
          <cell r="X151">
            <v>0.59912292358803987</v>
          </cell>
          <cell r="Y151">
            <v>0</v>
          </cell>
          <cell r="Z151">
            <v>0</v>
          </cell>
          <cell r="AA151">
            <v>1636</v>
          </cell>
          <cell r="AB151">
            <v>351</v>
          </cell>
          <cell r="AC151">
            <v>390</v>
          </cell>
          <cell r="AD151">
            <v>412</v>
          </cell>
          <cell r="AE151">
            <v>432.35</v>
          </cell>
          <cell r="AF151">
            <v>0.19000809529316534</v>
          </cell>
          <cell r="AG151">
            <v>4.7068347403723884E-2</v>
          </cell>
          <cell r="AH151">
            <v>442</v>
          </cell>
          <cell r="AI151">
            <v>450</v>
          </cell>
          <cell r="AJ151">
            <v>0.2217777777777778</v>
          </cell>
          <cell r="AK151">
            <v>458.5</v>
          </cell>
          <cell r="AL151">
            <v>467</v>
          </cell>
          <cell r="AM151">
            <v>0.25010706638115632</v>
          </cell>
          <cell r="AN151">
            <v>532.65</v>
          </cell>
          <cell r="AO151">
            <v>598.29999999999995</v>
          </cell>
          <cell r="AP151">
            <v>663.95</v>
          </cell>
          <cell r="AQ151">
            <v>0</v>
          </cell>
          <cell r="AS151">
            <v>825</v>
          </cell>
        </row>
        <row r="152">
          <cell r="B152" t="str">
            <v>AC</v>
          </cell>
          <cell r="C152" t="str">
            <v>DOM</v>
          </cell>
          <cell r="D152" t="str">
            <v>DOM</v>
          </cell>
          <cell r="E152" t="str">
            <v>P3</v>
          </cell>
          <cell r="F152">
            <v>39990</v>
          </cell>
          <cell r="G152">
            <v>40001</v>
          </cell>
          <cell r="H152" t="str">
            <v>7640001008</v>
          </cell>
          <cell r="I152" t="str">
            <v>3KMHPI503PI</v>
          </cell>
          <cell r="J152">
            <v>0</v>
          </cell>
          <cell r="K152" t="str">
            <v>OneRIP 2 KM72 System for the Di5510/7210, 7255/7272</v>
          </cell>
          <cell r="L152">
            <v>4798</v>
          </cell>
          <cell r="M152">
            <v>362</v>
          </cell>
          <cell r="N152">
            <v>2551</v>
          </cell>
          <cell r="O152">
            <v>-0.17647058823529424</v>
          </cell>
          <cell r="P152">
            <v>320.00799999999998</v>
          </cell>
          <cell r="Q152">
            <v>383.72</v>
          </cell>
          <cell r="R152">
            <v>433.6</v>
          </cell>
          <cell r="S152">
            <v>568.6</v>
          </cell>
          <cell r="T152">
            <v>0.33788251846640871</v>
          </cell>
          <cell r="U152">
            <v>440.32384000000002</v>
          </cell>
          <cell r="V152">
            <v>0.14499292157335836</v>
          </cell>
          <cell r="W152">
            <v>2168.35</v>
          </cell>
          <cell r="X152">
            <v>0.56279985930355259</v>
          </cell>
          <cell r="Y152">
            <v>0</v>
          </cell>
          <cell r="Z152">
            <v>0</v>
          </cell>
          <cell r="AA152">
            <v>387</v>
          </cell>
          <cell r="AB152">
            <v>2169</v>
          </cell>
          <cell r="AC152">
            <v>2410</v>
          </cell>
          <cell r="AD152">
            <v>2544</v>
          </cell>
          <cell r="AE152">
            <v>2676.98</v>
          </cell>
          <cell r="AF152">
            <v>0.19000141951004493</v>
          </cell>
          <cell r="AG152">
            <v>4.7060493541229299E-2</v>
          </cell>
          <cell r="AH152">
            <v>2731</v>
          </cell>
          <cell r="AI152">
            <v>2785</v>
          </cell>
          <cell r="AJ152">
            <v>0.22141831238779178</v>
          </cell>
          <cell r="AK152">
            <v>2838.5</v>
          </cell>
          <cell r="AL152">
            <v>2892</v>
          </cell>
          <cell r="AM152">
            <v>0.25022475795297378</v>
          </cell>
          <cell r="AN152">
            <v>3298.35</v>
          </cell>
          <cell r="AO152">
            <v>3704.7</v>
          </cell>
          <cell r="AP152">
            <v>4111.05</v>
          </cell>
          <cell r="AQ152">
            <v>0</v>
          </cell>
          <cell r="AS152">
            <v>4798</v>
          </cell>
        </row>
        <row r="153">
          <cell r="B153" t="str">
            <v>AC</v>
          </cell>
          <cell r="C153" t="str">
            <v>DOM</v>
          </cell>
          <cell r="D153" t="str">
            <v>DOM</v>
          </cell>
          <cell r="E153" t="str">
            <v>P3</v>
          </cell>
          <cell r="F153">
            <v>39990</v>
          </cell>
          <cell r="G153">
            <v>40001</v>
          </cell>
          <cell r="H153" t="str">
            <v>7640001026</v>
          </cell>
          <cell r="I153" t="str">
            <v>6KMJS505JST_N</v>
          </cell>
          <cell r="J153" t="str">
            <v>DNU</v>
          </cell>
          <cell r="K153" t="str">
            <v>onCore 2 km72 System for the Di5510/7210, 7255/7272</v>
          </cell>
          <cell r="L153">
            <v>2524</v>
          </cell>
          <cell r="M153">
            <v>153</v>
          </cell>
          <cell r="N153">
            <v>1236</v>
          </cell>
          <cell r="O153">
            <v>0.19310344827586201</v>
          </cell>
          <cell r="P153">
            <v>197.2</v>
          </cell>
          <cell r="Q153">
            <v>162.18</v>
          </cell>
          <cell r="R153">
            <v>183.26</v>
          </cell>
          <cell r="S153">
            <v>246.5</v>
          </cell>
          <cell r="T153">
            <v>0.35448275862068962</v>
          </cell>
          <cell r="U153">
            <v>190.8896</v>
          </cell>
          <cell r="V153">
            <v>0.16642918210316326</v>
          </cell>
          <cell r="W153">
            <v>1050.5999999999999</v>
          </cell>
          <cell r="X153">
            <v>0.79999999999999993</v>
          </cell>
          <cell r="Y153">
            <v>0</v>
          </cell>
          <cell r="Z153">
            <v>0</v>
          </cell>
          <cell r="AA153">
            <v>239</v>
          </cell>
          <cell r="AB153">
            <v>1051</v>
          </cell>
          <cell r="AC153">
            <v>1168</v>
          </cell>
          <cell r="AD153">
            <v>1233</v>
          </cell>
          <cell r="AE153">
            <v>1297.04</v>
          </cell>
          <cell r="AF153">
            <v>0.19000185036698949</v>
          </cell>
          <cell r="AG153">
            <v>4.7061000431752271E-2</v>
          </cell>
          <cell r="AH153">
            <v>1324</v>
          </cell>
          <cell r="AI153">
            <v>1350</v>
          </cell>
          <cell r="AJ153">
            <v>0.22177777777777785</v>
          </cell>
          <cell r="AK153">
            <v>1375.5</v>
          </cell>
          <cell r="AL153">
            <v>1401</v>
          </cell>
          <cell r="AM153">
            <v>0.25010706638115637</v>
          </cell>
          <cell r="AN153">
            <v>1597.94</v>
          </cell>
          <cell r="AO153">
            <v>1794.88</v>
          </cell>
          <cell r="AP153">
            <v>1991.82</v>
          </cell>
          <cell r="AQ153">
            <v>0</v>
          </cell>
          <cell r="AS153">
            <v>2524</v>
          </cell>
        </row>
        <row r="154">
          <cell r="B154" t="str">
            <v>AC</v>
          </cell>
          <cell r="C154" t="str">
            <v>DOM</v>
          </cell>
          <cell r="D154" t="str">
            <v>DOM</v>
          </cell>
          <cell r="E154" t="str">
            <v>P3</v>
          </cell>
          <cell r="F154">
            <v>39990</v>
          </cell>
          <cell r="G154">
            <v>40001</v>
          </cell>
          <cell r="H154" t="str">
            <v>7640001040</v>
          </cell>
          <cell r="I154" t="str">
            <v>3KMKSC501HDDEK</v>
          </cell>
          <cell r="J154">
            <v>0</v>
          </cell>
          <cell r="K154" t="str">
            <v>64MB Printer Memory Upgrade</v>
          </cell>
          <cell r="L154">
            <v>67</v>
          </cell>
          <cell r="M154">
            <v>143</v>
          </cell>
          <cell r="N154">
            <v>31</v>
          </cell>
          <cell r="O154">
            <v>-0.17647058823529418</v>
          </cell>
          <cell r="P154">
            <v>126.41199999999999</v>
          </cell>
          <cell r="Q154">
            <v>151.58000000000001</v>
          </cell>
          <cell r="R154">
            <v>171.29</v>
          </cell>
          <cell r="S154">
            <v>274.39999999999998</v>
          </cell>
          <cell r="T154">
            <v>0.45801749271137021</v>
          </cell>
          <cell r="U154">
            <v>212.49535999999998</v>
          </cell>
          <cell r="V154">
            <v>0.30012589451364957</v>
          </cell>
          <cell r="W154">
            <v>26.349999999999998</v>
          </cell>
          <cell r="X154">
            <v>0.46068513119533527</v>
          </cell>
          <cell r="Y154">
            <v>0</v>
          </cell>
          <cell r="Z154">
            <v>0</v>
          </cell>
          <cell r="AA154">
            <v>153</v>
          </cell>
          <cell r="AB154">
            <v>27</v>
          </cell>
          <cell r="AC154">
            <v>30</v>
          </cell>
          <cell r="AD154">
            <v>32</v>
          </cell>
          <cell r="AE154">
            <v>32.53</v>
          </cell>
          <cell r="AF154">
            <v>0.18997848140178306</v>
          </cell>
          <cell r="AG154">
            <v>4.7033507531509408E-2</v>
          </cell>
          <cell r="AH154">
            <v>34</v>
          </cell>
          <cell r="AI154">
            <v>35</v>
          </cell>
          <cell r="AJ154">
            <v>0.24714285714285719</v>
          </cell>
          <cell r="AK154">
            <v>35.5</v>
          </cell>
          <cell r="AL154">
            <v>36</v>
          </cell>
          <cell r="AM154">
            <v>0.2680555555555556</v>
          </cell>
          <cell r="AN154">
            <v>40.72</v>
          </cell>
          <cell r="AO154">
            <v>45.44</v>
          </cell>
          <cell r="AP154">
            <v>50.16</v>
          </cell>
          <cell r="AQ154">
            <v>0</v>
          </cell>
          <cell r="AS154">
            <v>67</v>
          </cell>
        </row>
        <row r="155">
          <cell r="B155" t="str">
            <v>AC</v>
          </cell>
          <cell r="C155" t="str">
            <v>DOM</v>
          </cell>
          <cell r="D155" t="str">
            <v>DOM</v>
          </cell>
          <cell r="E155" t="str">
            <v>P3</v>
          </cell>
          <cell r="F155">
            <v>39990</v>
          </cell>
          <cell r="G155">
            <v>40001</v>
          </cell>
          <cell r="H155" t="str">
            <v>7640001041</v>
          </cell>
          <cell r="I155" t="str">
            <v>3KMKPP701PFE</v>
          </cell>
          <cell r="J155" t="str">
            <v>x</v>
          </cell>
          <cell r="K155" t="str">
            <v>128MB Printer Memory Upgrade</v>
          </cell>
          <cell r="L155">
            <v>97</v>
          </cell>
          <cell r="M155">
            <v>459</v>
          </cell>
          <cell r="N155">
            <v>46</v>
          </cell>
          <cell r="O155">
            <v>-0.17647058823529407</v>
          </cell>
          <cell r="P155">
            <v>405.75600000000003</v>
          </cell>
          <cell r="Q155">
            <v>486.54</v>
          </cell>
          <cell r="R155">
            <v>549.79</v>
          </cell>
          <cell r="S155">
            <v>688.3</v>
          </cell>
          <cell r="T155">
            <v>0.30646520412610773</v>
          </cell>
          <cell r="U155">
            <v>533.01951999999994</v>
          </cell>
          <cell r="V155">
            <v>0.1044230425182176</v>
          </cell>
          <cell r="W155">
            <v>39.1</v>
          </cell>
          <cell r="X155">
            <v>0.58950457649280841</v>
          </cell>
          <cell r="Y155">
            <v>0</v>
          </cell>
          <cell r="Z155">
            <v>0</v>
          </cell>
          <cell r="AA155">
            <v>491</v>
          </cell>
          <cell r="AB155">
            <v>40</v>
          </cell>
          <cell r="AC155">
            <v>44</v>
          </cell>
          <cell r="AD155">
            <v>47</v>
          </cell>
          <cell r="AE155">
            <v>48.27</v>
          </cell>
          <cell r="AF155">
            <v>0.18997306815827639</v>
          </cell>
          <cell r="AG155">
            <v>4.7027139009736957E-2</v>
          </cell>
          <cell r="AH155">
            <v>50</v>
          </cell>
          <cell r="AI155">
            <v>51</v>
          </cell>
          <cell r="AJ155">
            <v>0.23333333333333331</v>
          </cell>
          <cell r="AK155">
            <v>52</v>
          </cell>
          <cell r="AL155">
            <v>53</v>
          </cell>
          <cell r="AM155">
            <v>0.26226415094339622</v>
          </cell>
          <cell r="AN155">
            <v>60.11</v>
          </cell>
          <cell r="AO155">
            <v>67.22</v>
          </cell>
          <cell r="AP155">
            <v>74.33</v>
          </cell>
          <cell r="AQ155">
            <v>0</v>
          </cell>
          <cell r="AS155">
            <v>97</v>
          </cell>
        </row>
        <row r="156">
          <cell r="B156" t="str">
            <v>AC</v>
          </cell>
          <cell r="C156" t="str">
            <v>DOM</v>
          </cell>
          <cell r="D156" t="str">
            <v>DOM</v>
          </cell>
          <cell r="E156" t="str">
            <v>P3</v>
          </cell>
          <cell r="F156">
            <v>39990</v>
          </cell>
          <cell r="G156">
            <v>40001</v>
          </cell>
          <cell r="H156" t="str">
            <v>7640001277</v>
          </cell>
          <cell r="I156" t="str">
            <v>3KMHEK602USBHB</v>
          </cell>
          <cell r="J156">
            <v>0</v>
          </cell>
          <cell r="K156" t="str">
            <v>EFI Impose Version 2.2.5 (EFI GS)</v>
          </cell>
          <cell r="L156">
            <v>2500</v>
          </cell>
          <cell r="M156">
            <v>1250</v>
          </cell>
          <cell r="N156">
            <v>1287.5</v>
          </cell>
          <cell r="O156">
            <v>-0.17647058823529413</v>
          </cell>
          <cell r="P156">
            <v>53.923999999999999</v>
          </cell>
          <cell r="Q156">
            <v>64.66</v>
          </cell>
          <cell r="R156">
            <v>73.069999999999993</v>
          </cell>
          <cell r="S156">
            <v>1625</v>
          </cell>
          <cell r="T156">
            <v>0.39580952380952378</v>
          </cell>
          <cell r="U156">
            <v>81.311999999999998</v>
          </cell>
          <cell r="V156">
            <v>0.21979535615899243</v>
          </cell>
          <cell r="W156">
            <v>1094.375</v>
          </cell>
          <cell r="X156">
            <v>0.51356190476190478</v>
          </cell>
          <cell r="Y156">
            <v>0</v>
          </cell>
          <cell r="Z156">
            <v>0</v>
          </cell>
          <cell r="AA156">
            <v>65</v>
          </cell>
          <cell r="AB156">
            <v>1095</v>
          </cell>
          <cell r="AC156">
            <v>1216</v>
          </cell>
          <cell r="AD156">
            <v>1284</v>
          </cell>
          <cell r="AE156">
            <v>1351.08</v>
          </cell>
          <cell r="AF156">
            <v>0.18999985197027558</v>
          </cell>
          <cell r="AG156">
            <v>4.7058649376794812E-2</v>
          </cell>
          <cell r="AH156">
            <v>1379</v>
          </cell>
          <cell r="AI156">
            <v>1406</v>
          </cell>
          <cell r="AJ156">
            <v>0.2216394025604552</v>
          </cell>
          <cell r="AK156">
            <v>1433</v>
          </cell>
          <cell r="AL156">
            <v>1460</v>
          </cell>
          <cell r="AM156">
            <v>0.25042808219178081</v>
          </cell>
          <cell r="AN156">
            <v>1664.99</v>
          </cell>
          <cell r="AO156">
            <v>1869.98</v>
          </cell>
          <cell r="AP156">
            <v>2074.9699999999998</v>
          </cell>
          <cell r="AQ156">
            <v>0</v>
          </cell>
          <cell r="AS156">
            <v>2500</v>
          </cell>
        </row>
        <row r="157">
          <cell r="B157" t="str">
            <v>AC</v>
          </cell>
          <cell r="C157" t="str">
            <v>DOM</v>
          </cell>
          <cell r="D157" t="str">
            <v>DOM</v>
          </cell>
          <cell r="E157" t="str">
            <v>P3</v>
          </cell>
          <cell r="F157">
            <v>39990</v>
          </cell>
          <cell r="G157">
            <v>40001</v>
          </cell>
          <cell r="H157" t="str">
            <v>7640001278</v>
          </cell>
          <cell r="I157" t="str">
            <v>3KMHVI504IFKIT</v>
          </cell>
          <cell r="J157" t="str">
            <v>x</v>
          </cell>
          <cell r="K157" t="str">
            <v>EFI Secure Erase</v>
          </cell>
          <cell r="L157">
            <v>825</v>
          </cell>
          <cell r="M157">
            <v>129</v>
          </cell>
          <cell r="N157">
            <v>412</v>
          </cell>
          <cell r="O157">
            <v>-0.17647058823529421</v>
          </cell>
          <cell r="P157">
            <v>114.03599999999999</v>
          </cell>
          <cell r="Q157">
            <v>136.74</v>
          </cell>
          <cell r="R157">
            <v>154.52000000000001</v>
          </cell>
          <cell r="S157">
            <v>173.3</v>
          </cell>
          <cell r="T157">
            <v>0.22585112521638784</v>
          </cell>
          <cell r="U157">
            <v>149.03800000000001</v>
          </cell>
          <cell r="V157">
            <v>9.9826889786497494E-2</v>
          </cell>
          <cell r="W157">
            <v>350.2</v>
          </cell>
          <cell r="X157">
            <v>0.65802654356607027</v>
          </cell>
          <cell r="Y157">
            <v>0</v>
          </cell>
          <cell r="Z157">
            <v>0</v>
          </cell>
          <cell r="AA157">
            <v>138</v>
          </cell>
          <cell r="AB157">
            <v>351</v>
          </cell>
          <cell r="AC157">
            <v>390</v>
          </cell>
          <cell r="AD157">
            <v>412</v>
          </cell>
          <cell r="AE157">
            <v>432.35</v>
          </cell>
          <cell r="AF157">
            <v>0.19000809529316534</v>
          </cell>
          <cell r="AG157">
            <v>4.7068347403723884E-2</v>
          </cell>
          <cell r="AH157">
            <v>442</v>
          </cell>
          <cell r="AI157">
            <v>450</v>
          </cell>
          <cell r="AJ157">
            <v>0.2217777777777778</v>
          </cell>
          <cell r="AK157">
            <v>458.5</v>
          </cell>
          <cell r="AL157">
            <v>467</v>
          </cell>
          <cell r="AM157">
            <v>0.25010706638115632</v>
          </cell>
          <cell r="AN157">
            <v>532.65</v>
          </cell>
          <cell r="AO157">
            <v>598.29999999999995</v>
          </cell>
          <cell r="AP157">
            <v>663.95</v>
          </cell>
          <cell r="AQ157">
            <v>0</v>
          </cell>
          <cell r="AS157">
            <v>825</v>
          </cell>
        </row>
        <row r="158">
          <cell r="B158" t="str">
            <v>AC</v>
          </cell>
          <cell r="C158" t="str">
            <v>DOM</v>
          </cell>
          <cell r="D158" t="str">
            <v>DOM</v>
          </cell>
          <cell r="E158" t="str">
            <v>P3</v>
          </cell>
          <cell r="F158">
            <v>39990</v>
          </cell>
          <cell r="G158">
            <v>40001</v>
          </cell>
          <cell r="H158" t="str">
            <v>7640001279</v>
          </cell>
          <cell r="I158" t="str">
            <v>3KMCOT503OPT</v>
          </cell>
          <cell r="J158">
            <v>0</v>
          </cell>
          <cell r="K158" t="str">
            <v>Hot Folders</v>
          </cell>
          <cell r="L158">
            <v>825</v>
          </cell>
          <cell r="M158">
            <v>31</v>
          </cell>
          <cell r="N158">
            <v>412</v>
          </cell>
          <cell r="O158">
            <v>0.30276816608996537</v>
          </cell>
          <cell r="P158">
            <v>46.24</v>
          </cell>
          <cell r="Q158">
            <v>32.86</v>
          </cell>
          <cell r="R158">
            <v>37.130000000000003</v>
          </cell>
          <cell r="S158">
            <v>57.8</v>
          </cell>
          <cell r="T158">
            <v>0.44221453287197227</v>
          </cell>
          <cell r="U158">
            <v>44.760319999999993</v>
          </cell>
          <cell r="V158">
            <v>0.27971917984500544</v>
          </cell>
          <cell r="W158">
            <v>350.2</v>
          </cell>
          <cell r="X158">
            <v>0.8</v>
          </cell>
          <cell r="Y158">
            <v>0</v>
          </cell>
          <cell r="Z158">
            <v>0</v>
          </cell>
          <cell r="AA158">
            <v>56</v>
          </cell>
          <cell r="AB158">
            <v>351</v>
          </cell>
          <cell r="AC158">
            <v>390</v>
          </cell>
          <cell r="AD158">
            <v>412</v>
          </cell>
          <cell r="AE158">
            <v>432.35</v>
          </cell>
          <cell r="AF158">
            <v>0.19000809529316534</v>
          </cell>
          <cell r="AG158">
            <v>4.7068347403723884E-2</v>
          </cell>
          <cell r="AH158">
            <v>442</v>
          </cell>
          <cell r="AI158">
            <v>450</v>
          </cell>
          <cell r="AJ158">
            <v>0.2217777777777778</v>
          </cell>
          <cell r="AK158">
            <v>458.5</v>
          </cell>
          <cell r="AL158">
            <v>467</v>
          </cell>
          <cell r="AM158">
            <v>0.25010706638115632</v>
          </cell>
          <cell r="AN158">
            <v>532.65</v>
          </cell>
          <cell r="AO158">
            <v>598.29999999999995</v>
          </cell>
          <cell r="AP158">
            <v>663.95</v>
          </cell>
          <cell r="AQ158">
            <v>0</v>
          </cell>
          <cell r="AS158">
            <v>825</v>
          </cell>
        </row>
        <row r="159">
          <cell r="B159" t="str">
            <v>AC</v>
          </cell>
          <cell r="C159" t="str">
            <v>DOM</v>
          </cell>
          <cell r="D159" t="str">
            <v>DOM</v>
          </cell>
          <cell r="E159" t="str">
            <v>P3</v>
          </cell>
          <cell r="F159">
            <v>39990</v>
          </cell>
          <cell r="G159">
            <v>40001</v>
          </cell>
          <cell r="H159" t="str">
            <v>7640001280</v>
          </cell>
          <cell r="I159" t="str">
            <v>6KMPC405LCC_N</v>
          </cell>
          <cell r="J159">
            <v>0</v>
          </cell>
          <cell r="K159" t="str">
            <v>AuoTrap</v>
          </cell>
          <cell r="L159">
            <v>825</v>
          </cell>
          <cell r="M159">
            <v>408</v>
          </cell>
          <cell r="N159">
            <v>412</v>
          </cell>
          <cell r="O159">
            <v>-0.17647058823529421</v>
          </cell>
          <cell r="P159">
            <v>360.67199999999997</v>
          </cell>
          <cell r="Q159">
            <v>432.48</v>
          </cell>
          <cell r="R159">
            <v>488.7</v>
          </cell>
          <cell r="S159">
            <v>792.8</v>
          </cell>
          <cell r="T159">
            <v>0.46478304742684157</v>
          </cell>
          <cell r="U159">
            <v>613.94431999999995</v>
          </cell>
          <cell r="V159">
            <v>0.30886240628466105</v>
          </cell>
          <cell r="W159">
            <v>350.2</v>
          </cell>
          <cell r="X159">
            <v>0.45493440968718463</v>
          </cell>
          <cell r="Y159">
            <v>0</v>
          </cell>
          <cell r="Z159">
            <v>0</v>
          </cell>
          <cell r="AA159">
            <v>436</v>
          </cell>
          <cell r="AB159">
            <v>351</v>
          </cell>
          <cell r="AC159">
            <v>390</v>
          </cell>
          <cell r="AD159">
            <v>412</v>
          </cell>
          <cell r="AE159">
            <v>432.35</v>
          </cell>
          <cell r="AF159">
            <v>0.19000809529316534</v>
          </cell>
          <cell r="AG159">
            <v>4.7068347403723884E-2</v>
          </cell>
          <cell r="AH159">
            <v>442</v>
          </cell>
          <cell r="AI159">
            <v>450</v>
          </cell>
          <cell r="AJ159">
            <v>0.2217777777777778</v>
          </cell>
          <cell r="AK159">
            <v>458.5</v>
          </cell>
          <cell r="AL159">
            <v>467</v>
          </cell>
          <cell r="AM159">
            <v>0.25010706638115632</v>
          </cell>
          <cell r="AN159">
            <v>532.65</v>
          </cell>
          <cell r="AO159">
            <v>598.29999999999995</v>
          </cell>
          <cell r="AP159">
            <v>663.95</v>
          </cell>
          <cell r="AQ159">
            <v>0</v>
          </cell>
          <cell r="AS159">
            <v>825</v>
          </cell>
        </row>
        <row r="160">
          <cell r="B160" t="str">
            <v>AC</v>
          </cell>
          <cell r="C160" t="str">
            <v>DOM</v>
          </cell>
          <cell r="D160" t="str">
            <v>DOM</v>
          </cell>
          <cell r="E160" t="str">
            <v>P3</v>
          </cell>
          <cell r="F160">
            <v>39990</v>
          </cell>
          <cell r="G160">
            <v>40001</v>
          </cell>
          <cell r="H160" t="str">
            <v>7640001344</v>
          </cell>
          <cell r="I160" t="str">
            <v>6KMPC104PC_N</v>
          </cell>
          <cell r="J160">
            <v>0</v>
          </cell>
          <cell r="K160" t="str">
            <v>Graphic arts premium edition upgrade (GA1 to GA2)</v>
          </cell>
          <cell r="L160">
            <v>4800</v>
          </cell>
          <cell r="M160">
            <v>286</v>
          </cell>
          <cell r="N160">
            <v>2369</v>
          </cell>
          <cell r="O160">
            <v>-0.17647058823529418</v>
          </cell>
          <cell r="P160">
            <v>252.82399999999998</v>
          </cell>
          <cell r="Q160">
            <v>303.16000000000003</v>
          </cell>
          <cell r="R160">
            <v>342.57</v>
          </cell>
          <cell r="S160">
            <v>514.5</v>
          </cell>
          <cell r="T160">
            <v>0.42188532555879493</v>
          </cell>
          <cell r="U160">
            <v>398.42879999999997</v>
          </cell>
          <cell r="V160">
            <v>0.25346762081455954</v>
          </cell>
          <cell r="W160">
            <v>2013.6499999999999</v>
          </cell>
          <cell r="X160">
            <v>0.49139747327502425</v>
          </cell>
          <cell r="Y160">
            <v>0</v>
          </cell>
          <cell r="Z160">
            <v>0</v>
          </cell>
          <cell r="AA160">
            <v>306</v>
          </cell>
          <cell r="AB160">
            <v>2014</v>
          </cell>
          <cell r="AC160">
            <v>2238</v>
          </cell>
          <cell r="AD160">
            <v>2362</v>
          </cell>
          <cell r="AE160">
            <v>2485.9899999999998</v>
          </cell>
          <cell r="AF160">
            <v>0.19000076428304216</v>
          </cell>
          <cell r="AG160">
            <v>4.7059722685931879E-2</v>
          </cell>
          <cell r="AH160">
            <v>2536</v>
          </cell>
          <cell r="AI160">
            <v>2586</v>
          </cell>
          <cell r="AJ160">
            <v>0.22132637277648884</v>
          </cell>
          <cell r="AK160">
            <v>2635.5</v>
          </cell>
          <cell r="AL160">
            <v>2685</v>
          </cell>
          <cell r="AM160">
            <v>0.25003724394785853</v>
          </cell>
          <cell r="AN160">
            <v>3062.53</v>
          </cell>
          <cell r="AO160">
            <v>3440.06</v>
          </cell>
          <cell r="AP160">
            <v>3817.59</v>
          </cell>
          <cell r="AQ160">
            <v>0</v>
          </cell>
          <cell r="AS160">
            <v>4800</v>
          </cell>
        </row>
        <row r="161">
          <cell r="B161" t="str">
            <v>AC</v>
          </cell>
          <cell r="C161" t="str">
            <v>DOM</v>
          </cell>
          <cell r="D161" t="str">
            <v>DOM</v>
          </cell>
          <cell r="E161" t="str">
            <v>P3</v>
          </cell>
          <cell r="F161">
            <v>39990</v>
          </cell>
          <cell r="G161">
            <v>40001</v>
          </cell>
          <cell r="H161" t="str">
            <v>7640001345</v>
          </cell>
          <cell r="I161" t="str">
            <v>6KMPC204PC_N</v>
          </cell>
          <cell r="J161">
            <v>0</v>
          </cell>
          <cell r="K161" t="str">
            <v>Graphic arts premium edition (GA2)</v>
          </cell>
          <cell r="L161">
            <v>7200</v>
          </cell>
          <cell r="M161">
            <v>408</v>
          </cell>
          <cell r="N161">
            <v>3605</v>
          </cell>
          <cell r="O161">
            <v>-0.17647058823529421</v>
          </cell>
          <cell r="P161">
            <v>360.67199999999997</v>
          </cell>
          <cell r="Q161">
            <v>432.48</v>
          </cell>
          <cell r="R161">
            <v>488.7</v>
          </cell>
          <cell r="S161">
            <v>672</v>
          </cell>
          <cell r="T161">
            <v>0.36857142857142861</v>
          </cell>
          <cell r="U161">
            <v>520.39679999999998</v>
          </cell>
          <cell r="V161">
            <v>0.18462219598583235</v>
          </cell>
          <cell r="W161">
            <v>3064.25</v>
          </cell>
          <cell r="X161">
            <v>0.5367142857142857</v>
          </cell>
          <cell r="Y161">
            <v>0</v>
          </cell>
          <cell r="Z161">
            <v>0</v>
          </cell>
          <cell r="AA161">
            <v>436</v>
          </cell>
          <cell r="AB161">
            <v>3065</v>
          </cell>
          <cell r="AC161">
            <v>3405</v>
          </cell>
          <cell r="AD161">
            <v>3595</v>
          </cell>
          <cell r="AE161">
            <v>3783.02</v>
          </cell>
          <cell r="AF161">
            <v>0.18999899551152252</v>
          </cell>
          <cell r="AG161">
            <v>4.7057641778261806E-2</v>
          </cell>
          <cell r="AH161">
            <v>3860</v>
          </cell>
          <cell r="AI161">
            <v>3935</v>
          </cell>
          <cell r="AJ161">
            <v>0.2212833545108005</v>
          </cell>
          <cell r="AK161">
            <v>4010.5</v>
          </cell>
          <cell r="AL161">
            <v>4086</v>
          </cell>
          <cell r="AM161">
            <v>0.25006118453255016</v>
          </cell>
          <cell r="AN161">
            <v>4660.46</v>
          </cell>
          <cell r="AO161">
            <v>5234.92</v>
          </cell>
          <cell r="AP161">
            <v>5809.38</v>
          </cell>
          <cell r="AQ161">
            <v>0</v>
          </cell>
          <cell r="AS161">
            <v>7200</v>
          </cell>
        </row>
        <row r="162">
          <cell r="B162" t="str">
            <v>AC</v>
          </cell>
          <cell r="C162" t="str">
            <v>DOM</v>
          </cell>
          <cell r="D162" t="str">
            <v>DOM</v>
          </cell>
          <cell r="E162" t="str">
            <v>P3</v>
          </cell>
          <cell r="F162">
            <v>39990</v>
          </cell>
          <cell r="G162">
            <v>40001</v>
          </cell>
          <cell r="H162" t="str">
            <v>7640001346</v>
          </cell>
          <cell r="I162" t="str">
            <v>6KMDK504CD_N</v>
          </cell>
          <cell r="J162">
            <v>0</v>
          </cell>
          <cell r="K162" t="str">
            <v>Graphic Arts package (GA1)IP901-ver.2</v>
          </cell>
          <cell r="L162">
            <v>3200</v>
          </cell>
          <cell r="M162">
            <v>82</v>
          </cell>
          <cell r="N162">
            <v>1545</v>
          </cell>
          <cell r="O162">
            <v>-0.17647058823529413</v>
          </cell>
          <cell r="P162">
            <v>72.488</v>
          </cell>
          <cell r="Q162">
            <v>86.92</v>
          </cell>
          <cell r="R162">
            <v>98.22</v>
          </cell>
          <cell r="S162">
            <v>125.5</v>
          </cell>
          <cell r="T162">
            <v>0.32047808764940239</v>
          </cell>
          <cell r="U162">
            <v>97.18719999999999</v>
          </cell>
          <cell r="V162">
            <v>0.12251819169602571</v>
          </cell>
          <cell r="W162">
            <v>1313.25</v>
          </cell>
          <cell r="X162">
            <v>0.57759362549800797</v>
          </cell>
          <cell r="Y162">
            <v>0</v>
          </cell>
          <cell r="Z162">
            <v>0</v>
          </cell>
          <cell r="AA162">
            <v>88</v>
          </cell>
          <cell r="AB162">
            <v>1314</v>
          </cell>
          <cell r="AC162">
            <v>1460</v>
          </cell>
          <cell r="AD162">
            <v>1541</v>
          </cell>
          <cell r="AE162">
            <v>1621.3</v>
          </cell>
          <cell r="AF162">
            <v>0.19000185036698944</v>
          </cell>
          <cell r="AG162">
            <v>4.7061000431752271E-2</v>
          </cell>
          <cell r="AH162">
            <v>1655</v>
          </cell>
          <cell r="AI162">
            <v>1687</v>
          </cell>
          <cell r="AJ162">
            <v>0.22154712507409602</v>
          </cell>
          <cell r="AK162">
            <v>1719</v>
          </cell>
          <cell r="AL162">
            <v>1751</v>
          </cell>
          <cell r="AM162">
            <v>0.25</v>
          </cell>
          <cell r="AN162">
            <v>1997.23</v>
          </cell>
          <cell r="AO162">
            <v>2243.46</v>
          </cell>
          <cell r="AP162">
            <v>2489.69</v>
          </cell>
          <cell r="AQ162">
            <v>0</v>
          </cell>
          <cell r="AS162">
            <v>3200</v>
          </cell>
        </row>
        <row r="163">
          <cell r="B163" t="str">
            <v>AC</v>
          </cell>
          <cell r="C163" t="str">
            <v>DOM</v>
          </cell>
          <cell r="D163" t="str">
            <v>DOM</v>
          </cell>
          <cell r="E163" t="str">
            <v>P3</v>
          </cell>
          <cell r="F163">
            <v>39990</v>
          </cell>
          <cell r="G163">
            <v>40001</v>
          </cell>
          <cell r="H163" t="str">
            <v>7640001347</v>
          </cell>
          <cell r="I163" t="str">
            <v>3KMHAU101BAU</v>
          </cell>
          <cell r="J163" t="str">
            <v>in both mfp and solutions</v>
          </cell>
          <cell r="K163" t="str">
            <v>Kit, software upgrade from v.1.1 to v2.0 S350 50C-K, Taurus</v>
          </cell>
          <cell r="L163">
            <v>4000</v>
          </cell>
          <cell r="M163">
            <v>306</v>
          </cell>
          <cell r="N163">
            <v>2060</v>
          </cell>
          <cell r="O163">
            <v>0.21071428571428566</v>
          </cell>
          <cell r="P163">
            <v>403.2</v>
          </cell>
          <cell r="Q163">
            <v>324.36</v>
          </cell>
          <cell r="R163">
            <v>366.53</v>
          </cell>
          <cell r="S163">
            <v>504</v>
          </cell>
          <cell r="T163">
            <v>0.36857142857142855</v>
          </cell>
          <cell r="U163">
            <v>390.29759999999999</v>
          </cell>
          <cell r="V163">
            <v>0.18462219598583229</v>
          </cell>
          <cell r="W163">
            <v>1751</v>
          </cell>
          <cell r="X163">
            <v>0.79999999999999993</v>
          </cell>
          <cell r="Y163">
            <v>0</v>
          </cell>
          <cell r="Z163">
            <v>0</v>
          </cell>
          <cell r="AA163">
            <v>488</v>
          </cell>
          <cell r="AB163">
            <v>1751</v>
          </cell>
          <cell r="AC163">
            <v>1946</v>
          </cell>
          <cell r="AD163">
            <v>2054</v>
          </cell>
          <cell r="AE163">
            <v>2161.73</v>
          </cell>
          <cell r="AF163">
            <v>0.19000060137019886</v>
          </cell>
          <cell r="AG163">
            <v>4.7059531023763382E-2</v>
          </cell>
          <cell r="AH163">
            <v>2206</v>
          </cell>
          <cell r="AI163">
            <v>2249</v>
          </cell>
          <cell r="AJ163">
            <v>0.22143174744330812</v>
          </cell>
          <cell r="AK163">
            <v>2292</v>
          </cell>
          <cell r="AL163">
            <v>2335</v>
          </cell>
          <cell r="AM163">
            <v>0.25010706638115632</v>
          </cell>
          <cell r="AN163">
            <v>2663.23</v>
          </cell>
          <cell r="AO163">
            <v>2991.46</v>
          </cell>
          <cell r="AP163">
            <v>3319.69</v>
          </cell>
          <cell r="AQ163">
            <v>0</v>
          </cell>
          <cell r="AR163">
            <v>506</v>
          </cell>
          <cell r="AS163">
            <v>4000</v>
          </cell>
        </row>
        <row r="164">
          <cell r="B164" t="str">
            <v>AC</v>
          </cell>
          <cell r="C164" t="str">
            <v>DOM</v>
          </cell>
          <cell r="D164" t="str">
            <v>DOM</v>
          </cell>
          <cell r="E164" t="str">
            <v>P3</v>
          </cell>
          <cell r="F164">
            <v>39990</v>
          </cell>
          <cell r="G164">
            <v>40001</v>
          </cell>
          <cell r="H164" t="str">
            <v>7640001348</v>
          </cell>
          <cell r="I164" t="str">
            <v>6KMFK506_N</v>
          </cell>
          <cell r="J164">
            <v>0</v>
          </cell>
          <cell r="K164" t="str">
            <v>Production Print Package IP-901 v2 and IC-302</v>
          </cell>
          <cell r="L164">
            <v>7795</v>
          </cell>
          <cell r="M164">
            <v>3800</v>
          </cell>
          <cell r="N164">
            <v>3914</v>
          </cell>
          <cell r="O164">
            <v>-0.17647058823529407</v>
          </cell>
          <cell r="P164">
            <v>279.36</v>
          </cell>
          <cell r="Q164">
            <v>254.4</v>
          </cell>
          <cell r="R164">
            <v>287.47000000000003</v>
          </cell>
          <cell r="S164">
            <v>5067</v>
          </cell>
          <cell r="T164">
            <v>0.28522336769759443</v>
          </cell>
          <cell r="U164">
            <v>270.42048</v>
          </cell>
          <cell r="V164">
            <v>7.6992985146687024E-2</v>
          </cell>
          <cell r="W164">
            <v>3326.9</v>
          </cell>
          <cell r="X164">
            <v>0.8</v>
          </cell>
          <cell r="Y164">
            <v>0</v>
          </cell>
          <cell r="Z164">
            <v>0</v>
          </cell>
          <cell r="AA164">
            <v>338</v>
          </cell>
          <cell r="AB164">
            <v>3327</v>
          </cell>
          <cell r="AC164">
            <v>3697</v>
          </cell>
          <cell r="AD164">
            <v>3903</v>
          </cell>
          <cell r="AE164">
            <v>4107.28</v>
          </cell>
          <cell r="AF164">
            <v>0.18999922089558047</v>
          </cell>
          <cell r="AG164">
            <v>4.7057906935977036E-2</v>
          </cell>
          <cell r="AH164">
            <v>4190</v>
          </cell>
          <cell r="AI164">
            <v>4272</v>
          </cell>
          <cell r="AJ164">
            <v>0.22123127340823967</v>
          </cell>
          <cell r="AK164">
            <v>4354</v>
          </cell>
          <cell r="AL164">
            <v>4436</v>
          </cell>
          <cell r="AM164">
            <v>0.25002254283137959</v>
          </cell>
          <cell r="AN164">
            <v>5059.76</v>
          </cell>
          <cell r="AO164">
            <v>5683.52</v>
          </cell>
          <cell r="AP164">
            <v>6307.28</v>
          </cell>
          <cell r="AQ164">
            <v>0</v>
          </cell>
          <cell r="AR164">
            <v>506</v>
          </cell>
          <cell r="AS164">
            <v>7795</v>
          </cell>
        </row>
        <row r="165">
          <cell r="B165" t="str">
            <v>AC</v>
          </cell>
          <cell r="C165" t="str">
            <v>DOM</v>
          </cell>
          <cell r="D165" t="str">
            <v>DOM</v>
          </cell>
          <cell r="E165" t="str">
            <v>P3</v>
          </cell>
          <cell r="F165">
            <v>39990</v>
          </cell>
          <cell r="G165">
            <v>40001</v>
          </cell>
          <cell r="H165" t="str">
            <v>7640001350</v>
          </cell>
          <cell r="I165" t="str">
            <v>4KMIC206PCL_N</v>
          </cell>
          <cell r="J165">
            <v>0</v>
          </cell>
          <cell r="K165" t="str">
            <v>HD-107 2 GB Compact Flash Card</v>
          </cell>
          <cell r="L165">
            <v>750</v>
          </cell>
          <cell r="M165">
            <v>214</v>
          </cell>
          <cell r="N165">
            <v>294</v>
          </cell>
          <cell r="O165">
            <v>0.10976</v>
          </cell>
          <cell r="P165">
            <v>250</v>
          </cell>
          <cell r="Q165">
            <v>226.84</v>
          </cell>
          <cell r="R165">
            <v>256.33</v>
          </cell>
          <cell r="S165">
            <v>312.5</v>
          </cell>
          <cell r="T165">
            <v>0.28780800000000001</v>
          </cell>
          <cell r="U165">
            <v>242</v>
          </cell>
          <cell r="V165">
            <v>8.033057851239668E-2</v>
          </cell>
          <cell r="W165">
            <v>249.9</v>
          </cell>
          <cell r="X165">
            <v>0.8</v>
          </cell>
          <cell r="Y165">
            <v>0</v>
          </cell>
          <cell r="Z165">
            <v>0</v>
          </cell>
          <cell r="AA165">
            <v>302</v>
          </cell>
          <cell r="AB165">
            <v>250</v>
          </cell>
          <cell r="AC165">
            <v>278</v>
          </cell>
          <cell r="AD165">
            <v>294</v>
          </cell>
          <cell r="AE165">
            <v>308.52</v>
          </cell>
          <cell r="AF165">
            <v>0.190003889537145</v>
          </cell>
          <cell r="AG165">
            <v>4.7063399455464741E-2</v>
          </cell>
          <cell r="AH165">
            <v>316</v>
          </cell>
          <cell r="AI165">
            <v>322</v>
          </cell>
          <cell r="AJ165">
            <v>0.22391304347826085</v>
          </cell>
          <cell r="AK165">
            <v>328</v>
          </cell>
          <cell r="AL165">
            <v>334</v>
          </cell>
          <cell r="AM165">
            <v>0.25179640718562873</v>
          </cell>
          <cell r="AN165">
            <v>380.66</v>
          </cell>
          <cell r="AO165">
            <v>427.32</v>
          </cell>
          <cell r="AP165">
            <v>473.98</v>
          </cell>
          <cell r="AQ165">
            <v>0</v>
          </cell>
          <cell r="AS165">
            <v>750</v>
          </cell>
        </row>
        <row r="166">
          <cell r="B166" t="str">
            <v>AC</v>
          </cell>
          <cell r="C166" t="str">
            <v>DOM</v>
          </cell>
          <cell r="D166" t="str">
            <v>DOM</v>
          </cell>
          <cell r="E166" t="str">
            <v>P3</v>
          </cell>
          <cell r="F166">
            <v>39990</v>
          </cell>
          <cell r="G166">
            <v>40001</v>
          </cell>
          <cell r="H166" t="str">
            <v>7640002239</v>
          </cell>
          <cell r="I166" t="str">
            <v>6KMNC503_N</v>
          </cell>
          <cell r="J166">
            <v>0</v>
          </cell>
          <cell r="K166" t="str">
            <v>256MB Upgrade for IC-405</v>
          </cell>
          <cell r="L166">
            <v>370</v>
          </cell>
          <cell r="M166">
            <v>223.07599999999999</v>
          </cell>
          <cell r="N166">
            <v>229.76828</v>
          </cell>
          <cell r="O166">
            <v>-0.17647058823529421</v>
          </cell>
          <cell r="P166">
            <v>179.68</v>
          </cell>
          <cell r="Q166">
            <v>162.18</v>
          </cell>
          <cell r="R166">
            <v>183.26</v>
          </cell>
          <cell r="S166">
            <v>257</v>
          </cell>
          <cell r="T166">
            <v>0.29154051647373103</v>
          </cell>
          <cell r="U166">
            <v>173.93024</v>
          </cell>
          <cell r="V166">
            <v>8.5150460322483273E-2</v>
          </cell>
          <cell r="W166">
            <v>195.30303799999999</v>
          </cell>
          <cell r="X166">
            <v>0.8</v>
          </cell>
          <cell r="Y166">
            <v>0</v>
          </cell>
          <cell r="Z166">
            <v>0</v>
          </cell>
          <cell r="AA166">
            <v>217</v>
          </cell>
          <cell r="AB166">
            <v>196</v>
          </cell>
          <cell r="AC166">
            <v>218</v>
          </cell>
          <cell r="AD166">
            <v>230</v>
          </cell>
          <cell r="AE166">
            <v>241.11</v>
          </cell>
          <cell r="AF166">
            <v>0.18998366720583976</v>
          </cell>
          <cell r="AG166">
            <v>4.7039608477458458E-2</v>
          </cell>
          <cell r="AH166">
            <v>247</v>
          </cell>
          <cell r="AI166">
            <v>252</v>
          </cell>
          <cell r="AJ166">
            <v>0.2249879444444445</v>
          </cell>
          <cell r="AK166">
            <v>256.5</v>
          </cell>
          <cell r="AL166">
            <v>261</v>
          </cell>
          <cell r="AM166">
            <v>0.25171249808429125</v>
          </cell>
          <cell r="AN166">
            <v>288.25</v>
          </cell>
          <cell r="AO166">
            <v>315.5</v>
          </cell>
          <cell r="AP166">
            <v>342.75</v>
          </cell>
          <cell r="AQ166">
            <v>0</v>
          </cell>
          <cell r="AS166">
            <v>370</v>
          </cell>
        </row>
        <row r="167">
          <cell r="B167" t="str">
            <v>AC</v>
          </cell>
          <cell r="C167" t="str">
            <v>DOM</v>
          </cell>
          <cell r="D167" t="str">
            <v>DOM</v>
          </cell>
          <cell r="E167" t="str">
            <v>P3</v>
          </cell>
          <cell r="F167">
            <v>39990</v>
          </cell>
          <cell r="G167">
            <v>40001</v>
          </cell>
          <cell r="H167" t="str">
            <v>7640002240</v>
          </cell>
          <cell r="I167" t="str">
            <v>3KMMEM103128MB</v>
          </cell>
          <cell r="J167">
            <v>0</v>
          </cell>
          <cell r="K167" t="str">
            <v>EFI Spot On for IC-405</v>
          </cell>
          <cell r="L167">
            <v>825</v>
          </cell>
          <cell r="M167">
            <v>400</v>
          </cell>
          <cell r="N167">
            <v>412</v>
          </cell>
          <cell r="O167">
            <v>-0.17647058823529416</v>
          </cell>
          <cell r="P167">
            <v>203.76</v>
          </cell>
          <cell r="Q167">
            <v>195.04</v>
          </cell>
          <cell r="R167">
            <v>220.4</v>
          </cell>
          <cell r="S167">
            <v>535</v>
          </cell>
          <cell r="T167">
            <v>0.24868472712995673</v>
          </cell>
          <cell r="U167">
            <v>219.04199999999997</v>
          </cell>
          <cell r="V167">
            <v>0.12637758968599613</v>
          </cell>
          <cell r="W167">
            <v>350.2</v>
          </cell>
          <cell r="X167">
            <v>0.8</v>
          </cell>
          <cell r="Y167">
            <v>0</v>
          </cell>
          <cell r="Z167">
            <v>0</v>
          </cell>
          <cell r="AA167">
            <v>247</v>
          </cell>
          <cell r="AB167">
            <v>351</v>
          </cell>
          <cell r="AC167">
            <v>390</v>
          </cell>
          <cell r="AD167">
            <v>412</v>
          </cell>
          <cell r="AE167">
            <v>432.35</v>
          </cell>
          <cell r="AF167">
            <v>0.19000809529316534</v>
          </cell>
          <cell r="AG167">
            <v>4.7068347403723884E-2</v>
          </cell>
          <cell r="AH167">
            <v>442</v>
          </cell>
          <cell r="AI167">
            <v>450</v>
          </cell>
          <cell r="AJ167">
            <v>0.2217777777777778</v>
          </cell>
          <cell r="AK167">
            <v>458.5</v>
          </cell>
          <cell r="AL167">
            <v>467</v>
          </cell>
          <cell r="AM167">
            <v>0.25010706638115632</v>
          </cell>
          <cell r="AN167">
            <v>532.65</v>
          </cell>
          <cell r="AO167">
            <v>598.29999999999995</v>
          </cell>
          <cell r="AP167">
            <v>663.95</v>
          </cell>
          <cell r="AQ167">
            <v>0</v>
          </cell>
          <cell r="AR167">
            <v>746</v>
          </cell>
          <cell r="AS167">
            <v>825</v>
          </cell>
        </row>
        <row r="168">
          <cell r="B168" t="str">
            <v>AC</v>
          </cell>
          <cell r="C168" t="str">
            <v>DOM</v>
          </cell>
          <cell r="D168" t="str">
            <v>DOM</v>
          </cell>
          <cell r="E168" t="str">
            <v>P3</v>
          </cell>
          <cell r="F168">
            <v>39990</v>
          </cell>
          <cell r="G168">
            <v>40001</v>
          </cell>
          <cell r="H168" t="str">
            <v>7640002296</v>
          </cell>
          <cell r="I168" t="str">
            <v>6KMJS504JS_N</v>
          </cell>
          <cell r="J168" t="str">
            <v>x</v>
          </cell>
          <cell r="K168" t="str">
            <v>EFI Bundle-CP/GA2/PPP/FACI enable/Impose for IC-302</v>
          </cell>
          <cell r="L168">
            <v>15700</v>
          </cell>
          <cell r="M168">
            <v>7688.3495000000003</v>
          </cell>
          <cell r="N168">
            <v>7918.9999850000004</v>
          </cell>
          <cell r="O168">
            <v>-0.17647058823529418</v>
          </cell>
          <cell r="P168">
            <v>135.25200000000001</v>
          </cell>
          <cell r="Q168">
            <v>162.18</v>
          </cell>
          <cell r="R168">
            <v>183.26</v>
          </cell>
          <cell r="S168">
            <v>10205</v>
          </cell>
          <cell r="T168">
            <v>0.35448275862068962</v>
          </cell>
          <cell r="U168">
            <v>190.8896</v>
          </cell>
          <cell r="V168">
            <v>0.16642918210316326</v>
          </cell>
          <cell r="W168">
            <v>6731.1499872499999</v>
          </cell>
          <cell r="X168">
            <v>0.54868965517241386</v>
          </cell>
          <cell r="Y168">
            <v>0</v>
          </cell>
          <cell r="Z168">
            <v>0</v>
          </cell>
          <cell r="AA168">
            <v>164</v>
          </cell>
          <cell r="AB168">
            <v>6732</v>
          </cell>
          <cell r="AC168">
            <v>7480</v>
          </cell>
          <cell r="AD168">
            <v>7896</v>
          </cell>
          <cell r="AE168">
            <v>8310.06</v>
          </cell>
          <cell r="AF168">
            <v>0.18999983306378049</v>
          </cell>
          <cell r="AG168">
            <v>4.7058627133859339E-2</v>
          </cell>
          <cell r="AH168">
            <v>8477</v>
          </cell>
          <cell r="AI168">
            <v>8643</v>
          </cell>
          <cell r="AJ168">
            <v>0.22120213036561381</v>
          </cell>
          <cell r="AK168">
            <v>8809</v>
          </cell>
          <cell r="AL168">
            <v>8975</v>
          </cell>
          <cell r="AM168">
            <v>0.25001114348189418</v>
          </cell>
          <cell r="AN168">
            <v>10237.06</v>
          </cell>
          <cell r="AO168">
            <v>11499.12</v>
          </cell>
          <cell r="AP168">
            <v>12761.18</v>
          </cell>
          <cell r="AQ168">
            <v>0</v>
          </cell>
          <cell r="AS168">
            <v>15700</v>
          </cell>
        </row>
        <row r="169">
          <cell r="B169" t="str">
            <v>AC</v>
          </cell>
          <cell r="C169" t="str">
            <v>DOM</v>
          </cell>
          <cell r="D169" t="str">
            <v>DOM</v>
          </cell>
          <cell r="E169" t="str">
            <v>P3</v>
          </cell>
          <cell r="F169">
            <v>39990</v>
          </cell>
          <cell r="G169">
            <v>40001</v>
          </cell>
          <cell r="H169" t="str">
            <v>7640002297</v>
          </cell>
          <cell r="I169" t="str">
            <v>6KMFS609BKFIN_N</v>
          </cell>
          <cell r="J169" t="str">
            <v>x</v>
          </cell>
          <cell r="K169" t="str">
            <v>EFI Bundle-GA2/PPP for IC-302</v>
          </cell>
          <cell r="L169">
            <v>11500</v>
          </cell>
          <cell r="M169">
            <v>5474.7572</v>
          </cell>
          <cell r="N169">
            <v>5638.9999159999998</v>
          </cell>
          <cell r="O169">
            <v>-0.1764705882352941</v>
          </cell>
          <cell r="P169">
            <v>969.74800000000005</v>
          </cell>
          <cell r="Q169">
            <v>1162.82</v>
          </cell>
          <cell r="R169">
            <v>1313.99</v>
          </cell>
          <cell r="S169">
            <v>7475</v>
          </cell>
          <cell r="T169">
            <v>0.3963597883597883</v>
          </cell>
          <cell r="U169">
            <v>1463.616</v>
          </cell>
          <cell r="V169">
            <v>0.2205059250513795</v>
          </cell>
          <cell r="W169">
            <v>4793.1499285999998</v>
          </cell>
          <cell r="X169">
            <v>0.51309417989417994</v>
          </cell>
          <cell r="Y169">
            <v>0</v>
          </cell>
          <cell r="Z169">
            <v>0</v>
          </cell>
          <cell r="AA169">
            <v>1173</v>
          </cell>
          <cell r="AB169">
            <v>4794</v>
          </cell>
          <cell r="AC169">
            <v>5326</v>
          </cell>
          <cell r="AD169">
            <v>5622</v>
          </cell>
          <cell r="AE169">
            <v>5917.47</v>
          </cell>
          <cell r="AF169">
            <v>0.19000013035976529</v>
          </cell>
          <cell r="AG169">
            <v>4.7058976893841538E-2</v>
          </cell>
          <cell r="AH169">
            <v>6037</v>
          </cell>
          <cell r="AI169">
            <v>6155</v>
          </cell>
          <cell r="AJ169">
            <v>0.22125915051177908</v>
          </cell>
          <cell r="AK169">
            <v>6273</v>
          </cell>
          <cell r="AL169">
            <v>6391</v>
          </cell>
          <cell r="AM169">
            <v>0.25001565817555943</v>
          </cell>
          <cell r="AN169">
            <v>7289.68</v>
          </cell>
          <cell r="AO169">
            <v>8188.36</v>
          </cell>
          <cell r="AP169">
            <v>9087.0400000000009</v>
          </cell>
          <cell r="AQ169">
            <v>0</v>
          </cell>
          <cell r="AS169">
            <v>11500</v>
          </cell>
        </row>
        <row r="170">
          <cell r="B170" t="str">
            <v>AC</v>
          </cell>
          <cell r="C170" t="str">
            <v>DOM</v>
          </cell>
          <cell r="D170" t="str">
            <v>DOM</v>
          </cell>
          <cell r="E170" t="str">
            <v>P3</v>
          </cell>
          <cell r="F170">
            <v>39990</v>
          </cell>
          <cell r="G170">
            <v>40001</v>
          </cell>
          <cell r="H170" t="str">
            <v>7640002298</v>
          </cell>
          <cell r="I170" t="str">
            <v>6KMOC507OC_N</v>
          </cell>
          <cell r="J170" t="str">
            <v>x</v>
          </cell>
          <cell r="K170" t="str">
            <v>EFI Bundle-PPP/Impose/FACI enable for IC-302</v>
          </cell>
          <cell r="L170">
            <v>8950</v>
          </cell>
          <cell r="M170">
            <v>4312.62</v>
          </cell>
          <cell r="N170">
            <v>4441.9985999999999</v>
          </cell>
          <cell r="O170">
            <v>-0.17647058823529413</v>
          </cell>
          <cell r="P170">
            <v>25.635999999999999</v>
          </cell>
          <cell r="Q170">
            <v>30.74</v>
          </cell>
          <cell r="R170">
            <v>34.74</v>
          </cell>
          <cell r="S170">
            <v>5818</v>
          </cell>
          <cell r="T170">
            <v>0.34291938997821347</v>
          </cell>
          <cell r="U170">
            <v>35.544959999999996</v>
          </cell>
          <cell r="V170">
            <v>0.15149714614955248</v>
          </cell>
          <cell r="W170">
            <v>3775.6988099999999</v>
          </cell>
          <cell r="X170">
            <v>0.55851851851851853</v>
          </cell>
          <cell r="Y170">
            <v>0</v>
          </cell>
          <cell r="Z170">
            <v>0</v>
          </cell>
          <cell r="AA170">
            <v>31</v>
          </cell>
          <cell r="AB170">
            <v>3776</v>
          </cell>
          <cell r="AC170">
            <v>4196</v>
          </cell>
          <cell r="AD170">
            <v>4429</v>
          </cell>
          <cell r="AE170">
            <v>4661.3599999999997</v>
          </cell>
          <cell r="AF170">
            <v>0.19000059853776577</v>
          </cell>
          <cell r="AG170">
            <v>4.7059527691489134E-2</v>
          </cell>
          <cell r="AH170">
            <v>4756</v>
          </cell>
          <cell r="AI170">
            <v>4849</v>
          </cell>
          <cell r="AJ170">
            <v>0.22134485254691691</v>
          </cell>
          <cell r="AK170">
            <v>4942</v>
          </cell>
          <cell r="AL170">
            <v>5035</v>
          </cell>
          <cell r="AM170">
            <v>0.25010947169811326</v>
          </cell>
          <cell r="AN170">
            <v>5742.76</v>
          </cell>
          <cell r="AO170">
            <v>6450.52</v>
          </cell>
          <cell r="AP170">
            <v>7158.28</v>
          </cell>
          <cell r="AQ170">
            <v>0</v>
          </cell>
          <cell r="AS170">
            <v>8950</v>
          </cell>
        </row>
        <row r="171">
          <cell r="B171" t="str">
            <v>AC</v>
          </cell>
          <cell r="C171" t="str">
            <v>DOM</v>
          </cell>
          <cell r="D171" t="str">
            <v>DOM</v>
          </cell>
          <cell r="E171" t="str">
            <v>P3</v>
          </cell>
          <cell r="F171">
            <v>39990</v>
          </cell>
          <cell r="G171">
            <v>40001</v>
          </cell>
          <cell r="H171" t="str">
            <v>7640002299</v>
          </cell>
          <cell r="I171" t="str">
            <v>3KMMK713BPG</v>
          </cell>
          <cell r="J171" t="str">
            <v>x</v>
          </cell>
          <cell r="K171" t="str">
            <v>EFI Bundle-GA2/CP/FACI enable for IC-302</v>
          </cell>
          <cell r="L171">
            <v>8050</v>
          </cell>
          <cell r="M171">
            <v>3900</v>
          </cell>
          <cell r="N171">
            <v>4017</v>
          </cell>
          <cell r="O171">
            <v>-0.17647058823529418</v>
          </cell>
          <cell r="P171">
            <v>225.42</v>
          </cell>
          <cell r="Q171">
            <v>270.3</v>
          </cell>
          <cell r="R171">
            <v>305.44</v>
          </cell>
          <cell r="S171">
            <v>5233</v>
          </cell>
          <cell r="T171">
            <v>0.30044843049327363</v>
          </cell>
          <cell r="U171">
            <v>293.57504</v>
          </cell>
          <cell r="V171">
            <v>9.6653448467553693E-2</v>
          </cell>
          <cell r="W171">
            <v>3414.45</v>
          </cell>
          <cell r="X171">
            <v>0.59461883408071747</v>
          </cell>
          <cell r="Y171">
            <v>0</v>
          </cell>
          <cell r="Z171">
            <v>0</v>
          </cell>
          <cell r="AA171">
            <v>273</v>
          </cell>
          <cell r="AB171">
            <v>3415</v>
          </cell>
          <cell r="AC171">
            <v>3794</v>
          </cell>
          <cell r="AD171">
            <v>4005</v>
          </cell>
          <cell r="AE171">
            <v>4215.37</v>
          </cell>
          <cell r="AF171">
            <v>0.18999992883187006</v>
          </cell>
          <cell r="AG171">
            <v>4.7058739802200017E-2</v>
          </cell>
          <cell r="AH171">
            <v>4301</v>
          </cell>
          <cell r="AI171">
            <v>4385</v>
          </cell>
          <cell r="AJ171">
            <v>0.22133409350057018</v>
          </cell>
          <cell r="AK171">
            <v>4469</v>
          </cell>
          <cell r="AL171">
            <v>4553</v>
          </cell>
          <cell r="AM171">
            <v>0.25006589062156825</v>
          </cell>
          <cell r="AN171">
            <v>5193.1099999999997</v>
          </cell>
          <cell r="AO171">
            <v>5833.22</v>
          </cell>
          <cell r="AP171">
            <v>6473.33</v>
          </cell>
          <cell r="AQ171">
            <v>0</v>
          </cell>
          <cell r="AS171">
            <v>8050</v>
          </cell>
        </row>
        <row r="172">
          <cell r="B172" t="str">
            <v>AC</v>
          </cell>
          <cell r="C172" t="str">
            <v>DOM</v>
          </cell>
          <cell r="D172" t="str">
            <v>DOM</v>
          </cell>
          <cell r="E172" t="str">
            <v>P3</v>
          </cell>
          <cell r="F172">
            <v>39990</v>
          </cell>
          <cell r="G172">
            <v>40001</v>
          </cell>
          <cell r="H172" t="str">
            <v>7640002302</v>
          </cell>
          <cell r="I172" t="str">
            <v>3KMHMK711</v>
          </cell>
          <cell r="J172" t="str">
            <v>x</v>
          </cell>
          <cell r="K172" t="str">
            <v>EFI Impose 2.5 for IC-302</v>
          </cell>
          <cell r="L172">
            <v>2500</v>
          </cell>
          <cell r="M172">
            <v>1250.4849999999999</v>
          </cell>
          <cell r="N172">
            <v>1287.99955</v>
          </cell>
          <cell r="O172">
            <v>-0.17647058823529405</v>
          </cell>
          <cell r="P172">
            <v>45.083999999999996</v>
          </cell>
          <cell r="Q172">
            <v>54.06</v>
          </cell>
          <cell r="R172">
            <v>61.09</v>
          </cell>
          <cell r="S172">
            <v>1625</v>
          </cell>
          <cell r="T172">
            <v>0.56092715231788071</v>
          </cell>
          <cell r="U172">
            <v>93.547519999999992</v>
          </cell>
          <cell r="V172">
            <v>0.43301543429478406</v>
          </cell>
          <cell r="W172">
            <v>1094.7996175000001</v>
          </cell>
          <cell r="X172">
            <v>0.37321192052980129</v>
          </cell>
          <cell r="Y172">
            <v>0</v>
          </cell>
          <cell r="Z172">
            <v>0</v>
          </cell>
          <cell r="AA172">
            <v>55</v>
          </cell>
          <cell r="AB172">
            <v>1095</v>
          </cell>
          <cell r="AC172">
            <v>1217</v>
          </cell>
          <cell r="AD172">
            <v>1285</v>
          </cell>
          <cell r="AE172">
            <v>1351.6</v>
          </cell>
          <cell r="AF172">
            <v>0.18999732354246809</v>
          </cell>
          <cell r="AG172">
            <v>4.7055674755844858E-2</v>
          </cell>
          <cell r="AH172">
            <v>1379</v>
          </cell>
          <cell r="AI172">
            <v>1406</v>
          </cell>
          <cell r="AJ172">
            <v>0.2213373986486486</v>
          </cell>
          <cell r="AK172">
            <v>1433</v>
          </cell>
          <cell r="AL172">
            <v>1460</v>
          </cell>
          <cell r="AM172">
            <v>0.2501372482876712</v>
          </cell>
          <cell r="AN172">
            <v>1665.21</v>
          </cell>
          <cell r="AO172">
            <v>1870.42</v>
          </cell>
          <cell r="AP172">
            <v>2075.63</v>
          </cell>
          <cell r="AQ172">
            <v>0</v>
          </cell>
          <cell r="AS172">
            <v>2500</v>
          </cell>
        </row>
        <row r="173">
          <cell r="B173" t="str">
            <v>AC</v>
          </cell>
          <cell r="C173" t="str">
            <v>DOM</v>
          </cell>
          <cell r="D173" t="str">
            <v>DOM</v>
          </cell>
          <cell r="E173" t="str">
            <v>P3</v>
          </cell>
          <cell r="F173">
            <v>39990</v>
          </cell>
          <cell r="G173">
            <v>40001</v>
          </cell>
          <cell r="H173" t="str">
            <v>7640002303</v>
          </cell>
          <cell r="I173" t="str">
            <v>3KMKHD508HDD</v>
          </cell>
          <cell r="J173">
            <v>0</v>
          </cell>
          <cell r="K173" t="str">
            <v>Graphic arts package (GA1) for IC-302</v>
          </cell>
          <cell r="L173">
            <v>3200</v>
          </cell>
          <cell r="M173">
            <v>1500</v>
          </cell>
          <cell r="N173">
            <v>1545</v>
          </cell>
          <cell r="O173">
            <v>-0.17647058823529413</v>
          </cell>
          <cell r="P173">
            <v>167.07599999999999</v>
          </cell>
          <cell r="Q173">
            <v>200.34</v>
          </cell>
          <cell r="R173">
            <v>226.38</v>
          </cell>
          <cell r="S173">
            <v>2080</v>
          </cell>
          <cell r="T173">
            <v>0.376</v>
          </cell>
          <cell r="U173">
            <v>243.93599999999998</v>
          </cell>
          <cell r="V173">
            <v>0.19421487603305776</v>
          </cell>
          <cell r="W173">
            <v>1313.25</v>
          </cell>
          <cell r="X173">
            <v>0.53039999999999998</v>
          </cell>
          <cell r="Y173">
            <v>0</v>
          </cell>
          <cell r="Z173">
            <v>0</v>
          </cell>
          <cell r="AA173">
            <v>202</v>
          </cell>
          <cell r="AB173">
            <v>1314</v>
          </cell>
          <cell r="AC173">
            <v>1460</v>
          </cell>
          <cell r="AD173">
            <v>1541</v>
          </cell>
          <cell r="AE173">
            <v>1621.3</v>
          </cell>
          <cell r="AF173">
            <v>0.19000185036698944</v>
          </cell>
          <cell r="AG173">
            <v>4.7061000431752271E-2</v>
          </cell>
          <cell r="AH173">
            <v>1655</v>
          </cell>
          <cell r="AI173">
            <v>1687</v>
          </cell>
          <cell r="AJ173">
            <v>0.22154712507409602</v>
          </cell>
          <cell r="AK173">
            <v>1719</v>
          </cell>
          <cell r="AL173">
            <v>1751</v>
          </cell>
          <cell r="AM173">
            <v>0.25</v>
          </cell>
          <cell r="AN173">
            <v>1997.23</v>
          </cell>
          <cell r="AO173">
            <v>2243.46</v>
          </cell>
          <cell r="AP173">
            <v>2489.69</v>
          </cell>
          <cell r="AQ173">
            <v>0</v>
          </cell>
          <cell r="AS173">
            <v>3200</v>
          </cell>
        </row>
        <row r="174">
          <cell r="B174" t="str">
            <v>AC</v>
          </cell>
          <cell r="C174" t="str">
            <v>DOM</v>
          </cell>
          <cell r="D174" t="str">
            <v>DOM</v>
          </cell>
          <cell r="E174" t="str">
            <v>P3</v>
          </cell>
          <cell r="F174">
            <v>39990</v>
          </cell>
          <cell r="G174">
            <v>40001</v>
          </cell>
          <cell r="H174" t="str">
            <v>7640002304</v>
          </cell>
          <cell r="I174" t="str">
            <v>6KMPK515PK_N</v>
          </cell>
          <cell r="J174" t="str">
            <v>x</v>
          </cell>
          <cell r="K174" t="str">
            <v>Graphic arts permium (GA2) for IC-302</v>
          </cell>
          <cell r="L174">
            <v>7200</v>
          </cell>
          <cell r="M174">
            <v>3500</v>
          </cell>
          <cell r="N174">
            <v>3605</v>
          </cell>
          <cell r="O174">
            <v>-0.17647058823529413</v>
          </cell>
          <cell r="P174">
            <v>158.23599999999999</v>
          </cell>
          <cell r="Q174">
            <v>189.74</v>
          </cell>
          <cell r="R174">
            <v>214.41</v>
          </cell>
          <cell r="S174">
            <v>4680</v>
          </cell>
          <cell r="T174">
            <v>0.36464163822525597</v>
          </cell>
          <cell r="U174">
            <v>226.89920000000001</v>
          </cell>
          <cell r="V174">
            <v>0.17954757002228305</v>
          </cell>
          <cell r="W174">
            <v>3064.25</v>
          </cell>
          <cell r="X174">
            <v>0.5400546075085324</v>
          </cell>
          <cell r="Y174">
            <v>0</v>
          </cell>
          <cell r="Z174">
            <v>0</v>
          </cell>
          <cell r="AA174">
            <v>191</v>
          </cell>
          <cell r="AB174">
            <v>3065</v>
          </cell>
          <cell r="AC174">
            <v>3405</v>
          </cell>
          <cell r="AD174">
            <v>3595</v>
          </cell>
          <cell r="AE174">
            <v>3783.02</v>
          </cell>
          <cell r="AF174">
            <v>0.18999899551152252</v>
          </cell>
          <cell r="AG174">
            <v>4.7057641778261806E-2</v>
          </cell>
          <cell r="AH174">
            <v>3860</v>
          </cell>
          <cell r="AI174">
            <v>3935</v>
          </cell>
          <cell r="AJ174">
            <v>0.2212833545108005</v>
          </cell>
          <cell r="AK174">
            <v>4010.5</v>
          </cell>
          <cell r="AL174">
            <v>4086</v>
          </cell>
          <cell r="AM174">
            <v>0.25006118453255016</v>
          </cell>
          <cell r="AN174">
            <v>4660.46</v>
          </cell>
          <cell r="AO174">
            <v>5234.92</v>
          </cell>
          <cell r="AP174">
            <v>5809.38</v>
          </cell>
          <cell r="AQ174">
            <v>0</v>
          </cell>
          <cell r="AS174">
            <v>7200</v>
          </cell>
        </row>
        <row r="175">
          <cell r="B175" t="str">
            <v>AC</v>
          </cell>
          <cell r="C175" t="str">
            <v>DOM</v>
          </cell>
          <cell r="D175" t="str">
            <v>DOM</v>
          </cell>
          <cell r="E175" t="str">
            <v>P3</v>
          </cell>
          <cell r="F175">
            <v>39990</v>
          </cell>
          <cell r="G175">
            <v>40001</v>
          </cell>
          <cell r="H175" t="str">
            <v>7640002305</v>
          </cell>
          <cell r="I175" t="str">
            <v>3KMEK603USBHK</v>
          </cell>
          <cell r="J175" t="str">
            <v>x</v>
          </cell>
          <cell r="K175" t="str">
            <v>GA1 to GA2 upgrade for IC-302</v>
          </cell>
          <cell r="L175">
            <v>4800</v>
          </cell>
          <cell r="M175">
            <v>2300</v>
          </cell>
          <cell r="N175">
            <v>2369</v>
          </cell>
          <cell r="O175">
            <v>-0.17647058823529418</v>
          </cell>
          <cell r="P175">
            <v>53.923999999999999</v>
          </cell>
          <cell r="Q175">
            <v>64.66</v>
          </cell>
          <cell r="R175">
            <v>73.069999999999993</v>
          </cell>
          <cell r="S175">
            <v>3120</v>
          </cell>
          <cell r="T175">
            <v>0.39580952380952378</v>
          </cell>
          <cell r="U175">
            <v>81.311999999999998</v>
          </cell>
          <cell r="V175">
            <v>0.21979535615899243</v>
          </cell>
          <cell r="W175">
            <v>2013.6499999999999</v>
          </cell>
          <cell r="X175">
            <v>0.51356190476190478</v>
          </cell>
          <cell r="Y175">
            <v>0</v>
          </cell>
          <cell r="Z175">
            <v>0</v>
          </cell>
          <cell r="AA175">
            <v>65</v>
          </cell>
          <cell r="AB175">
            <v>2014</v>
          </cell>
          <cell r="AC175">
            <v>2238</v>
          </cell>
          <cell r="AD175">
            <v>2362</v>
          </cell>
          <cell r="AE175">
            <v>2485.9899999999998</v>
          </cell>
          <cell r="AF175">
            <v>0.19000076428304216</v>
          </cell>
          <cell r="AG175">
            <v>4.7059722685931879E-2</v>
          </cell>
          <cell r="AH175">
            <v>2536</v>
          </cell>
          <cell r="AI175">
            <v>2586</v>
          </cell>
          <cell r="AJ175">
            <v>0.22132637277648884</v>
          </cell>
          <cell r="AK175">
            <v>2635.5</v>
          </cell>
          <cell r="AL175">
            <v>2685</v>
          </cell>
          <cell r="AM175">
            <v>0.25003724394785853</v>
          </cell>
          <cell r="AN175">
            <v>3062.53</v>
          </cell>
          <cell r="AO175">
            <v>3440.06</v>
          </cell>
          <cell r="AP175">
            <v>3817.59</v>
          </cell>
          <cell r="AQ175">
            <v>0</v>
          </cell>
          <cell r="AS175">
            <v>4800</v>
          </cell>
        </row>
        <row r="176">
          <cell r="B176" t="str">
            <v>AC</v>
          </cell>
          <cell r="C176" t="str">
            <v>DOM</v>
          </cell>
          <cell r="D176" t="str">
            <v>DOM</v>
          </cell>
          <cell r="E176" t="str">
            <v>P3</v>
          </cell>
          <cell r="F176">
            <v>39990</v>
          </cell>
          <cell r="G176">
            <v>40001</v>
          </cell>
          <cell r="H176" t="str">
            <v>7640002316</v>
          </cell>
          <cell r="I176" t="str">
            <v>6KMFS520STPFN_N</v>
          </cell>
          <cell r="J176">
            <v>0</v>
          </cell>
          <cell r="K176" t="str">
            <v>FACI kit for IC-302</v>
          </cell>
          <cell r="L176">
            <v>3599</v>
          </cell>
          <cell r="M176">
            <v>1500</v>
          </cell>
          <cell r="N176">
            <v>1545</v>
          </cell>
          <cell r="O176">
            <v>-0.17647058823529413</v>
          </cell>
          <cell r="P176">
            <v>869.85599999999999</v>
          </cell>
          <cell r="Q176">
            <v>1043.04</v>
          </cell>
          <cell r="R176">
            <v>1178.6400000000001</v>
          </cell>
          <cell r="S176">
            <v>2205</v>
          </cell>
          <cell r="T176">
            <v>0.35601283745516327</v>
          </cell>
          <cell r="U176">
            <v>1230.5990399999998</v>
          </cell>
          <cell r="V176">
            <v>0.16840500704437397</v>
          </cell>
          <cell r="W176">
            <v>1313.25</v>
          </cell>
          <cell r="X176">
            <v>0.54738908816311127</v>
          </cell>
          <cell r="Y176">
            <v>0</v>
          </cell>
          <cell r="Z176">
            <v>0</v>
          </cell>
          <cell r="AA176">
            <v>1052</v>
          </cell>
          <cell r="AB176">
            <v>1314</v>
          </cell>
          <cell r="AC176">
            <v>1460</v>
          </cell>
          <cell r="AD176">
            <v>1541</v>
          </cell>
          <cell r="AE176">
            <v>1621.3</v>
          </cell>
          <cell r="AF176">
            <v>0.19000185036698944</v>
          </cell>
          <cell r="AG176">
            <v>4.7061000431752271E-2</v>
          </cell>
          <cell r="AH176">
            <v>1655</v>
          </cell>
          <cell r="AI176">
            <v>1687</v>
          </cell>
          <cell r="AJ176">
            <v>0.22154712507409602</v>
          </cell>
          <cell r="AK176">
            <v>1719</v>
          </cell>
          <cell r="AL176">
            <v>1751</v>
          </cell>
          <cell r="AM176">
            <v>0.25</v>
          </cell>
          <cell r="AN176">
            <v>1997.23</v>
          </cell>
          <cell r="AO176">
            <v>2243.46</v>
          </cell>
          <cell r="AP176">
            <v>2489.69</v>
          </cell>
          <cell r="AQ176">
            <v>0</v>
          </cell>
          <cell r="AS176">
            <v>3599</v>
          </cell>
        </row>
        <row r="177">
          <cell r="B177" t="str">
            <v>AC</v>
          </cell>
          <cell r="C177" t="str">
            <v>DOM</v>
          </cell>
          <cell r="D177" t="str">
            <v>DOM</v>
          </cell>
          <cell r="E177" t="str">
            <v>P3</v>
          </cell>
          <cell r="F177">
            <v>39990</v>
          </cell>
          <cell r="G177">
            <v>40001</v>
          </cell>
          <cell r="H177" t="str">
            <v>7640002334</v>
          </cell>
          <cell r="I177" t="str">
            <v>6KMFS520STPFN_N</v>
          </cell>
          <cell r="J177">
            <v>0</v>
          </cell>
          <cell r="K177" t="str">
            <v>256 MB Memory upgrade</v>
          </cell>
          <cell r="L177">
            <v>210</v>
          </cell>
          <cell r="M177">
            <v>984</v>
          </cell>
          <cell r="N177">
            <v>83.2</v>
          </cell>
          <cell r="O177">
            <v>0.1950160468189541</v>
          </cell>
          <cell r="P177">
            <v>1271.28</v>
          </cell>
          <cell r="Q177">
            <v>1043.04</v>
          </cell>
          <cell r="R177">
            <v>1178.6400000000001</v>
          </cell>
          <cell r="S177">
            <v>1589.1</v>
          </cell>
          <cell r="T177">
            <v>0.35601283745516327</v>
          </cell>
          <cell r="U177">
            <v>1230.5990399999998</v>
          </cell>
          <cell r="V177">
            <v>0.16840500704437397</v>
          </cell>
          <cell r="W177">
            <v>70.72</v>
          </cell>
          <cell r="X177">
            <v>0.8</v>
          </cell>
          <cell r="Y177">
            <v>0</v>
          </cell>
          <cell r="Z177">
            <v>0</v>
          </cell>
          <cell r="AA177">
            <v>1538</v>
          </cell>
          <cell r="AB177">
            <v>71</v>
          </cell>
          <cell r="AC177">
            <v>79</v>
          </cell>
          <cell r="AD177">
            <v>84</v>
          </cell>
          <cell r="AE177">
            <v>87.31</v>
          </cell>
          <cell r="AF177">
            <v>0.19001259878593521</v>
          </cell>
          <cell r="AG177">
            <v>4.7073645630511959E-2</v>
          </cell>
          <cell r="AH177">
            <v>90</v>
          </cell>
          <cell r="AI177">
            <v>92</v>
          </cell>
          <cell r="AJ177">
            <v>0.23130434782608697</v>
          </cell>
          <cell r="AK177">
            <v>93.5</v>
          </cell>
          <cell r="AL177">
            <v>95</v>
          </cell>
          <cell r="AM177">
            <v>0.25557894736842107</v>
          </cell>
          <cell r="AN177">
            <v>108.08</v>
          </cell>
          <cell r="AO177">
            <v>121.16</v>
          </cell>
          <cell r="AP177">
            <v>134.24</v>
          </cell>
          <cell r="AQ177">
            <v>0</v>
          </cell>
          <cell r="AS177">
            <v>210</v>
          </cell>
        </row>
        <row r="178">
          <cell r="B178" t="str">
            <v>AC</v>
          </cell>
          <cell r="C178" t="str">
            <v>DOM</v>
          </cell>
          <cell r="D178" t="str">
            <v>DOM</v>
          </cell>
          <cell r="E178" t="str">
            <v>P3</v>
          </cell>
          <cell r="F178">
            <v>39990</v>
          </cell>
          <cell r="G178">
            <v>40001</v>
          </cell>
          <cell r="H178" t="str">
            <v>7671000285</v>
          </cell>
          <cell r="I178" t="str">
            <v>6KMADUAD505_N</v>
          </cell>
          <cell r="J178">
            <v>0</v>
          </cell>
          <cell r="K178" t="str">
            <v>X-Rite DTP34 Densitometer</v>
          </cell>
          <cell r="L178">
            <v>1595</v>
          </cell>
          <cell r="M178">
            <v>77</v>
          </cell>
          <cell r="N178">
            <v>1056</v>
          </cell>
          <cell r="O178">
            <v>0.20555555555555555</v>
          </cell>
          <cell r="P178">
            <v>100.8</v>
          </cell>
          <cell r="Q178">
            <v>81.62</v>
          </cell>
          <cell r="R178">
            <v>92.23</v>
          </cell>
          <cell r="S178">
            <v>126</v>
          </cell>
          <cell r="T178">
            <v>0.36444444444444446</v>
          </cell>
          <cell r="U178">
            <v>97.574399999999997</v>
          </cell>
          <cell r="V178">
            <v>0.17929292929292928</v>
          </cell>
          <cell r="W178">
            <v>897.6</v>
          </cell>
          <cell r="X178">
            <v>0.79999999999999993</v>
          </cell>
          <cell r="Y178">
            <v>0</v>
          </cell>
          <cell r="Z178">
            <v>0</v>
          </cell>
          <cell r="AA178">
            <v>122</v>
          </cell>
          <cell r="AB178">
            <v>898</v>
          </cell>
          <cell r="AC178">
            <v>998</v>
          </cell>
          <cell r="AD178">
            <v>1054</v>
          </cell>
          <cell r="AE178">
            <v>1108.1500000000001</v>
          </cell>
          <cell r="AF178">
            <v>0.19000135360736367</v>
          </cell>
          <cell r="AG178">
            <v>4.7060416008663168E-2</v>
          </cell>
          <cell r="AH178">
            <v>1131</v>
          </cell>
          <cell r="AI178">
            <v>1153</v>
          </cell>
          <cell r="AJ178">
            <v>0.22150910667823068</v>
          </cell>
          <cell r="AK178">
            <v>1175</v>
          </cell>
          <cell r="AL178">
            <v>1197</v>
          </cell>
          <cell r="AM178">
            <v>0.25012531328320803</v>
          </cell>
          <cell r="AN178">
            <v>1296.5</v>
          </cell>
          <cell r="AO178">
            <v>1396</v>
          </cell>
          <cell r="AP178">
            <v>1495.5</v>
          </cell>
          <cell r="AQ178">
            <v>0</v>
          </cell>
          <cell r="AS178">
            <v>1595</v>
          </cell>
        </row>
        <row r="179">
          <cell r="B179" t="str">
            <v>AC</v>
          </cell>
          <cell r="C179" t="str">
            <v>DOM</v>
          </cell>
          <cell r="D179" t="str">
            <v>DOM</v>
          </cell>
          <cell r="E179" t="str">
            <v>P3</v>
          </cell>
          <cell r="F179">
            <v>39990</v>
          </cell>
          <cell r="G179">
            <v>40001</v>
          </cell>
          <cell r="H179" t="str">
            <v>7675000017</v>
          </cell>
          <cell r="I179" t="str">
            <v>3KMHMB502</v>
          </cell>
          <cell r="J179">
            <v>0</v>
          </cell>
          <cell r="K179" t="str">
            <v>Intermate 100 with no IBM Support (LAN Environment)</v>
          </cell>
          <cell r="L179">
            <v>614</v>
          </cell>
          <cell r="M179">
            <v>51</v>
          </cell>
          <cell r="N179">
            <v>332</v>
          </cell>
          <cell r="O179">
            <v>0.21071428571428577</v>
          </cell>
          <cell r="P179">
            <v>67.2</v>
          </cell>
          <cell r="Q179">
            <v>54.06</v>
          </cell>
          <cell r="R179">
            <v>61.09</v>
          </cell>
          <cell r="S179">
            <v>84</v>
          </cell>
          <cell r="T179">
            <v>0.36857142857142861</v>
          </cell>
          <cell r="U179">
            <v>65.049599999999998</v>
          </cell>
          <cell r="V179">
            <v>0.18462219598583235</v>
          </cell>
          <cell r="W179">
            <v>282.2</v>
          </cell>
          <cell r="X179">
            <v>0.8</v>
          </cell>
          <cell r="Y179">
            <v>0</v>
          </cell>
          <cell r="Z179">
            <v>0</v>
          </cell>
          <cell r="AA179">
            <v>81</v>
          </cell>
          <cell r="AB179">
            <v>283</v>
          </cell>
          <cell r="AC179">
            <v>314</v>
          </cell>
          <cell r="AD179">
            <v>332</v>
          </cell>
          <cell r="AE179">
            <v>348.4</v>
          </cell>
          <cell r="AF179">
            <v>0.19001148105625715</v>
          </cell>
          <cell r="AG179">
            <v>4.7072330654420146E-2</v>
          </cell>
          <cell r="AH179">
            <v>356</v>
          </cell>
          <cell r="AI179">
            <v>363</v>
          </cell>
          <cell r="AJ179">
            <v>0.22258953168044079</v>
          </cell>
          <cell r="AK179">
            <v>370</v>
          </cell>
          <cell r="AL179">
            <v>377</v>
          </cell>
          <cell r="AM179">
            <v>0.25145888594164462</v>
          </cell>
          <cell r="AN179">
            <v>429.73</v>
          </cell>
          <cell r="AO179">
            <v>482.46</v>
          </cell>
          <cell r="AP179">
            <v>535.19000000000005</v>
          </cell>
          <cell r="AQ179">
            <v>0</v>
          </cell>
          <cell r="AS179">
            <v>614</v>
          </cell>
        </row>
        <row r="180">
          <cell r="B180" t="str">
            <v>AC</v>
          </cell>
          <cell r="C180" t="str">
            <v>DOM</v>
          </cell>
          <cell r="D180" t="str">
            <v>DOM</v>
          </cell>
          <cell r="E180" t="str">
            <v>P3</v>
          </cell>
          <cell r="F180">
            <v>39990</v>
          </cell>
          <cell r="G180">
            <v>40001</v>
          </cell>
          <cell r="H180" t="str">
            <v>7675000018</v>
          </cell>
          <cell r="I180" t="str">
            <v>3KMHOC508</v>
          </cell>
          <cell r="J180">
            <v>0</v>
          </cell>
          <cell r="K180" t="str">
            <v>Intermate 500 (Parallel Interface, Token Ring Connectivity)</v>
          </cell>
          <cell r="L180">
            <v>1083</v>
          </cell>
          <cell r="M180">
            <v>29</v>
          </cell>
          <cell r="N180">
            <v>898</v>
          </cell>
          <cell r="O180">
            <v>0.17864923747276684</v>
          </cell>
          <cell r="P180">
            <v>36.72</v>
          </cell>
          <cell r="Q180">
            <v>30.74</v>
          </cell>
          <cell r="R180">
            <v>34.74</v>
          </cell>
          <cell r="S180">
            <v>45.9</v>
          </cell>
          <cell r="T180">
            <v>0.34291938997821347</v>
          </cell>
          <cell r="U180">
            <v>35.544959999999996</v>
          </cell>
          <cell r="V180">
            <v>0.15149714614955248</v>
          </cell>
          <cell r="W180">
            <v>763.3</v>
          </cell>
          <cell r="X180">
            <v>0.8</v>
          </cell>
          <cell r="Y180">
            <v>0</v>
          </cell>
          <cell r="Z180">
            <v>0</v>
          </cell>
          <cell r="AA180">
            <v>44</v>
          </cell>
          <cell r="AB180">
            <v>764</v>
          </cell>
          <cell r="AC180">
            <v>849</v>
          </cell>
          <cell r="AD180">
            <v>896</v>
          </cell>
          <cell r="AE180">
            <v>942.35</v>
          </cell>
          <cell r="AF180">
            <v>0.190003714118958</v>
          </cell>
          <cell r="AG180">
            <v>4.706319308112699E-2</v>
          </cell>
          <cell r="AH180">
            <v>962</v>
          </cell>
          <cell r="AI180">
            <v>981</v>
          </cell>
          <cell r="AJ180">
            <v>0.22191641182466876</v>
          </cell>
          <cell r="AK180">
            <v>999.5</v>
          </cell>
          <cell r="AL180">
            <v>1018</v>
          </cell>
          <cell r="AM180">
            <v>0.25019646365422399</v>
          </cell>
          <cell r="AN180">
            <v>1034.25</v>
          </cell>
          <cell r="AO180">
            <v>1050.5</v>
          </cell>
          <cell r="AP180">
            <v>1066.75</v>
          </cell>
          <cell r="AQ180">
            <v>0</v>
          </cell>
          <cell r="AS180">
            <v>1083</v>
          </cell>
        </row>
        <row r="181">
          <cell r="B181" t="str">
            <v>AC</v>
          </cell>
          <cell r="C181" t="str">
            <v>DOM</v>
          </cell>
          <cell r="D181" t="str">
            <v>DOM</v>
          </cell>
          <cell r="E181" t="str">
            <v>P3</v>
          </cell>
          <cell r="F181">
            <v>39990</v>
          </cell>
          <cell r="G181">
            <v>40001</v>
          </cell>
          <cell r="H181" t="str">
            <v>7675000020</v>
          </cell>
          <cell r="I181" t="str">
            <v>7KMRADFDF612_N</v>
          </cell>
          <cell r="J181">
            <v>0</v>
          </cell>
          <cell r="K181" t="str">
            <v>Intermate 100U (UNIX Support)</v>
          </cell>
          <cell r="L181">
            <v>993</v>
          </cell>
          <cell r="M181">
            <v>479</v>
          </cell>
          <cell r="N181">
            <v>399</v>
          </cell>
          <cell r="O181">
            <v>0.20926984126984122</v>
          </cell>
          <cell r="P181">
            <v>630</v>
          </cell>
          <cell r="Q181">
            <v>507.74</v>
          </cell>
          <cell r="R181">
            <v>573.75</v>
          </cell>
          <cell r="S181">
            <v>787.5</v>
          </cell>
          <cell r="T181">
            <v>0.36741587301587297</v>
          </cell>
          <cell r="U181">
            <v>609.84</v>
          </cell>
          <cell r="V181">
            <v>0.1831300013118195</v>
          </cell>
          <cell r="W181">
            <v>339.15</v>
          </cell>
          <cell r="X181">
            <v>0.8</v>
          </cell>
          <cell r="Y181">
            <v>0</v>
          </cell>
          <cell r="Z181">
            <v>0</v>
          </cell>
          <cell r="AA181">
            <v>762</v>
          </cell>
          <cell r="AB181">
            <v>340</v>
          </cell>
          <cell r="AC181">
            <v>377</v>
          </cell>
          <cell r="AD181">
            <v>398</v>
          </cell>
          <cell r="AE181">
            <v>418.7</v>
          </cell>
          <cell r="AF181">
            <v>0.18999283496536903</v>
          </cell>
          <cell r="AG181">
            <v>4.7050394076904679E-2</v>
          </cell>
          <cell r="AH181">
            <v>428</v>
          </cell>
          <cell r="AI181">
            <v>436</v>
          </cell>
          <cell r="AJ181">
            <v>0.22213302752293584</v>
          </cell>
          <cell r="AK181">
            <v>444.5</v>
          </cell>
          <cell r="AL181">
            <v>453</v>
          </cell>
          <cell r="AM181">
            <v>0.25132450331125833</v>
          </cell>
          <cell r="AN181">
            <v>516.39</v>
          </cell>
          <cell r="AO181">
            <v>579.78</v>
          </cell>
          <cell r="AP181">
            <v>643.16999999999996</v>
          </cell>
          <cell r="AQ181">
            <v>0</v>
          </cell>
          <cell r="AS181">
            <v>993</v>
          </cell>
        </row>
        <row r="182">
          <cell r="B182" t="str">
            <v>AC</v>
          </cell>
          <cell r="C182" t="str">
            <v>DOM</v>
          </cell>
          <cell r="D182" t="str">
            <v>DOM</v>
          </cell>
          <cell r="E182" t="str">
            <v>P3</v>
          </cell>
          <cell r="F182">
            <v>39990</v>
          </cell>
          <cell r="G182">
            <v>40001</v>
          </cell>
          <cell r="H182" t="str">
            <v>7675000021</v>
          </cell>
          <cell r="I182" t="str">
            <v>3KMKFK507</v>
          </cell>
          <cell r="J182">
            <v>0</v>
          </cell>
          <cell r="K182" t="str">
            <v>Intermate 100A (AS/400, SCS/IPDS)</v>
          </cell>
          <cell r="L182">
            <v>1115</v>
          </cell>
          <cell r="M182">
            <v>357</v>
          </cell>
          <cell r="N182">
            <v>688</v>
          </cell>
          <cell r="O182">
            <v>0.26890359168241956</v>
          </cell>
          <cell r="P182">
            <v>507.84</v>
          </cell>
          <cell r="Q182">
            <v>378.42</v>
          </cell>
          <cell r="R182">
            <v>427.61</v>
          </cell>
          <cell r="S182">
            <v>634.79999999999995</v>
          </cell>
          <cell r="T182">
            <v>0.41512287334593562</v>
          </cell>
          <cell r="U182">
            <v>491.58911999999992</v>
          </cell>
          <cell r="V182">
            <v>0.24473511537440029</v>
          </cell>
          <cell r="W182">
            <v>584.79999999999995</v>
          </cell>
          <cell r="X182">
            <v>0.8</v>
          </cell>
          <cell r="Y182">
            <v>0</v>
          </cell>
          <cell r="Z182">
            <v>0</v>
          </cell>
          <cell r="AA182">
            <v>614</v>
          </cell>
          <cell r="AB182">
            <v>585</v>
          </cell>
          <cell r="AC182">
            <v>650</v>
          </cell>
          <cell r="AD182">
            <v>686</v>
          </cell>
          <cell r="AE182">
            <v>721.98</v>
          </cell>
          <cell r="AF182">
            <v>0.19000526330369272</v>
          </cell>
          <cell r="AG182">
            <v>4.7065015651403107E-2</v>
          </cell>
          <cell r="AH182">
            <v>737</v>
          </cell>
          <cell r="AI182">
            <v>751</v>
          </cell>
          <cell r="AJ182">
            <v>0.22130492676431432</v>
          </cell>
          <cell r="AK182">
            <v>765.5</v>
          </cell>
          <cell r="AL182">
            <v>780</v>
          </cell>
          <cell r="AM182">
            <v>0.25025641025641032</v>
          </cell>
          <cell r="AN182">
            <v>863.75</v>
          </cell>
          <cell r="AO182">
            <v>947.5</v>
          </cell>
          <cell r="AP182">
            <v>1031.25</v>
          </cell>
          <cell r="AQ182">
            <v>0</v>
          </cell>
          <cell r="AS182">
            <v>1115</v>
          </cell>
        </row>
        <row r="183">
          <cell r="B183" t="str">
            <v>AC</v>
          </cell>
          <cell r="C183" t="str">
            <v>DOM</v>
          </cell>
          <cell r="D183" t="str">
            <v>DOM</v>
          </cell>
          <cell r="E183" t="str">
            <v>P3</v>
          </cell>
          <cell r="F183">
            <v>39990</v>
          </cell>
          <cell r="G183">
            <v>40001</v>
          </cell>
          <cell r="H183" t="str">
            <v>7640002566P</v>
          </cell>
          <cell r="I183" t="str">
            <v>3KMKML504</v>
          </cell>
          <cell r="J183">
            <v>0</v>
          </cell>
          <cell r="K183" t="str">
            <v>Attachment Kit for FS-603 Booklet Finisher</v>
          </cell>
          <cell r="L183">
            <v>15</v>
          </cell>
          <cell r="M183">
            <v>6.93</v>
          </cell>
          <cell r="N183">
            <v>7.1379000000000001</v>
          </cell>
          <cell r="O183">
            <v>-0.17647058823529413</v>
          </cell>
          <cell r="P183">
            <v>6.067215</v>
          </cell>
          <cell r="Q183">
            <v>7.35</v>
          </cell>
          <cell r="R183">
            <v>8.31</v>
          </cell>
          <cell r="S183">
            <v>535</v>
          </cell>
          <cell r="T183">
            <v>0.98665813084112164</v>
          </cell>
          <cell r="U183">
            <v>414.30399999999997</v>
          </cell>
          <cell r="V183">
            <v>0.98277134664401022</v>
          </cell>
          <cell r="W183">
            <v>6.067215</v>
          </cell>
          <cell r="X183">
            <v>0.8</v>
          </cell>
          <cell r="Y183">
            <v>0</v>
          </cell>
          <cell r="Z183">
            <v>0</v>
          </cell>
          <cell r="AA183">
            <v>608</v>
          </cell>
          <cell r="AB183">
            <v>7</v>
          </cell>
          <cell r="AC183">
            <v>7</v>
          </cell>
          <cell r="AD183">
            <v>8</v>
          </cell>
          <cell r="AE183">
            <v>7.49</v>
          </cell>
          <cell r="AF183">
            <v>0.18995794392523366</v>
          </cell>
          <cell r="AG183">
            <v>4.7009345794392532E-2</v>
          </cell>
          <cell r="AH183">
            <v>9</v>
          </cell>
          <cell r="AI183">
            <v>9</v>
          </cell>
          <cell r="AJ183">
            <v>0.32586500000000002</v>
          </cell>
          <cell r="AK183">
            <v>9</v>
          </cell>
          <cell r="AL183">
            <v>9</v>
          </cell>
          <cell r="AM183">
            <v>0.32586500000000002</v>
          </cell>
          <cell r="AN183">
            <v>9.91</v>
          </cell>
          <cell r="AO183">
            <v>10.82</v>
          </cell>
          <cell r="AP183">
            <v>11.73</v>
          </cell>
          <cell r="AQ183">
            <v>0</v>
          </cell>
          <cell r="AS183">
            <v>15</v>
          </cell>
        </row>
        <row r="184">
          <cell r="B184" t="str">
            <v>AC</v>
          </cell>
          <cell r="C184" t="str">
            <v>DOM</v>
          </cell>
          <cell r="D184" t="str">
            <v>DOM</v>
          </cell>
          <cell r="E184" t="str">
            <v>DNU</v>
          </cell>
          <cell r="F184">
            <v>39996</v>
          </cell>
          <cell r="G184">
            <v>40001</v>
          </cell>
          <cell r="H184" t="str">
            <v>7640005067</v>
          </cell>
          <cell r="I184" t="str">
            <v>3KMH7640004612</v>
          </cell>
          <cell r="J184">
            <v>0</v>
          </cell>
          <cell r="K184" t="str">
            <v>EFI Impose 2.7 for IC-408</v>
          </cell>
          <cell r="L184">
            <v>2500</v>
          </cell>
          <cell r="M184">
            <v>1250</v>
          </cell>
          <cell r="N184">
            <v>1287.5</v>
          </cell>
          <cell r="O184">
            <v>9.6153846153846159E-3</v>
          </cell>
          <cell r="P184">
            <v>1300</v>
          </cell>
          <cell r="Q184">
            <v>1325</v>
          </cell>
          <cell r="R184">
            <v>1497.25</v>
          </cell>
          <cell r="S184">
            <v>1625</v>
          </cell>
          <cell r="T184">
            <v>0.2076923076923077</v>
          </cell>
          <cell r="U184">
            <v>1397.5</v>
          </cell>
          <cell r="V184">
            <v>7.8711985688729877E-2</v>
          </cell>
          <cell r="W184">
            <v>1300</v>
          </cell>
          <cell r="X184">
            <v>0.8</v>
          </cell>
          <cell r="Y184">
            <v>0</v>
          </cell>
          <cell r="Z184">
            <v>0</v>
          </cell>
          <cell r="AA184">
            <v>1573</v>
          </cell>
          <cell r="AB184">
            <v>1300</v>
          </cell>
          <cell r="AC184">
            <v>1445</v>
          </cell>
          <cell r="AD184">
            <v>1525</v>
          </cell>
          <cell r="AE184">
            <v>1604.94</v>
          </cell>
          <cell r="AF184">
            <v>0.19000087230675292</v>
          </cell>
          <cell r="AG184">
            <v>0.19778932545764955</v>
          </cell>
          <cell r="AH184">
            <v>1785</v>
          </cell>
          <cell r="AI184">
            <v>1964</v>
          </cell>
          <cell r="AJ184">
            <v>0.3380855397148676</v>
          </cell>
          <cell r="AK184">
            <v>2143</v>
          </cell>
          <cell r="AL184">
            <v>2322</v>
          </cell>
          <cell r="AM184">
            <v>0.44013781223083548</v>
          </cell>
          <cell r="AN184">
            <v>2366.5</v>
          </cell>
          <cell r="AO184">
            <v>2411</v>
          </cell>
          <cell r="AP184">
            <v>2455.5</v>
          </cell>
          <cell r="AQ184">
            <v>0</v>
          </cell>
          <cell r="AS184">
            <v>2500</v>
          </cell>
        </row>
        <row r="185">
          <cell r="B185" t="str">
            <v>AC</v>
          </cell>
          <cell r="C185" t="str">
            <v>DOM</v>
          </cell>
          <cell r="D185" t="str">
            <v>DOM</v>
          </cell>
          <cell r="E185" t="str">
            <v>08</v>
          </cell>
          <cell r="F185">
            <v>40037</v>
          </cell>
          <cell r="G185">
            <v>40037</v>
          </cell>
          <cell r="H185" t="str">
            <v>7640008110</v>
          </cell>
          <cell r="I185" t="str">
            <v>3KMM128MBCMU</v>
          </cell>
          <cell r="J185" t="str">
            <v>MX7640008110KMUS</v>
          </cell>
          <cell r="K185" t="str">
            <v>128 MB Controller Memory (161F Only)</v>
          </cell>
          <cell r="L185">
            <v>97</v>
          </cell>
          <cell r="M185">
            <v>41.25</v>
          </cell>
          <cell r="N185">
            <v>42.487500000000004</v>
          </cell>
          <cell r="O185">
            <v>5.6671847246891539E-2</v>
          </cell>
          <cell r="P185">
            <v>45.04</v>
          </cell>
          <cell r="Q185">
            <v>43.73</v>
          </cell>
          <cell r="R185">
            <v>49.41</v>
          </cell>
          <cell r="S185">
            <v>56.3</v>
          </cell>
          <cell r="T185">
            <v>0.24533747779751322</v>
          </cell>
          <cell r="U185">
            <v>48.417999999999999</v>
          </cell>
          <cell r="V185">
            <v>0.12248543929943399</v>
          </cell>
          <cell r="W185">
            <v>45.04</v>
          </cell>
          <cell r="X185">
            <v>0.8</v>
          </cell>
          <cell r="Y185">
            <v>0</v>
          </cell>
          <cell r="Z185">
            <v>0</v>
          </cell>
          <cell r="AA185">
            <v>54</v>
          </cell>
          <cell r="AB185">
            <v>46</v>
          </cell>
          <cell r="AC185">
            <v>51</v>
          </cell>
          <cell r="AD185">
            <v>54</v>
          </cell>
          <cell r="AE185">
            <v>55.6</v>
          </cell>
          <cell r="AF185">
            <v>0.18992805755395686</v>
          </cell>
          <cell r="AG185">
            <v>0.23583633093525175</v>
          </cell>
          <cell r="AH185">
            <v>63</v>
          </cell>
          <cell r="AI185">
            <v>69</v>
          </cell>
          <cell r="AJ185">
            <v>0.3472463768115942</v>
          </cell>
          <cell r="AK185">
            <v>75</v>
          </cell>
          <cell r="AL185">
            <v>81</v>
          </cell>
          <cell r="AM185">
            <v>0.44395061728395063</v>
          </cell>
          <cell r="AN185">
            <v>85</v>
          </cell>
          <cell r="AO185">
            <v>89</v>
          </cell>
          <cell r="AP185">
            <v>93</v>
          </cell>
          <cell r="AQ185">
            <v>0</v>
          </cell>
          <cell r="AS185">
            <v>97</v>
          </cell>
        </row>
        <row r="186">
          <cell r="B186" t="str">
            <v>AC</v>
          </cell>
          <cell r="C186" t="str">
            <v>DOM</v>
          </cell>
          <cell r="D186" t="str">
            <v>DOM</v>
          </cell>
          <cell r="E186" t="str">
            <v>08</v>
          </cell>
          <cell r="F186">
            <v>40093</v>
          </cell>
          <cell r="G186">
            <v>40093</v>
          </cell>
          <cell r="H186" t="str">
            <v>7640008394</v>
          </cell>
          <cell r="I186" t="str">
            <v>3KMH7640008394</v>
          </cell>
          <cell r="J186" t="str">
            <v>IN BOTH MFP &amp; SOL</v>
          </cell>
          <cell r="K186" t="str">
            <v>AU-202H iClass Card Reader</v>
          </cell>
          <cell r="L186">
            <v>449</v>
          </cell>
          <cell r="M186">
            <v>130.58000000000001</v>
          </cell>
          <cell r="N186">
            <v>134.49740000000003</v>
          </cell>
          <cell r="O186">
            <v>0.32751299999999989</v>
          </cell>
          <cell r="P186">
            <v>200</v>
          </cell>
          <cell r="Q186">
            <v>138.41</v>
          </cell>
          <cell r="R186">
            <v>156.4</v>
          </cell>
          <cell r="S186">
            <v>250</v>
          </cell>
          <cell r="T186">
            <v>0.46201039999999988</v>
          </cell>
          <cell r="U186">
            <v>193.6</v>
          </cell>
          <cell r="V186">
            <v>0.30528202479338828</v>
          </cell>
          <cell r="W186">
            <v>200</v>
          </cell>
          <cell r="X186">
            <v>0.8</v>
          </cell>
          <cell r="Y186">
            <v>0</v>
          </cell>
          <cell r="Z186">
            <v>0</v>
          </cell>
          <cell r="AA186">
            <v>242</v>
          </cell>
          <cell r="AB186">
            <v>200</v>
          </cell>
          <cell r="AC186">
            <v>223</v>
          </cell>
          <cell r="AD186">
            <v>235</v>
          </cell>
          <cell r="AE186">
            <v>246.91</v>
          </cell>
          <cell r="AF186">
            <v>0.18998825482969503</v>
          </cell>
          <cell r="AG186">
            <v>0.45527763152565698</v>
          </cell>
          <cell r="AH186">
            <v>275</v>
          </cell>
          <cell r="AI186">
            <v>303</v>
          </cell>
          <cell r="AJ186">
            <v>0.33993399339933994</v>
          </cell>
          <cell r="AK186">
            <v>330.5</v>
          </cell>
          <cell r="AL186">
            <v>358</v>
          </cell>
          <cell r="AM186">
            <v>0.44134078212290501</v>
          </cell>
          <cell r="AN186">
            <v>380.75</v>
          </cell>
          <cell r="AO186">
            <v>403.5</v>
          </cell>
          <cell r="AP186">
            <v>426.25</v>
          </cell>
          <cell r="AQ186">
            <v>0</v>
          </cell>
          <cell r="AS186">
            <v>449</v>
          </cell>
        </row>
        <row r="187">
          <cell r="B187" t="str">
            <v>AC</v>
          </cell>
          <cell r="C187" t="str">
            <v>DOM</v>
          </cell>
          <cell r="D187" t="str">
            <v>DOM</v>
          </cell>
          <cell r="E187" t="str">
            <v>08</v>
          </cell>
          <cell r="F187">
            <v>40098</v>
          </cell>
          <cell r="G187">
            <v>40259</v>
          </cell>
          <cell r="H187" t="str">
            <v>7640008304</v>
          </cell>
          <cell r="I187" t="str">
            <v>3KMH7640008304</v>
          </cell>
          <cell r="J187">
            <v>0</v>
          </cell>
          <cell r="K187" t="str">
            <v>ESP MSF120M12Y 3 Phase Power Filter for Kodak EX Series</v>
          </cell>
          <cell r="L187">
            <v>4995</v>
          </cell>
          <cell r="M187">
            <v>2495</v>
          </cell>
          <cell r="N187">
            <v>2569.85</v>
          </cell>
          <cell r="O187">
            <v>0.10769097222222225</v>
          </cell>
          <cell r="P187">
            <v>2880</v>
          </cell>
          <cell r="Q187">
            <v>2644.7</v>
          </cell>
          <cell r="R187">
            <v>2988.51</v>
          </cell>
          <cell r="S187">
            <v>3600</v>
          </cell>
          <cell r="T187">
            <v>0.28615277777777781</v>
          </cell>
          <cell r="U187">
            <v>2787.84</v>
          </cell>
          <cell r="V187">
            <v>7.8193153122130474E-2</v>
          </cell>
          <cell r="W187">
            <v>2880</v>
          </cell>
          <cell r="X187">
            <v>0.8</v>
          </cell>
          <cell r="Y187">
            <v>0</v>
          </cell>
          <cell r="Z187">
            <v>0</v>
          </cell>
          <cell r="AA187">
            <v>3484</v>
          </cell>
          <cell r="AB187">
            <v>2880</v>
          </cell>
          <cell r="AC187">
            <v>3200</v>
          </cell>
          <cell r="AD187">
            <v>3378</v>
          </cell>
          <cell r="AE187">
            <v>3555.56</v>
          </cell>
          <cell r="AF187">
            <v>0.19000101249873436</v>
          </cell>
          <cell r="AG187">
            <v>0.27723059096176134</v>
          </cell>
          <cell r="AH187">
            <v>3916</v>
          </cell>
          <cell r="AI187">
            <v>4276</v>
          </cell>
          <cell r="AJ187">
            <v>0.32647333956969132</v>
          </cell>
          <cell r="AK187">
            <v>4635.5</v>
          </cell>
          <cell r="AL187">
            <v>4995</v>
          </cell>
          <cell r="AM187">
            <v>0.42342342342342343</v>
          </cell>
          <cell r="AN187">
            <v>4995</v>
          </cell>
          <cell r="AO187">
            <v>4995</v>
          </cell>
          <cell r="AP187">
            <v>4995</v>
          </cell>
          <cell r="AQ187">
            <v>0</v>
          </cell>
          <cell r="AS187">
            <v>4995</v>
          </cell>
        </row>
        <row r="188">
          <cell r="B188" t="str">
            <v>AC</v>
          </cell>
          <cell r="C188" t="str">
            <v>DOM</v>
          </cell>
          <cell r="D188" t="str">
            <v>DOM</v>
          </cell>
          <cell r="E188" t="str">
            <v>08</v>
          </cell>
          <cell r="F188">
            <v>40098</v>
          </cell>
          <cell r="G188">
            <v>40098</v>
          </cell>
          <cell r="H188" t="str">
            <v>7640008387</v>
          </cell>
          <cell r="I188" t="str">
            <v>3KMH7640008387</v>
          </cell>
          <cell r="J188">
            <v>0</v>
          </cell>
          <cell r="K188" t="str">
            <v>ESP PT80-120TM-L630 Power Filter</v>
          </cell>
          <cell r="L188">
            <v>2295</v>
          </cell>
          <cell r="M188">
            <v>1450</v>
          </cell>
          <cell r="N188">
            <v>1493.5</v>
          </cell>
          <cell r="O188">
            <v>0</v>
          </cell>
          <cell r="P188">
            <v>1493.5</v>
          </cell>
          <cell r="Q188">
            <v>1537</v>
          </cell>
          <cell r="R188">
            <v>1736.81</v>
          </cell>
          <cell r="S188">
            <v>1850</v>
          </cell>
          <cell r="T188">
            <v>0.19270270270270271</v>
          </cell>
          <cell r="U188">
            <v>1591</v>
          </cell>
          <cell r="V188">
            <v>6.1282212445003141E-2</v>
          </cell>
          <cell r="W188">
            <v>1493.5</v>
          </cell>
          <cell r="X188">
            <v>0.80729729729729727</v>
          </cell>
          <cell r="Y188">
            <v>0</v>
          </cell>
          <cell r="Z188">
            <v>0</v>
          </cell>
          <cell r="AA188">
            <v>1807</v>
          </cell>
          <cell r="AB188">
            <v>1494</v>
          </cell>
          <cell r="AC188">
            <v>1660</v>
          </cell>
          <cell r="AD188">
            <v>1752</v>
          </cell>
          <cell r="AE188">
            <v>1843.83</v>
          </cell>
          <cell r="AF188">
            <v>0.19000124740350247</v>
          </cell>
          <cell r="AG188">
            <v>0.19000124740350247</v>
          </cell>
          <cell r="AH188">
            <v>2070</v>
          </cell>
          <cell r="AI188">
            <v>2295</v>
          </cell>
          <cell r="AJ188">
            <v>0.34923747276688455</v>
          </cell>
          <cell r="AK188">
            <v>2295</v>
          </cell>
          <cell r="AL188">
            <v>2295</v>
          </cell>
          <cell r="AM188">
            <v>0.34923747276688455</v>
          </cell>
          <cell r="AN188">
            <v>2295</v>
          </cell>
          <cell r="AO188">
            <v>2295</v>
          </cell>
          <cell r="AP188">
            <v>2295</v>
          </cell>
          <cell r="AQ188">
            <v>0</v>
          </cell>
          <cell r="AS188">
            <v>2295</v>
          </cell>
        </row>
        <row r="189">
          <cell r="B189" t="str">
            <v>AC</v>
          </cell>
          <cell r="C189" t="str">
            <v>DOM</v>
          </cell>
          <cell r="D189" t="str">
            <v>DOM</v>
          </cell>
          <cell r="E189" t="str">
            <v>08</v>
          </cell>
          <cell r="F189">
            <v>40135</v>
          </cell>
          <cell r="G189">
            <v>40135</v>
          </cell>
          <cell r="H189" t="str">
            <v>7640008435</v>
          </cell>
          <cell r="I189" t="str">
            <v>3KMHHD509HDD</v>
          </cell>
          <cell r="J189" t="str">
            <v>DNU</v>
          </cell>
          <cell r="K189" t="str">
            <v>HD-509 Hard Disk Kit (MXI-120GB)</v>
          </cell>
          <cell r="L189">
            <v>893</v>
          </cell>
          <cell r="M189">
            <v>141</v>
          </cell>
          <cell r="N189">
            <v>145.22999999999999</v>
          </cell>
          <cell r="O189">
            <v>0.64320459905660388</v>
          </cell>
          <cell r="P189">
            <v>407.04</v>
          </cell>
          <cell r="Q189">
            <v>149.46</v>
          </cell>
          <cell r="R189">
            <v>168.89</v>
          </cell>
          <cell r="S189">
            <v>508.8</v>
          </cell>
          <cell r="T189">
            <v>0.71456367924528308</v>
          </cell>
          <cell r="U189">
            <v>394.01472000000001</v>
          </cell>
          <cell r="V189">
            <v>0.63140970976921884</v>
          </cell>
          <cell r="W189">
            <v>407.04</v>
          </cell>
          <cell r="X189">
            <v>0.8</v>
          </cell>
          <cell r="Y189">
            <v>0</v>
          </cell>
          <cell r="Z189">
            <v>0</v>
          </cell>
          <cell r="AA189">
            <v>492</v>
          </cell>
          <cell r="AB189">
            <v>408</v>
          </cell>
          <cell r="AC189">
            <v>453</v>
          </cell>
          <cell r="AD189">
            <v>478</v>
          </cell>
          <cell r="AE189">
            <v>502.52</v>
          </cell>
          <cell r="AF189">
            <v>0.19000238796465804</v>
          </cell>
          <cell r="AG189">
            <v>0.71099657725065668</v>
          </cell>
          <cell r="AH189">
            <v>559</v>
          </cell>
          <cell r="AI189">
            <v>615</v>
          </cell>
          <cell r="AJ189">
            <v>0.3381463414634146</v>
          </cell>
          <cell r="AK189">
            <v>671</v>
          </cell>
          <cell r="AL189">
            <v>727</v>
          </cell>
          <cell r="AM189">
            <v>0.44011004126547454</v>
          </cell>
          <cell r="AN189">
            <v>768.5</v>
          </cell>
          <cell r="AO189">
            <v>810</v>
          </cell>
          <cell r="AP189">
            <v>851.5</v>
          </cell>
          <cell r="AQ189">
            <v>0</v>
          </cell>
          <cell r="AS189">
            <v>893</v>
          </cell>
        </row>
        <row r="190">
          <cell r="B190" t="str">
            <v>AC</v>
          </cell>
          <cell r="C190" t="str">
            <v>IMP</v>
          </cell>
          <cell r="D190" t="str">
            <v>BT</v>
          </cell>
          <cell r="E190" t="str">
            <v>08</v>
          </cell>
          <cell r="F190">
            <v>39924</v>
          </cell>
          <cell r="G190">
            <v>40001</v>
          </cell>
          <cell r="H190" t="str">
            <v>A0H2WY1</v>
          </cell>
          <cell r="I190" t="str">
            <v>6KMSD506_N</v>
          </cell>
          <cell r="J190">
            <v>0</v>
          </cell>
          <cell r="K190" t="str">
            <v>SD-506 Saddle Stitch Finisher</v>
          </cell>
          <cell r="L190">
            <v>26250</v>
          </cell>
          <cell r="M190">
            <v>9384</v>
          </cell>
          <cell r="N190">
            <v>9759.36</v>
          </cell>
          <cell r="O190">
            <v>0.10078502192901634</v>
          </cell>
          <cell r="P190">
            <v>10853.2</v>
          </cell>
          <cell r="Q190">
            <v>9947.0400000000009</v>
          </cell>
          <cell r="R190">
            <v>11240.16</v>
          </cell>
          <cell r="S190">
            <v>13566.5</v>
          </cell>
          <cell r="T190">
            <v>0.28062801754321304</v>
          </cell>
          <cell r="U190">
            <v>10505.8976</v>
          </cell>
          <cell r="V190">
            <v>7.1058906951463108E-2</v>
          </cell>
          <cell r="W190">
            <v>10853.2</v>
          </cell>
          <cell r="X190">
            <v>0.8</v>
          </cell>
          <cell r="Y190">
            <v>0</v>
          </cell>
          <cell r="Z190">
            <v>0</v>
          </cell>
          <cell r="AA190">
            <v>13131</v>
          </cell>
          <cell r="AB190">
            <v>10853.2</v>
          </cell>
          <cell r="AC190">
            <v>12059.11</v>
          </cell>
          <cell r="AD190">
            <v>12729.06</v>
          </cell>
          <cell r="AE190">
            <v>13399.01</v>
          </cell>
          <cell r="AF190">
            <v>0.18999985819847881</v>
          </cell>
          <cell r="AG190">
            <v>0.27163574025245146</v>
          </cell>
          <cell r="AH190">
            <v>14894.44</v>
          </cell>
          <cell r="AI190">
            <v>16389.86</v>
          </cell>
          <cell r="AJ190">
            <v>0.33781008501597937</v>
          </cell>
          <cell r="AK190">
            <v>17885.29</v>
          </cell>
          <cell r="AL190">
            <v>19380.71</v>
          </cell>
          <cell r="AM190">
            <v>0.43999987616552744</v>
          </cell>
          <cell r="AN190">
            <v>21098.03</v>
          </cell>
          <cell r="AO190">
            <v>22815.35</v>
          </cell>
          <cell r="AP190">
            <v>24532.67</v>
          </cell>
          <cell r="AQ190">
            <v>0</v>
          </cell>
          <cell r="AS190">
            <v>26250</v>
          </cell>
        </row>
        <row r="191">
          <cell r="B191" t="str">
            <v>AC</v>
          </cell>
          <cell r="C191" t="str">
            <v>DOM</v>
          </cell>
          <cell r="D191" t="str">
            <v>EK</v>
          </cell>
          <cell r="E191" t="str">
            <v>21</v>
          </cell>
          <cell r="F191">
            <v>39924</v>
          </cell>
          <cell r="G191">
            <v>39925</v>
          </cell>
          <cell r="H191" t="str">
            <v>7640002580</v>
          </cell>
          <cell r="I191" t="str">
            <v>3KMH7640002580</v>
          </cell>
          <cell r="J191" t="str">
            <v>KCA10354</v>
          </cell>
          <cell r="K191" t="str">
            <v>Kdak Modem</v>
          </cell>
          <cell r="L191">
            <v>1009</v>
          </cell>
          <cell r="M191">
            <v>542.72</v>
          </cell>
          <cell r="N191">
            <v>559</v>
          </cell>
          <cell r="O191">
            <v>0</v>
          </cell>
          <cell r="P191">
            <v>559</v>
          </cell>
          <cell r="Q191">
            <v>575.28</v>
          </cell>
          <cell r="R191">
            <v>650.07000000000005</v>
          </cell>
          <cell r="S191">
            <v>897.8</v>
          </cell>
          <cell r="T191" t="e">
            <v>#DIV/0!</v>
          </cell>
          <cell r="U191">
            <v>695.25631999999996</v>
          </cell>
          <cell r="V191">
            <v>0.19074450125099185</v>
          </cell>
          <cell r="W191">
            <v>559</v>
          </cell>
          <cell r="X191" t="e">
            <v>#DIV/0!</v>
          </cell>
          <cell r="Y191">
            <v>0</v>
          </cell>
          <cell r="Z191">
            <v>0</v>
          </cell>
          <cell r="AA191">
            <v>660</v>
          </cell>
          <cell r="AB191">
            <v>559</v>
          </cell>
          <cell r="AC191">
            <v>589</v>
          </cell>
          <cell r="AD191">
            <v>632</v>
          </cell>
          <cell r="AE191">
            <v>673.49</v>
          </cell>
          <cell r="AF191">
            <v>0.16999510014996511</v>
          </cell>
          <cell r="AG191">
            <v>0.16999510014996511</v>
          </cell>
          <cell r="AH191">
            <v>691</v>
          </cell>
          <cell r="AI191">
            <v>708</v>
          </cell>
          <cell r="AJ191">
            <v>0.21045197740112995</v>
          </cell>
          <cell r="AK191">
            <v>724.5</v>
          </cell>
          <cell r="AL191">
            <v>741</v>
          </cell>
          <cell r="AM191">
            <v>0.24561403508771928</v>
          </cell>
          <cell r="AN191">
            <v>808</v>
          </cell>
          <cell r="AO191">
            <v>875</v>
          </cell>
          <cell r="AP191">
            <v>942</v>
          </cell>
          <cell r="AQ191">
            <v>0</v>
          </cell>
          <cell r="AS191">
            <v>1009</v>
          </cell>
        </row>
        <row r="192">
          <cell r="B192" t="str">
            <v>AC</v>
          </cell>
          <cell r="C192" t="str">
            <v>DOM</v>
          </cell>
          <cell r="D192" t="str">
            <v>EK</v>
          </cell>
          <cell r="E192" t="str">
            <v>21</v>
          </cell>
          <cell r="F192">
            <v>39924</v>
          </cell>
          <cell r="G192">
            <v>39924</v>
          </cell>
          <cell r="H192" t="str">
            <v>7640002584</v>
          </cell>
          <cell r="I192" t="str">
            <v xml:space="preserve">3HBBKCA14735   </v>
          </cell>
          <cell r="J192" t="str">
            <v>KCA14735</v>
          </cell>
          <cell r="K192" t="str">
            <v>WorkFlow Service Plan: 3YR Prepaid</v>
          </cell>
          <cell r="L192">
            <v>7366</v>
          </cell>
          <cell r="M192">
            <v>3960</v>
          </cell>
          <cell r="N192">
            <v>4078.8</v>
          </cell>
          <cell r="O192">
            <v>0</v>
          </cell>
          <cell r="P192">
            <v>4078.8</v>
          </cell>
          <cell r="Q192">
            <v>4197.6000000000004</v>
          </cell>
          <cell r="R192">
            <v>4743.29</v>
          </cell>
          <cell r="S192">
            <v>878.9</v>
          </cell>
          <cell r="T192" t="e">
            <v>#DIV/0!</v>
          </cell>
          <cell r="U192">
            <v>680.62015999999994</v>
          </cell>
          <cell r="V192">
            <v>0.17334214725582028</v>
          </cell>
          <cell r="W192">
            <v>4078.8</v>
          </cell>
          <cell r="X192" t="e">
            <v>#DIV/0!</v>
          </cell>
          <cell r="Y192">
            <v>0</v>
          </cell>
          <cell r="Z192">
            <v>0</v>
          </cell>
          <cell r="AA192">
            <v>4816</v>
          </cell>
          <cell r="AB192">
            <v>4079</v>
          </cell>
          <cell r="AC192">
            <v>4294</v>
          </cell>
          <cell r="AD192">
            <v>4605</v>
          </cell>
          <cell r="AE192">
            <v>4914.22</v>
          </cell>
          <cell r="AF192">
            <v>0.17000052907684232</v>
          </cell>
          <cell r="AG192">
            <v>0.17000052907684232</v>
          </cell>
          <cell r="AH192">
            <v>5038</v>
          </cell>
          <cell r="AI192">
            <v>5160</v>
          </cell>
          <cell r="AJ192">
            <v>0.20953488372093021</v>
          </cell>
          <cell r="AK192">
            <v>5282</v>
          </cell>
          <cell r="AL192">
            <v>5404</v>
          </cell>
          <cell r="AM192">
            <v>0.24522575869726126</v>
          </cell>
          <cell r="AN192">
            <v>5894.5</v>
          </cell>
          <cell r="AO192">
            <v>6385</v>
          </cell>
          <cell r="AP192">
            <v>6875.5</v>
          </cell>
          <cell r="AQ192">
            <v>0</v>
          </cell>
          <cell r="AS192">
            <v>7366</v>
          </cell>
        </row>
        <row r="193">
          <cell r="B193" t="str">
            <v>AC</v>
          </cell>
          <cell r="C193" t="str">
            <v>DOM</v>
          </cell>
          <cell r="D193" t="str">
            <v>EK</v>
          </cell>
          <cell r="E193" t="str">
            <v>21</v>
          </cell>
          <cell r="F193">
            <v>39924</v>
          </cell>
          <cell r="G193">
            <v>39924</v>
          </cell>
          <cell r="H193" t="str">
            <v>7640002612</v>
          </cell>
          <cell r="I193" t="str">
            <v xml:space="preserve">3HBKMICRES </v>
          </cell>
          <cell r="J193" t="str">
            <v>KN000202800</v>
          </cell>
          <cell r="K193" t="str">
            <v>MICR Station Kit, E/EX Series   (Requires MICR Sosftware License Key to Activate)</v>
          </cell>
          <cell r="L193">
            <v>6400</v>
          </cell>
          <cell r="M193">
            <v>3392</v>
          </cell>
          <cell r="N193">
            <v>3493.76</v>
          </cell>
          <cell r="O193">
            <v>0</v>
          </cell>
          <cell r="P193">
            <v>3493.76</v>
          </cell>
          <cell r="Q193">
            <v>3595.52</v>
          </cell>
          <cell r="R193">
            <v>4062.94</v>
          </cell>
          <cell r="S193">
            <v>11712.8</v>
          </cell>
          <cell r="T193" t="e">
            <v>#DIV/0!</v>
          </cell>
          <cell r="U193">
            <v>10073.008</v>
          </cell>
          <cell r="V193">
            <v>4.0453457398226964E-2</v>
          </cell>
          <cell r="W193">
            <v>3493.76</v>
          </cell>
          <cell r="X193" t="e">
            <v>#DIV/0!</v>
          </cell>
          <cell r="Y193">
            <v>0</v>
          </cell>
          <cell r="Z193">
            <v>0</v>
          </cell>
          <cell r="AA193">
            <v>4125</v>
          </cell>
          <cell r="AB193">
            <v>3494</v>
          </cell>
          <cell r="AC193">
            <v>3678</v>
          </cell>
          <cell r="AD193">
            <v>3944</v>
          </cell>
          <cell r="AE193">
            <v>4209.3500000000004</v>
          </cell>
          <cell r="AF193">
            <v>0.17000011878318508</v>
          </cell>
          <cell r="AG193">
            <v>0.17000011878318508</v>
          </cell>
          <cell r="AH193">
            <v>4325</v>
          </cell>
          <cell r="AI193">
            <v>4440</v>
          </cell>
          <cell r="AJ193">
            <v>0.21311711711711706</v>
          </cell>
          <cell r="AK193">
            <v>4554.5</v>
          </cell>
          <cell r="AL193">
            <v>4669</v>
          </cell>
          <cell r="AM193">
            <v>0.25171128721353603</v>
          </cell>
          <cell r="AN193">
            <v>5101.75</v>
          </cell>
          <cell r="AO193">
            <v>5534.5</v>
          </cell>
          <cell r="AP193">
            <v>5967.25</v>
          </cell>
          <cell r="AQ193">
            <v>0</v>
          </cell>
          <cell r="AS193">
            <v>6400</v>
          </cell>
        </row>
        <row r="194">
          <cell r="B194" t="str">
            <v>AC</v>
          </cell>
          <cell r="C194" t="str">
            <v>DOM</v>
          </cell>
          <cell r="D194" t="str">
            <v>EK</v>
          </cell>
          <cell r="E194" t="str">
            <v>21</v>
          </cell>
          <cell r="F194">
            <v>39924</v>
          </cell>
          <cell r="G194">
            <v>39924</v>
          </cell>
          <cell r="H194" t="str">
            <v>7640002621</v>
          </cell>
          <cell r="I194" t="str">
            <v>3HBBKCA13683</v>
          </cell>
          <cell r="J194" t="str">
            <v>KCA 13683</v>
          </cell>
          <cell r="K194" t="str">
            <v>License Transfer Fee (Required for ANY Unit Not Currently Serviced by Danka)</v>
          </cell>
          <cell r="L194">
            <v>8900</v>
          </cell>
          <cell r="M194">
            <v>3000</v>
          </cell>
          <cell r="N194">
            <v>3090</v>
          </cell>
          <cell r="O194">
            <v>0</v>
          </cell>
          <cell r="P194">
            <v>3090</v>
          </cell>
          <cell r="Q194">
            <v>3180</v>
          </cell>
          <cell r="R194">
            <v>3593.4</v>
          </cell>
          <cell r="S194">
            <v>8348</v>
          </cell>
          <cell r="T194" t="e">
            <v>#DIV/0!</v>
          </cell>
          <cell r="U194">
            <v>6464.6912000000002</v>
          </cell>
          <cell r="V194">
            <v>9.7497495317332344E-2</v>
          </cell>
          <cell r="W194">
            <v>3090</v>
          </cell>
          <cell r="X194" t="e">
            <v>#DIV/0!</v>
          </cell>
          <cell r="Y194">
            <v>0</v>
          </cell>
          <cell r="Z194">
            <v>0</v>
          </cell>
          <cell r="AA194">
            <v>3332</v>
          </cell>
          <cell r="AB194">
            <v>3090</v>
          </cell>
          <cell r="AC194">
            <v>3253</v>
          </cell>
          <cell r="AD194">
            <v>3327</v>
          </cell>
          <cell r="AE194">
            <v>3400</v>
          </cell>
          <cell r="AF194">
            <v>9.1176470588235289E-2</v>
          </cell>
          <cell r="AG194">
            <v>9.1176470588235289E-2</v>
          </cell>
          <cell r="AH194">
            <v>3425</v>
          </cell>
          <cell r="AI194">
            <v>3450</v>
          </cell>
          <cell r="AJ194">
            <v>0.10434782608695652</v>
          </cell>
          <cell r="AK194">
            <v>3475</v>
          </cell>
          <cell r="AL194">
            <v>3500</v>
          </cell>
          <cell r="AM194">
            <v>0.11714285714285715</v>
          </cell>
          <cell r="AN194">
            <v>3525</v>
          </cell>
          <cell r="AO194">
            <v>3550</v>
          </cell>
          <cell r="AP194">
            <v>3575</v>
          </cell>
          <cell r="AQ194">
            <v>0</v>
          </cell>
          <cell r="AR194">
            <v>250</v>
          </cell>
          <cell r="AS194">
            <v>8900</v>
          </cell>
        </row>
        <row r="195">
          <cell r="B195" t="str">
            <v>AC</v>
          </cell>
          <cell r="C195" t="str">
            <v>DOM</v>
          </cell>
          <cell r="D195" t="str">
            <v>EK</v>
          </cell>
          <cell r="E195" t="str">
            <v>21</v>
          </cell>
          <cell r="F195">
            <v>39924</v>
          </cell>
          <cell r="G195">
            <v>39924</v>
          </cell>
          <cell r="H195" t="str">
            <v>7640002625</v>
          </cell>
          <cell r="I195" t="str">
            <v>3HBKA00122_</v>
          </cell>
          <cell r="J195" t="str">
            <v>KCA00140</v>
          </cell>
          <cell r="K195" t="str">
            <v>Custom Paper: 18" Middle Drawer Kit</v>
          </cell>
          <cell r="L195">
            <v>590</v>
          </cell>
          <cell r="M195">
            <v>286.2</v>
          </cell>
          <cell r="N195">
            <v>294.79000000000002</v>
          </cell>
          <cell r="O195">
            <v>0</v>
          </cell>
          <cell r="P195">
            <v>294.79000000000002</v>
          </cell>
          <cell r="Q195">
            <v>303.38</v>
          </cell>
          <cell r="R195">
            <v>342.82</v>
          </cell>
          <cell r="S195">
            <v>149.69999999999999</v>
          </cell>
          <cell r="T195" t="e">
            <v>#DIV/0!</v>
          </cell>
          <cell r="U195">
            <v>115.92767999999998</v>
          </cell>
          <cell r="V195">
            <v>0.12980230433318404</v>
          </cell>
          <cell r="W195">
            <v>294.79000000000002</v>
          </cell>
          <cell r="X195" t="e">
            <v>#DIV/0!</v>
          </cell>
          <cell r="Y195">
            <v>0</v>
          </cell>
          <cell r="Z195">
            <v>0</v>
          </cell>
          <cell r="AA195">
            <v>348</v>
          </cell>
          <cell r="AB195">
            <v>295</v>
          </cell>
          <cell r="AC195">
            <v>311</v>
          </cell>
          <cell r="AD195">
            <v>334</v>
          </cell>
          <cell r="AE195">
            <v>355.17</v>
          </cell>
          <cell r="AF195">
            <v>0.17000309710842693</v>
          </cell>
          <cell r="AG195">
            <v>0.17000309710842693</v>
          </cell>
          <cell r="AH195">
            <v>371</v>
          </cell>
          <cell r="AI195">
            <v>386</v>
          </cell>
          <cell r="AJ195">
            <v>0.2362953367875647</v>
          </cell>
          <cell r="AK195">
            <v>401</v>
          </cell>
          <cell r="AL195">
            <v>416</v>
          </cell>
          <cell r="AM195">
            <v>0.29137019230769223</v>
          </cell>
          <cell r="AN195">
            <v>459.5</v>
          </cell>
          <cell r="AO195">
            <v>503</v>
          </cell>
          <cell r="AP195">
            <v>546.5</v>
          </cell>
          <cell r="AQ195">
            <v>0</v>
          </cell>
          <cell r="AS195">
            <v>590</v>
          </cell>
        </row>
        <row r="196">
          <cell r="B196" t="str">
            <v>AC</v>
          </cell>
          <cell r="C196" t="str">
            <v>DOM</v>
          </cell>
          <cell r="D196" t="str">
            <v>EK</v>
          </cell>
          <cell r="E196" t="str">
            <v>21</v>
          </cell>
          <cell r="F196">
            <v>39924</v>
          </cell>
          <cell r="G196">
            <v>39924</v>
          </cell>
          <cell r="H196" t="str">
            <v>7640002626</v>
          </cell>
          <cell r="I196" t="str">
            <v>3HBKKCA12053</v>
          </cell>
          <cell r="J196" t="str">
            <v>KCA12053</v>
          </cell>
          <cell r="K196" t="str">
            <v>Middle/Lower Drawer Kit (For 8.5" and 9.75 Wide Papers) This kit contains hardware to modify ONE middle and ONE Lower drawer to allow infinitely variable drawer guide adjustment, including 8.5" crosstrack. [including up to 17" intrack] Order ONE per machi</v>
          </cell>
          <cell r="L196">
            <v>1428.57</v>
          </cell>
          <cell r="M196">
            <v>742</v>
          </cell>
          <cell r="N196">
            <v>764.26</v>
          </cell>
          <cell r="O196">
            <v>0</v>
          </cell>
          <cell r="P196">
            <v>764.26</v>
          </cell>
          <cell r="Q196">
            <v>786.52</v>
          </cell>
          <cell r="R196">
            <v>888.77</v>
          </cell>
          <cell r="S196">
            <v>120.8</v>
          </cell>
          <cell r="T196" t="e">
            <v>#DIV/0!</v>
          </cell>
          <cell r="U196">
            <v>103.88799999999999</v>
          </cell>
          <cell r="V196">
            <v>7.9008162636685517E-2</v>
          </cell>
          <cell r="W196">
            <v>764.26</v>
          </cell>
          <cell r="X196" t="e">
            <v>#DIV/0!</v>
          </cell>
          <cell r="Y196">
            <v>0</v>
          </cell>
          <cell r="Z196">
            <v>0</v>
          </cell>
          <cell r="AA196">
            <v>902</v>
          </cell>
          <cell r="AB196">
            <v>765</v>
          </cell>
          <cell r="AC196">
            <v>805</v>
          </cell>
          <cell r="AD196">
            <v>863</v>
          </cell>
          <cell r="AE196">
            <v>920.8</v>
          </cell>
          <cell r="AF196">
            <v>0.17000434404865331</v>
          </cell>
          <cell r="AG196">
            <v>0.17000434404865331</v>
          </cell>
          <cell r="AH196">
            <v>950</v>
          </cell>
          <cell r="AI196">
            <v>978</v>
          </cell>
          <cell r="AJ196">
            <v>0.21854805725971371</v>
          </cell>
          <cell r="AK196">
            <v>1006</v>
          </cell>
          <cell r="AL196">
            <v>1034</v>
          </cell>
          <cell r="AM196">
            <v>0.26087040618955515</v>
          </cell>
          <cell r="AN196">
            <v>1132.6400000000001</v>
          </cell>
          <cell r="AO196">
            <v>1231.28</v>
          </cell>
          <cell r="AP196">
            <v>1329.92</v>
          </cell>
          <cell r="AQ196">
            <v>0</v>
          </cell>
          <cell r="AR196">
            <v>223</v>
          </cell>
          <cell r="AS196">
            <v>1428.57</v>
          </cell>
        </row>
        <row r="197">
          <cell r="B197" t="str">
            <v>AC</v>
          </cell>
          <cell r="C197" t="str">
            <v>DOM</v>
          </cell>
          <cell r="D197" t="str">
            <v>EK</v>
          </cell>
          <cell r="E197" t="str">
            <v>21</v>
          </cell>
          <cell r="F197">
            <v>39924</v>
          </cell>
          <cell r="G197">
            <v>39924</v>
          </cell>
          <cell r="H197" t="str">
            <v>7640002635</v>
          </cell>
          <cell r="I197" t="str">
            <v>3HBBKCA13958</v>
          </cell>
          <cell r="J197" t="str">
            <v>KCA13958</v>
          </cell>
          <cell r="K197" t="str">
            <v>Custom SW: CoXist</v>
          </cell>
          <cell r="L197">
            <v>16500</v>
          </cell>
          <cell r="M197">
            <v>11400</v>
          </cell>
          <cell r="N197">
            <v>11742</v>
          </cell>
          <cell r="O197">
            <v>0</v>
          </cell>
          <cell r="P197">
            <v>11742</v>
          </cell>
          <cell r="Q197">
            <v>12084</v>
          </cell>
          <cell r="R197">
            <v>13654.92</v>
          </cell>
          <cell r="S197">
            <v>508.8</v>
          </cell>
          <cell r="T197" t="e">
            <v>#DIV/0!</v>
          </cell>
          <cell r="U197">
            <v>394.01472000000001</v>
          </cell>
          <cell r="V197">
            <v>0.16591948645979526</v>
          </cell>
          <cell r="W197">
            <v>11742</v>
          </cell>
          <cell r="X197" t="e">
            <v>#DIV/0!</v>
          </cell>
          <cell r="Y197">
            <v>0</v>
          </cell>
          <cell r="Z197">
            <v>0</v>
          </cell>
          <cell r="AA197">
            <v>12786</v>
          </cell>
          <cell r="AB197">
            <v>11742</v>
          </cell>
          <cell r="AC197">
            <v>12360</v>
          </cell>
          <cell r="AD197">
            <v>12704</v>
          </cell>
          <cell r="AE197">
            <v>13046.67</v>
          </cell>
          <cell r="AF197">
            <v>0.10000022994373277</v>
          </cell>
          <cell r="AG197">
            <v>0.10000022994373277</v>
          </cell>
          <cell r="AH197">
            <v>13479</v>
          </cell>
          <cell r="AI197">
            <v>13911</v>
          </cell>
          <cell r="AJ197">
            <v>0.15591977571705845</v>
          </cell>
          <cell r="AK197">
            <v>14342.5</v>
          </cell>
          <cell r="AL197">
            <v>14774</v>
          </cell>
          <cell r="AM197">
            <v>0.20522539596588601</v>
          </cell>
          <cell r="AN197">
            <v>15205.5</v>
          </cell>
          <cell r="AO197">
            <v>15637</v>
          </cell>
          <cell r="AP197">
            <v>16068.5</v>
          </cell>
          <cell r="AQ197">
            <v>0</v>
          </cell>
          <cell r="AS197">
            <v>16500</v>
          </cell>
        </row>
        <row r="198">
          <cell r="B198" t="str">
            <v>AC</v>
          </cell>
          <cell r="C198" t="str">
            <v>DOM</v>
          </cell>
          <cell r="D198" t="str">
            <v>EK</v>
          </cell>
          <cell r="E198" t="str">
            <v>21</v>
          </cell>
          <cell r="F198">
            <v>39924</v>
          </cell>
          <cell r="G198">
            <v>39924</v>
          </cell>
          <cell r="H198" t="str">
            <v>7640002648</v>
          </cell>
          <cell r="I198" t="str">
            <v>3HBHDM9150IFBP</v>
          </cell>
          <cell r="J198" t="str">
            <v>MU220001500</v>
          </cell>
          <cell r="K198" t="str">
            <v xml:space="preserve">Finisher by Pass for E &amp; EX Series </v>
          </cell>
          <cell r="L198">
            <v>2375</v>
          </cell>
          <cell r="M198">
            <v>1168.1199999999999</v>
          </cell>
          <cell r="N198">
            <v>1203.1600000000001</v>
          </cell>
          <cell r="O198">
            <v>0</v>
          </cell>
          <cell r="P198">
            <v>1203.1600000000001</v>
          </cell>
          <cell r="Q198">
            <v>1238.2</v>
          </cell>
          <cell r="R198">
            <v>1399.17</v>
          </cell>
          <cell r="S198">
            <v>438.9</v>
          </cell>
          <cell r="T198" t="e">
            <v>#DIV/0!</v>
          </cell>
          <cell r="U198">
            <v>339.88415999999995</v>
          </cell>
          <cell r="V198">
            <v>0.12487831148118218</v>
          </cell>
          <cell r="W198">
            <v>1203.1600000000001</v>
          </cell>
          <cell r="X198" t="e">
            <v>#DIV/0!</v>
          </cell>
          <cell r="Y198">
            <v>0</v>
          </cell>
          <cell r="Z198">
            <v>0</v>
          </cell>
          <cell r="AA198">
            <v>1421</v>
          </cell>
          <cell r="AB198">
            <v>1204</v>
          </cell>
          <cell r="AC198">
            <v>1267</v>
          </cell>
          <cell r="AD198">
            <v>1359</v>
          </cell>
          <cell r="AE198">
            <v>1449.59</v>
          </cell>
          <cell r="AF198">
            <v>0.16999979304492985</v>
          </cell>
          <cell r="AG198">
            <v>0.16999979304492985</v>
          </cell>
          <cell r="AH198">
            <v>1509</v>
          </cell>
          <cell r="AI198">
            <v>1567</v>
          </cell>
          <cell r="AJ198">
            <v>0.23218889597957876</v>
          </cell>
          <cell r="AK198">
            <v>1625</v>
          </cell>
          <cell r="AL198">
            <v>1683</v>
          </cell>
          <cell r="AM198">
            <v>0.28510992275698155</v>
          </cell>
          <cell r="AN198">
            <v>1856</v>
          </cell>
          <cell r="AO198">
            <v>2029</v>
          </cell>
          <cell r="AP198">
            <v>2202</v>
          </cell>
          <cell r="AQ198">
            <v>0</v>
          </cell>
          <cell r="AS198">
            <v>2375</v>
          </cell>
        </row>
        <row r="199">
          <cell r="B199" t="str">
            <v>AC</v>
          </cell>
          <cell r="C199" t="str">
            <v>DOM</v>
          </cell>
          <cell r="D199" t="str">
            <v>EK</v>
          </cell>
          <cell r="E199" t="str">
            <v>21</v>
          </cell>
          <cell r="F199">
            <v>39924</v>
          </cell>
          <cell r="G199">
            <v>39925</v>
          </cell>
          <cell r="H199" t="str">
            <v>7640002655</v>
          </cell>
          <cell r="I199" t="str">
            <v>3HBKAUXPSMBPG</v>
          </cell>
          <cell r="J199" t="str">
            <v>KHB694158A00</v>
          </cell>
          <cell r="K199" t="str">
            <v>Auxiliary PSM Bypass Kit for Extended PSM</v>
          </cell>
          <cell r="L199">
            <v>5000</v>
          </cell>
          <cell r="M199">
            <v>2332</v>
          </cell>
          <cell r="N199">
            <v>2401.96</v>
          </cell>
          <cell r="O199">
            <v>0</v>
          </cell>
          <cell r="P199">
            <v>2401.96</v>
          </cell>
          <cell r="Q199">
            <v>2471.92</v>
          </cell>
          <cell r="R199">
            <v>2793.27</v>
          </cell>
          <cell r="S199">
            <v>650</v>
          </cell>
          <cell r="T199" t="e">
            <v>#DIV/0!</v>
          </cell>
          <cell r="U199">
            <v>503.36</v>
          </cell>
          <cell r="V199">
            <v>0.57851239669421495</v>
          </cell>
          <cell r="W199">
            <v>2401.96</v>
          </cell>
          <cell r="X199" t="e">
            <v>#DIV/0!</v>
          </cell>
          <cell r="Y199">
            <v>0</v>
          </cell>
          <cell r="Z199">
            <v>0</v>
          </cell>
          <cell r="AA199">
            <v>2836</v>
          </cell>
          <cell r="AB199">
            <v>2402</v>
          </cell>
          <cell r="AC199">
            <v>2529</v>
          </cell>
          <cell r="AD199">
            <v>2712</v>
          </cell>
          <cell r="AE199">
            <v>2893.93</v>
          </cell>
          <cell r="AF199">
            <v>0.17000065654663377</v>
          </cell>
          <cell r="AG199">
            <v>0.17000065654663377</v>
          </cell>
          <cell r="AH199">
            <v>3039</v>
          </cell>
          <cell r="AI199">
            <v>3184</v>
          </cell>
          <cell r="AJ199">
            <v>0.24561557788944721</v>
          </cell>
          <cell r="AK199">
            <v>3329</v>
          </cell>
          <cell r="AL199">
            <v>3474</v>
          </cell>
          <cell r="AM199">
            <v>0.30858952216465169</v>
          </cell>
          <cell r="AN199">
            <v>3855.5</v>
          </cell>
          <cell r="AO199">
            <v>4237</v>
          </cell>
          <cell r="AP199">
            <v>4618.5</v>
          </cell>
          <cell r="AQ199">
            <v>0</v>
          </cell>
          <cell r="AS199">
            <v>5000</v>
          </cell>
        </row>
        <row r="200">
          <cell r="B200" t="str">
            <v>AC</v>
          </cell>
          <cell r="C200" t="str">
            <v>DOM</v>
          </cell>
          <cell r="D200" t="str">
            <v>EK</v>
          </cell>
          <cell r="E200" t="str">
            <v>21</v>
          </cell>
          <cell r="F200">
            <v>39924</v>
          </cell>
          <cell r="G200">
            <v>39924</v>
          </cell>
          <cell r="H200" t="str">
            <v>7640002664</v>
          </cell>
          <cell r="I200" t="str">
            <v>KHB694154A00</v>
          </cell>
          <cell r="J200" t="str">
            <v>KN000490000</v>
          </cell>
          <cell r="K200" t="str">
            <v>DM EX series Extended PSM 60Hz</v>
          </cell>
          <cell r="L200">
            <v>22000</v>
          </cell>
          <cell r="M200">
            <v>16536</v>
          </cell>
          <cell r="N200">
            <v>17032.080000000002</v>
          </cell>
          <cell r="O200">
            <v>0</v>
          </cell>
          <cell r="P200">
            <v>17032.080000000002</v>
          </cell>
          <cell r="Q200">
            <v>17528.16</v>
          </cell>
          <cell r="R200">
            <v>19806.82</v>
          </cell>
          <cell r="S200">
            <v>1463</v>
          </cell>
          <cell r="T200" t="e">
            <v>#DIV/0!</v>
          </cell>
          <cell r="U200">
            <v>1132.9472000000001</v>
          </cell>
          <cell r="V200">
            <v>0.63465199437361242</v>
          </cell>
          <cell r="W200">
            <v>17032.080000000002</v>
          </cell>
          <cell r="X200" t="e">
            <v>#DIV/0!</v>
          </cell>
          <cell r="Y200">
            <v>0</v>
          </cell>
          <cell r="Z200">
            <v>300</v>
          </cell>
          <cell r="AA200">
            <v>17864</v>
          </cell>
          <cell r="AB200">
            <v>17033</v>
          </cell>
          <cell r="AC200">
            <v>17929</v>
          </cell>
          <cell r="AD200">
            <v>18079</v>
          </cell>
          <cell r="AE200">
            <v>18228.509999999998</v>
          </cell>
          <cell r="AF200">
            <v>6.5635095792250533E-2</v>
          </cell>
          <cell r="AG200">
            <v>6.5635095792250533E-2</v>
          </cell>
          <cell r="AH200">
            <v>18738</v>
          </cell>
          <cell r="AI200">
            <v>19247</v>
          </cell>
          <cell r="AJ200">
            <v>0.11507871356575042</v>
          </cell>
          <cell r="AK200">
            <v>19756</v>
          </cell>
          <cell r="AL200">
            <v>20265</v>
          </cell>
          <cell r="AM200">
            <v>0.15953219837157653</v>
          </cell>
          <cell r="AN200">
            <v>20698.75</v>
          </cell>
          <cell r="AO200">
            <v>21132.5</v>
          </cell>
          <cell r="AP200">
            <v>21566.25</v>
          </cell>
          <cell r="AQ200">
            <v>0</v>
          </cell>
          <cell r="AS200">
            <v>22300</v>
          </cell>
        </row>
        <row r="201">
          <cell r="B201" t="str">
            <v>AC</v>
          </cell>
          <cell r="C201" t="str">
            <v>DOM</v>
          </cell>
          <cell r="D201" t="str">
            <v>EK</v>
          </cell>
          <cell r="E201" t="str">
            <v>21</v>
          </cell>
          <cell r="F201">
            <v>39924</v>
          </cell>
          <cell r="G201">
            <v>39924</v>
          </cell>
          <cell r="H201" t="str">
            <v>7640002671</v>
          </cell>
          <cell r="I201" t="str">
            <v>3EKKDS9110V</v>
          </cell>
          <cell r="J201" t="str">
            <v>KC8711418</v>
          </cell>
          <cell r="K201" t="str">
            <v>External Vent Kit</v>
          </cell>
          <cell r="L201">
            <v>750</v>
          </cell>
          <cell r="M201">
            <v>579.82000000000005</v>
          </cell>
          <cell r="N201">
            <v>597.21</v>
          </cell>
          <cell r="O201">
            <v>0</v>
          </cell>
          <cell r="P201">
            <v>597.21</v>
          </cell>
          <cell r="Q201">
            <v>614.6</v>
          </cell>
          <cell r="R201">
            <v>694.5</v>
          </cell>
          <cell r="S201">
            <v>274.39999999999998</v>
          </cell>
          <cell r="T201" t="e">
            <v>#DIV/0!</v>
          </cell>
          <cell r="U201">
            <v>212.49535999999998</v>
          </cell>
          <cell r="V201">
            <v>0.30012589451364957</v>
          </cell>
          <cell r="W201">
            <v>597.21</v>
          </cell>
          <cell r="X201" t="e">
            <v>#DIV/0!</v>
          </cell>
          <cell r="Y201">
            <v>0</v>
          </cell>
          <cell r="Z201">
            <v>0</v>
          </cell>
          <cell r="AA201">
            <v>616</v>
          </cell>
          <cell r="AB201">
            <v>598</v>
          </cell>
          <cell r="AC201">
            <v>629</v>
          </cell>
          <cell r="AD201">
            <v>629</v>
          </cell>
          <cell r="AE201">
            <v>628.64</v>
          </cell>
          <cell r="AF201">
            <v>4.9996818528887682E-2</v>
          </cell>
          <cell r="AG201">
            <v>4.9996818528887682E-2</v>
          </cell>
          <cell r="AH201">
            <v>645</v>
          </cell>
          <cell r="AI201">
            <v>660</v>
          </cell>
          <cell r="AJ201">
            <v>9.5136363636363575E-2</v>
          </cell>
          <cell r="AK201">
            <v>675</v>
          </cell>
          <cell r="AL201">
            <v>690</v>
          </cell>
          <cell r="AM201">
            <v>0.13447826086956516</v>
          </cell>
          <cell r="AN201">
            <v>705</v>
          </cell>
          <cell r="AO201">
            <v>720</v>
          </cell>
          <cell r="AP201">
            <v>735</v>
          </cell>
          <cell r="AQ201">
            <v>0</v>
          </cell>
          <cell r="AS201">
            <v>750</v>
          </cell>
        </row>
        <row r="202">
          <cell r="B202" t="str">
            <v>AC</v>
          </cell>
          <cell r="C202" t="str">
            <v>DOM</v>
          </cell>
          <cell r="D202" t="str">
            <v>EK</v>
          </cell>
          <cell r="E202" t="str">
            <v>21</v>
          </cell>
          <cell r="F202">
            <v>39924</v>
          </cell>
          <cell r="G202">
            <v>39924</v>
          </cell>
          <cell r="H202" t="str">
            <v>7640002678</v>
          </cell>
          <cell r="I202" t="str">
            <v>3HBKKC3E3867</v>
          </cell>
          <cell r="J202" t="str">
            <v>KC3E3864</v>
          </cell>
          <cell r="K202" t="str">
            <v>Stacker By Pass Extension Kit</v>
          </cell>
          <cell r="L202">
            <v>1000</v>
          </cell>
          <cell r="M202">
            <v>530</v>
          </cell>
          <cell r="N202">
            <v>545.9</v>
          </cell>
          <cell r="O202">
            <v>0</v>
          </cell>
          <cell r="P202">
            <v>545.9</v>
          </cell>
          <cell r="Q202">
            <v>561.79999999999995</v>
          </cell>
          <cell r="R202">
            <v>634.83000000000004</v>
          </cell>
          <cell r="S202">
            <v>274.39999999999998</v>
          </cell>
          <cell r="T202" t="e">
            <v>#DIV/0!</v>
          </cell>
          <cell r="U202">
            <v>212.49535999999998</v>
          </cell>
          <cell r="V202">
            <v>0.30012589451364957</v>
          </cell>
          <cell r="W202">
            <v>545.9</v>
          </cell>
          <cell r="X202" t="e">
            <v>#DIV/0!</v>
          </cell>
          <cell r="Y202">
            <v>0</v>
          </cell>
          <cell r="Z202">
            <v>0</v>
          </cell>
          <cell r="AA202">
            <v>645</v>
          </cell>
          <cell r="AB202">
            <v>546</v>
          </cell>
          <cell r="AC202">
            <v>575</v>
          </cell>
          <cell r="AD202">
            <v>617</v>
          </cell>
          <cell r="AE202">
            <v>657.71</v>
          </cell>
          <cell r="AF202">
            <v>0.16999893570114497</v>
          </cell>
          <cell r="AG202">
            <v>0.16999893570114497</v>
          </cell>
          <cell r="AH202">
            <v>676</v>
          </cell>
          <cell r="AI202">
            <v>694</v>
          </cell>
          <cell r="AJ202">
            <v>0.2134005763688761</v>
          </cell>
          <cell r="AK202">
            <v>712</v>
          </cell>
          <cell r="AL202">
            <v>730</v>
          </cell>
          <cell r="AM202">
            <v>0.25219178082191784</v>
          </cell>
          <cell r="AN202">
            <v>797.5</v>
          </cell>
          <cell r="AO202">
            <v>865</v>
          </cell>
          <cell r="AP202">
            <v>932.5</v>
          </cell>
          <cell r="AQ202">
            <v>0</v>
          </cell>
          <cell r="AS202">
            <v>1000</v>
          </cell>
        </row>
        <row r="203">
          <cell r="B203" t="str">
            <v>AC</v>
          </cell>
          <cell r="C203" t="str">
            <v>DOM</v>
          </cell>
          <cell r="D203" t="str">
            <v>EK</v>
          </cell>
          <cell r="E203" t="str">
            <v>21</v>
          </cell>
          <cell r="F203">
            <v>39924</v>
          </cell>
          <cell r="G203">
            <v>39925</v>
          </cell>
          <cell r="H203" t="str">
            <v>7640002680</v>
          </cell>
          <cell r="I203" t="str">
            <v>3HBHDM9110MTC</v>
          </cell>
          <cell r="J203" t="str">
            <v>KCA11788</v>
          </cell>
          <cell r="K203" t="str">
            <v>DM Toning Station Cart</v>
          </cell>
          <cell r="L203">
            <v>2000</v>
          </cell>
          <cell r="M203">
            <v>1098.1600000000001</v>
          </cell>
          <cell r="N203">
            <v>1131.0999999999999</v>
          </cell>
          <cell r="O203">
            <v>0</v>
          </cell>
          <cell r="P203">
            <v>1131.0999999999999</v>
          </cell>
          <cell r="Q203">
            <v>1164.04</v>
          </cell>
          <cell r="R203">
            <v>1315.37</v>
          </cell>
          <cell r="S203">
            <v>33</v>
          </cell>
          <cell r="T203" t="e">
            <v>#DIV/0!</v>
          </cell>
          <cell r="U203">
            <v>25.555199999999999</v>
          </cell>
          <cell r="V203">
            <v>0.30816428750313046</v>
          </cell>
          <cell r="W203">
            <v>1131.0999999999999</v>
          </cell>
          <cell r="X203" t="e">
            <v>#DIV/0!</v>
          </cell>
          <cell r="Y203">
            <v>0</v>
          </cell>
          <cell r="Z203">
            <v>0</v>
          </cell>
          <cell r="AA203">
            <v>1336</v>
          </cell>
          <cell r="AB203">
            <v>1132</v>
          </cell>
          <cell r="AC203">
            <v>1191</v>
          </cell>
          <cell r="AD203">
            <v>1277</v>
          </cell>
          <cell r="AE203">
            <v>1362.77</v>
          </cell>
          <cell r="AF203">
            <v>0.16999933958041347</v>
          </cell>
          <cell r="AG203">
            <v>0.16999933958041347</v>
          </cell>
          <cell r="AH203">
            <v>1393</v>
          </cell>
          <cell r="AI203">
            <v>1422</v>
          </cell>
          <cell r="AJ203">
            <v>0.20457102672292551</v>
          </cell>
          <cell r="AK203">
            <v>1451</v>
          </cell>
          <cell r="AL203">
            <v>1480</v>
          </cell>
          <cell r="AM203">
            <v>0.23574324324324331</v>
          </cell>
          <cell r="AN203">
            <v>1610</v>
          </cell>
          <cell r="AO203">
            <v>1740</v>
          </cell>
          <cell r="AP203">
            <v>1870</v>
          </cell>
          <cell r="AQ203">
            <v>0</v>
          </cell>
          <cell r="AS203">
            <v>2000</v>
          </cell>
        </row>
        <row r="204">
          <cell r="B204" t="str">
            <v>AC</v>
          </cell>
          <cell r="C204" t="str">
            <v>DOM</v>
          </cell>
          <cell r="D204" t="str">
            <v>EK</v>
          </cell>
          <cell r="E204" t="str">
            <v>21</v>
          </cell>
          <cell r="F204">
            <v>39924</v>
          </cell>
          <cell r="G204">
            <v>39925</v>
          </cell>
          <cell r="H204" t="str">
            <v>7640002742</v>
          </cell>
          <cell r="I204" t="str">
            <v>3HBEKC3E3849</v>
          </cell>
          <cell r="J204" t="str">
            <v>KC3E3849</v>
          </cell>
          <cell r="K204" t="str">
            <v>6' Foot power Cord for DM Perfect Binder</v>
          </cell>
          <cell r="L204">
            <v>520</v>
          </cell>
          <cell r="M204">
            <v>220.48</v>
          </cell>
          <cell r="N204">
            <v>227.09</v>
          </cell>
          <cell r="O204">
            <v>0</v>
          </cell>
          <cell r="P204">
            <v>227.09</v>
          </cell>
          <cell r="Q204">
            <v>233.7</v>
          </cell>
          <cell r="R204">
            <v>264.08</v>
          </cell>
          <cell r="S204">
            <v>488.9</v>
          </cell>
          <cell r="T204" t="e">
            <v>#DIV/0!</v>
          </cell>
          <cell r="U204">
            <v>378.60415999999998</v>
          </cell>
          <cell r="V204">
            <v>0.12098166063468498</v>
          </cell>
          <cell r="W204">
            <v>227.09</v>
          </cell>
          <cell r="X204" t="e">
            <v>#DIV/0!</v>
          </cell>
          <cell r="Y204">
            <v>0</v>
          </cell>
          <cell r="Z204">
            <v>0</v>
          </cell>
          <cell r="AA204">
            <v>268</v>
          </cell>
          <cell r="AB204">
            <v>228</v>
          </cell>
          <cell r="AC204">
            <v>240</v>
          </cell>
          <cell r="AD204">
            <v>257</v>
          </cell>
          <cell r="AE204">
            <v>273.60000000000002</v>
          </cell>
          <cell r="AF204">
            <v>0.16999269005847958</v>
          </cell>
          <cell r="AG204">
            <v>0.16999269005847958</v>
          </cell>
          <cell r="AH204">
            <v>293</v>
          </cell>
          <cell r="AI204">
            <v>312</v>
          </cell>
          <cell r="AJ204">
            <v>0.2721474358974359</v>
          </cell>
          <cell r="AK204">
            <v>331</v>
          </cell>
          <cell r="AL204">
            <v>350</v>
          </cell>
          <cell r="AM204">
            <v>0.35117142857142858</v>
          </cell>
          <cell r="AN204">
            <v>392.5</v>
          </cell>
          <cell r="AO204">
            <v>435</v>
          </cell>
          <cell r="AP204">
            <v>477.5</v>
          </cell>
          <cell r="AQ204">
            <v>0</v>
          </cell>
          <cell r="AS204">
            <v>520</v>
          </cell>
        </row>
        <row r="205">
          <cell r="B205" t="str">
            <v>AC</v>
          </cell>
          <cell r="C205" t="str">
            <v>DOM</v>
          </cell>
          <cell r="D205" t="str">
            <v>EK</v>
          </cell>
          <cell r="E205" t="str">
            <v>21</v>
          </cell>
          <cell r="F205">
            <v>39924</v>
          </cell>
          <cell r="G205">
            <v>39924</v>
          </cell>
          <cell r="H205" t="str">
            <v>7640002744</v>
          </cell>
          <cell r="I205" t="str">
            <v>3HBHKN000336400</v>
          </cell>
          <cell r="J205" t="str">
            <v>KN0003364/00</v>
          </cell>
          <cell r="K205" t="str">
            <v>Punch Tool: 11-Hole (1:1), 3mm, Let</v>
          </cell>
          <cell r="L205">
            <v>15675</v>
          </cell>
          <cell r="M205">
            <v>10000</v>
          </cell>
          <cell r="N205">
            <v>10300</v>
          </cell>
          <cell r="O205">
            <v>0</v>
          </cell>
          <cell r="P205">
            <v>10300</v>
          </cell>
          <cell r="Q205">
            <v>10600</v>
          </cell>
          <cell r="R205">
            <v>11978</v>
          </cell>
          <cell r="S205">
            <v>33</v>
          </cell>
          <cell r="T205" t="e">
            <v>#DIV/0!</v>
          </cell>
          <cell r="U205">
            <v>25.555199999999999</v>
          </cell>
          <cell r="V205">
            <v>0.30816428750313046</v>
          </cell>
          <cell r="W205">
            <v>10300</v>
          </cell>
          <cell r="X205" t="e">
            <v>#DIV/0!</v>
          </cell>
          <cell r="Y205">
            <v>0</v>
          </cell>
          <cell r="Z205">
            <v>0</v>
          </cell>
          <cell r="AA205">
            <v>11216</v>
          </cell>
          <cell r="AB205">
            <v>10300</v>
          </cell>
          <cell r="AC205">
            <v>10843</v>
          </cell>
          <cell r="AD205">
            <v>11144</v>
          </cell>
          <cell r="AE205">
            <v>11444.44</v>
          </cell>
          <cell r="AF205">
            <v>9.9999650485301197E-2</v>
          </cell>
          <cell r="AG205">
            <v>9.9999650485301197E-2</v>
          </cell>
          <cell r="AH205">
            <v>11567</v>
          </cell>
          <cell r="AI205">
            <v>11689</v>
          </cell>
          <cell r="AJ205">
            <v>0.11882966891949696</v>
          </cell>
          <cell r="AK205">
            <v>11811</v>
          </cell>
          <cell r="AL205">
            <v>11933</v>
          </cell>
          <cell r="AM205">
            <v>0.1368473979720104</v>
          </cell>
          <cell r="AN205">
            <v>12868.5</v>
          </cell>
          <cell r="AO205">
            <v>13804</v>
          </cell>
          <cell r="AP205">
            <v>14739.5</v>
          </cell>
          <cell r="AQ205">
            <v>0</v>
          </cell>
          <cell r="AR205">
            <v>503</v>
          </cell>
          <cell r="AS205">
            <v>15675</v>
          </cell>
        </row>
        <row r="206">
          <cell r="B206" t="str">
            <v>AC</v>
          </cell>
          <cell r="C206" t="str">
            <v>DOM</v>
          </cell>
          <cell r="D206" t="str">
            <v>EK</v>
          </cell>
          <cell r="E206" t="str">
            <v>21</v>
          </cell>
          <cell r="F206">
            <v>39924</v>
          </cell>
          <cell r="G206">
            <v>39925</v>
          </cell>
          <cell r="H206" t="str">
            <v>7640002747</v>
          </cell>
          <cell r="I206" t="str">
            <v>3HBHP11</v>
          </cell>
          <cell r="J206" t="str">
            <v>MU2041206/00</v>
          </cell>
          <cell r="K206" t="str">
            <v>Punch Tool: 19-Hole, Plastic Comb, Ltr</v>
          </cell>
          <cell r="L206">
            <v>12000</v>
          </cell>
          <cell r="M206">
            <v>8930</v>
          </cell>
          <cell r="N206">
            <v>9197.9</v>
          </cell>
          <cell r="O206">
            <v>0</v>
          </cell>
          <cell r="P206">
            <v>9197.9</v>
          </cell>
          <cell r="Q206">
            <v>9465.7999999999993</v>
          </cell>
          <cell r="R206">
            <v>10696.35</v>
          </cell>
          <cell r="S206">
            <v>18.899999999999999</v>
          </cell>
          <cell r="T206" t="e">
            <v>#DIV/0!</v>
          </cell>
          <cell r="U206">
            <v>14.636159999999999</v>
          </cell>
          <cell r="V206">
            <v>0.78764921946740118</v>
          </cell>
          <cell r="W206">
            <v>9197.9</v>
          </cell>
          <cell r="X206" t="e">
            <v>#DIV/0!</v>
          </cell>
          <cell r="Y206">
            <v>0</v>
          </cell>
          <cell r="Z206">
            <v>0</v>
          </cell>
          <cell r="AA206">
            <v>9488</v>
          </cell>
          <cell r="AB206">
            <v>9198</v>
          </cell>
          <cell r="AC206">
            <v>9682</v>
          </cell>
          <cell r="AD206">
            <v>9682</v>
          </cell>
          <cell r="AE206">
            <v>9682</v>
          </cell>
          <cell r="AF206">
            <v>5.0000000000000037E-2</v>
          </cell>
          <cell r="AG206">
            <v>5.0000000000000037E-2</v>
          </cell>
          <cell r="AH206">
            <v>9972</v>
          </cell>
          <cell r="AI206">
            <v>10262</v>
          </cell>
          <cell r="AJ206">
            <v>0.10369323718573381</v>
          </cell>
          <cell r="AK206">
            <v>10551.5</v>
          </cell>
          <cell r="AL206">
            <v>10841</v>
          </cell>
          <cell r="AM206">
            <v>0.15156350890139289</v>
          </cell>
          <cell r="AN206">
            <v>11130.75</v>
          </cell>
          <cell r="AO206">
            <v>11420.5</v>
          </cell>
          <cell r="AP206">
            <v>11710.25</v>
          </cell>
          <cell r="AQ206">
            <v>0</v>
          </cell>
          <cell r="AR206">
            <v>503</v>
          </cell>
          <cell r="AS206">
            <v>12000</v>
          </cell>
        </row>
        <row r="207">
          <cell r="B207" t="str">
            <v>AC</v>
          </cell>
          <cell r="C207" t="str">
            <v>DOM</v>
          </cell>
          <cell r="D207" t="str">
            <v>EK</v>
          </cell>
          <cell r="E207" t="str">
            <v>21</v>
          </cell>
          <cell r="F207">
            <v>39924</v>
          </cell>
          <cell r="G207">
            <v>39925</v>
          </cell>
          <cell r="H207" t="str">
            <v>7640002750</v>
          </cell>
          <cell r="I207" t="str">
            <v>3HBHMU204120700</v>
          </cell>
          <cell r="J207" t="str">
            <v>MU2041207/00</v>
          </cell>
          <cell r="K207" t="str">
            <v>Punch Tool: 21 hole (2:1), R</v>
          </cell>
          <cell r="L207">
            <v>13900</v>
          </cell>
          <cell r="M207">
            <v>10300</v>
          </cell>
          <cell r="N207">
            <v>10609</v>
          </cell>
          <cell r="O207">
            <v>0</v>
          </cell>
          <cell r="P207">
            <v>10609</v>
          </cell>
          <cell r="Q207">
            <v>10918</v>
          </cell>
          <cell r="R207">
            <v>12337.34</v>
          </cell>
          <cell r="S207">
            <v>19.899999999999999</v>
          </cell>
          <cell r="T207" t="e">
            <v>#DIV/0!</v>
          </cell>
          <cell r="U207">
            <v>15.410559999999998</v>
          </cell>
          <cell r="V207">
            <v>0.80854037750737151</v>
          </cell>
          <cell r="W207">
            <v>10609</v>
          </cell>
          <cell r="X207" t="e">
            <v>#DIV/0!</v>
          </cell>
          <cell r="Y207">
            <v>0</v>
          </cell>
          <cell r="Z207">
            <v>0</v>
          </cell>
          <cell r="AA207">
            <v>10944</v>
          </cell>
          <cell r="AB207">
            <v>10609</v>
          </cell>
          <cell r="AC207">
            <v>11168</v>
          </cell>
          <cell r="AD207">
            <v>11168</v>
          </cell>
          <cell r="AE207">
            <v>11167.37</v>
          </cell>
          <cell r="AF207">
            <v>5.000013431989813E-2</v>
          </cell>
          <cell r="AG207">
            <v>5.000013431989813E-2</v>
          </cell>
          <cell r="AH207">
            <v>11510</v>
          </cell>
          <cell r="AI207">
            <v>11851</v>
          </cell>
          <cell r="AJ207">
            <v>0.10480128259218631</v>
          </cell>
          <cell r="AK207">
            <v>12192.5</v>
          </cell>
          <cell r="AL207">
            <v>12534</v>
          </cell>
          <cell r="AM207">
            <v>0.15358225626296473</v>
          </cell>
          <cell r="AN207">
            <v>12875.5</v>
          </cell>
          <cell r="AO207">
            <v>13217</v>
          </cell>
          <cell r="AP207">
            <v>13558.5</v>
          </cell>
          <cell r="AQ207">
            <v>0</v>
          </cell>
          <cell r="AS207">
            <v>13900</v>
          </cell>
        </row>
        <row r="208">
          <cell r="B208" t="str">
            <v>AC</v>
          </cell>
          <cell r="C208" t="str">
            <v>DOM</v>
          </cell>
          <cell r="D208" t="str">
            <v>EK</v>
          </cell>
          <cell r="E208" t="str">
            <v>21</v>
          </cell>
          <cell r="F208">
            <v>39924</v>
          </cell>
          <cell r="G208">
            <v>39925</v>
          </cell>
          <cell r="H208" t="str">
            <v>7640002751</v>
          </cell>
          <cell r="I208" t="str">
            <v>3HBHW1211RD</v>
          </cell>
          <cell r="J208" t="str">
            <v>MU2041209/00</v>
          </cell>
          <cell r="K208" t="str">
            <v>WIRE COMB 1/2" 11" ROUND</v>
          </cell>
          <cell r="L208">
            <v>12000</v>
          </cell>
          <cell r="M208">
            <v>8930</v>
          </cell>
          <cell r="N208">
            <v>9197.9</v>
          </cell>
          <cell r="O208">
            <v>0</v>
          </cell>
          <cell r="P208">
            <v>9197.9</v>
          </cell>
          <cell r="Q208">
            <v>9465.7999999999993</v>
          </cell>
          <cell r="R208">
            <v>10696.35</v>
          </cell>
          <cell r="S208">
            <v>152.80000000000001</v>
          </cell>
          <cell r="T208" t="e">
            <v>#DIV/0!</v>
          </cell>
          <cell r="U208">
            <v>118.32832000000001</v>
          </cell>
          <cell r="V208">
            <v>0.56054476223443384</v>
          </cell>
          <cell r="W208">
            <v>9197.9</v>
          </cell>
          <cell r="X208" t="e">
            <v>#DIV/0!</v>
          </cell>
          <cell r="Y208">
            <v>0</v>
          </cell>
          <cell r="Z208">
            <v>0</v>
          </cell>
          <cell r="AA208">
            <v>9488</v>
          </cell>
          <cell r="AB208">
            <v>9198</v>
          </cell>
          <cell r="AC208">
            <v>9682</v>
          </cell>
          <cell r="AD208">
            <v>9682</v>
          </cell>
          <cell r="AE208">
            <v>9682</v>
          </cell>
          <cell r="AF208">
            <v>5.0000000000000037E-2</v>
          </cell>
          <cell r="AG208">
            <v>5.0000000000000037E-2</v>
          </cell>
          <cell r="AH208">
            <v>9972</v>
          </cell>
          <cell r="AI208">
            <v>10262</v>
          </cell>
          <cell r="AJ208">
            <v>0.10369323718573381</v>
          </cell>
          <cell r="AK208">
            <v>10551.5</v>
          </cell>
          <cell r="AL208">
            <v>10841</v>
          </cell>
          <cell r="AM208">
            <v>0.15156350890139289</v>
          </cell>
          <cell r="AN208">
            <v>11130.75</v>
          </cell>
          <cell r="AO208">
            <v>11420.5</v>
          </cell>
          <cell r="AP208">
            <v>11710.25</v>
          </cell>
          <cell r="AQ208">
            <v>0</v>
          </cell>
          <cell r="AS208">
            <v>12000</v>
          </cell>
        </row>
        <row r="209">
          <cell r="B209" t="str">
            <v>AC</v>
          </cell>
          <cell r="C209" t="str">
            <v>DOM</v>
          </cell>
          <cell r="D209" t="str">
            <v>EK</v>
          </cell>
          <cell r="E209" t="str">
            <v>21</v>
          </cell>
          <cell r="F209">
            <v>39924</v>
          </cell>
          <cell r="G209">
            <v>39925</v>
          </cell>
          <cell r="H209" t="str">
            <v>7640002752</v>
          </cell>
          <cell r="I209" t="str">
            <v>3HBHP1169</v>
          </cell>
          <cell r="J209" t="str">
            <v>MU2041201/00</v>
          </cell>
          <cell r="K209" t="str">
            <v>Punch Tool: 21-Hole Plastic Comb</v>
          </cell>
          <cell r="L209">
            <v>12000</v>
          </cell>
          <cell r="M209">
            <v>8930</v>
          </cell>
          <cell r="N209">
            <v>9197.9</v>
          </cell>
          <cell r="O209">
            <v>0</v>
          </cell>
          <cell r="P209">
            <v>9197.9</v>
          </cell>
          <cell r="Q209">
            <v>9465.7999999999993</v>
          </cell>
          <cell r="R209">
            <v>10696.35</v>
          </cell>
          <cell r="S209">
            <v>756.9</v>
          </cell>
          <cell r="T209" t="e">
            <v>#DIV/0!</v>
          </cell>
          <cell r="U209">
            <v>586.14335999999992</v>
          </cell>
          <cell r="V209">
            <v>0.18559172964102147</v>
          </cell>
          <cell r="W209">
            <v>9197.9</v>
          </cell>
          <cell r="X209" t="e">
            <v>#DIV/0!</v>
          </cell>
          <cell r="Y209">
            <v>0</v>
          </cell>
          <cell r="Z209">
            <v>0</v>
          </cell>
          <cell r="AA209">
            <v>9488</v>
          </cell>
          <cell r="AB209">
            <v>9198</v>
          </cell>
          <cell r="AC209">
            <v>9682</v>
          </cell>
          <cell r="AD209">
            <v>9682</v>
          </cell>
          <cell r="AE209">
            <v>9682</v>
          </cell>
          <cell r="AF209">
            <v>5.0000000000000037E-2</v>
          </cell>
          <cell r="AG209">
            <v>5.0000000000000037E-2</v>
          </cell>
          <cell r="AH209">
            <v>9972</v>
          </cell>
          <cell r="AI209">
            <v>10262</v>
          </cell>
          <cell r="AJ209">
            <v>0.10369323718573381</v>
          </cell>
          <cell r="AK209">
            <v>10551.5</v>
          </cell>
          <cell r="AL209">
            <v>10841</v>
          </cell>
          <cell r="AM209">
            <v>0.15156350890139289</v>
          </cell>
          <cell r="AN209">
            <v>11130.75</v>
          </cell>
          <cell r="AO209">
            <v>11420.5</v>
          </cell>
          <cell r="AP209">
            <v>11710.25</v>
          </cell>
          <cell r="AQ209">
            <v>0</v>
          </cell>
          <cell r="AS209">
            <v>12000</v>
          </cell>
        </row>
        <row r="210">
          <cell r="B210" t="str">
            <v>AC</v>
          </cell>
          <cell r="C210" t="str">
            <v>DOM</v>
          </cell>
          <cell r="D210" t="str">
            <v>EK</v>
          </cell>
          <cell r="E210" t="str">
            <v>21</v>
          </cell>
          <cell r="F210">
            <v>39924</v>
          </cell>
          <cell r="G210">
            <v>39925</v>
          </cell>
          <cell r="H210" t="str">
            <v>7640002755</v>
          </cell>
          <cell r="I210" t="str">
            <v>3HBHDM2HP</v>
          </cell>
          <cell r="J210" t="str">
            <v>MU2041070/00</v>
          </cell>
          <cell r="K210" t="str">
            <v>Punch Tool: 2-Hole Pattern</v>
          </cell>
          <cell r="L210">
            <v>7550</v>
          </cell>
          <cell r="M210">
            <v>5600</v>
          </cell>
          <cell r="N210">
            <v>5768</v>
          </cell>
          <cell r="O210">
            <v>0</v>
          </cell>
          <cell r="P210">
            <v>5768</v>
          </cell>
          <cell r="Q210">
            <v>5936</v>
          </cell>
          <cell r="R210">
            <v>6707.68</v>
          </cell>
          <cell r="S210">
            <v>1507.3</v>
          </cell>
          <cell r="T210" t="e">
            <v>#DIV/0!</v>
          </cell>
          <cell r="U210">
            <v>1167.2531199999999</v>
          </cell>
          <cell r="V210">
            <v>0.1820797189216336</v>
          </cell>
          <cell r="W210">
            <v>5768</v>
          </cell>
          <cell r="X210" t="e">
            <v>#DIV/0!</v>
          </cell>
          <cell r="Y210">
            <v>0</v>
          </cell>
          <cell r="Z210">
            <v>0</v>
          </cell>
          <cell r="AA210">
            <v>5950</v>
          </cell>
          <cell r="AB210">
            <v>5768</v>
          </cell>
          <cell r="AC210">
            <v>6072</v>
          </cell>
          <cell r="AD210">
            <v>6072</v>
          </cell>
          <cell r="AE210">
            <v>6071.58</v>
          </cell>
          <cell r="AF210">
            <v>5.0000164701774485E-2</v>
          </cell>
          <cell r="AG210">
            <v>5.0000164701774485E-2</v>
          </cell>
          <cell r="AH210">
            <v>6257</v>
          </cell>
          <cell r="AI210">
            <v>6442</v>
          </cell>
          <cell r="AJ210">
            <v>0.10462589257994412</v>
          </cell>
          <cell r="AK210">
            <v>6626.5</v>
          </cell>
          <cell r="AL210">
            <v>6811</v>
          </cell>
          <cell r="AM210">
            <v>0.15313463514902365</v>
          </cell>
          <cell r="AN210">
            <v>6995.75</v>
          </cell>
          <cell r="AO210">
            <v>7180.5</v>
          </cell>
          <cell r="AP210">
            <v>7365.25</v>
          </cell>
          <cell r="AQ210">
            <v>0</v>
          </cell>
          <cell r="AS210">
            <v>7550</v>
          </cell>
        </row>
        <row r="211">
          <cell r="B211" t="str">
            <v>AC</v>
          </cell>
          <cell r="C211" t="str">
            <v>DOM</v>
          </cell>
          <cell r="D211" t="str">
            <v>EK</v>
          </cell>
          <cell r="E211" t="str">
            <v>21</v>
          </cell>
          <cell r="F211">
            <v>39924</v>
          </cell>
          <cell r="G211">
            <v>39925</v>
          </cell>
          <cell r="H211" t="str">
            <v>7640002757</v>
          </cell>
          <cell r="I211" t="str">
            <v>3HBHW1311RD</v>
          </cell>
          <cell r="J211" t="str">
            <v>MU2041210/00</v>
          </cell>
          <cell r="K211" t="str">
            <v>WIRE COMB 1/3" 11" ROUND</v>
          </cell>
          <cell r="L211">
            <v>12000</v>
          </cell>
          <cell r="M211">
            <v>8930</v>
          </cell>
          <cell r="N211">
            <v>9197.9</v>
          </cell>
          <cell r="O211">
            <v>0</v>
          </cell>
          <cell r="P211">
            <v>9197.9</v>
          </cell>
          <cell r="Q211">
            <v>9465.7999999999993</v>
          </cell>
          <cell r="R211">
            <v>10696.35</v>
          </cell>
          <cell r="S211">
            <v>1656.9</v>
          </cell>
          <cell r="T211" t="e">
            <v>#DIV/0!</v>
          </cell>
          <cell r="U211">
            <v>1283.1033600000001</v>
          </cell>
          <cell r="V211">
            <v>0.17325444459906963</v>
          </cell>
          <cell r="W211">
            <v>9197.9</v>
          </cell>
          <cell r="X211" t="e">
            <v>#DIV/0!</v>
          </cell>
          <cell r="Y211">
            <v>0</v>
          </cell>
          <cell r="Z211">
            <v>0</v>
          </cell>
          <cell r="AA211">
            <v>9488</v>
          </cell>
          <cell r="AB211">
            <v>9198</v>
          </cell>
          <cell r="AC211">
            <v>9682</v>
          </cell>
          <cell r="AD211">
            <v>9682</v>
          </cell>
          <cell r="AE211">
            <v>9682</v>
          </cell>
          <cell r="AF211">
            <v>5.0000000000000037E-2</v>
          </cell>
          <cell r="AG211">
            <v>5.0000000000000037E-2</v>
          </cell>
          <cell r="AH211">
            <v>9972</v>
          </cell>
          <cell r="AI211">
            <v>10262</v>
          </cell>
          <cell r="AJ211">
            <v>0.10369323718573381</v>
          </cell>
          <cell r="AK211">
            <v>10551.5</v>
          </cell>
          <cell r="AL211">
            <v>10841</v>
          </cell>
          <cell r="AM211">
            <v>0.15156350890139289</v>
          </cell>
          <cell r="AN211">
            <v>11130.75</v>
          </cell>
          <cell r="AO211">
            <v>11420.5</v>
          </cell>
          <cell r="AP211">
            <v>11710.25</v>
          </cell>
          <cell r="AQ211">
            <v>0</v>
          </cell>
          <cell r="AS211">
            <v>12000</v>
          </cell>
        </row>
        <row r="212">
          <cell r="B212" t="str">
            <v>AC</v>
          </cell>
          <cell r="C212" t="str">
            <v>DOM</v>
          </cell>
          <cell r="D212" t="str">
            <v>EK</v>
          </cell>
          <cell r="E212" t="str">
            <v>21</v>
          </cell>
          <cell r="F212">
            <v>39924</v>
          </cell>
          <cell r="G212">
            <v>39925</v>
          </cell>
          <cell r="H212" t="str">
            <v>7640002759</v>
          </cell>
          <cell r="I212" t="str">
            <v>3HBHMU204120800</v>
          </cell>
          <cell r="J212" t="str">
            <v>MU2041208/00</v>
          </cell>
          <cell r="K212" t="str">
            <v>Punch Tool: 32 hole (3:1), S</v>
          </cell>
          <cell r="L212">
            <v>12000</v>
          </cell>
          <cell r="M212">
            <v>8930</v>
          </cell>
          <cell r="N212">
            <v>9197.9</v>
          </cell>
          <cell r="O212">
            <v>0</v>
          </cell>
          <cell r="P212">
            <v>9197.9</v>
          </cell>
          <cell r="Q212">
            <v>9465.7999999999993</v>
          </cell>
          <cell r="R212">
            <v>10696.35</v>
          </cell>
          <cell r="S212">
            <v>724.5</v>
          </cell>
          <cell r="T212" t="e">
            <v>#DIV/0!</v>
          </cell>
          <cell r="U212">
            <v>561.05279999999993</v>
          </cell>
          <cell r="V212">
            <v>0.10097587963200595</v>
          </cell>
          <cell r="W212">
            <v>9197.9</v>
          </cell>
          <cell r="X212" t="e">
            <v>#DIV/0!</v>
          </cell>
          <cell r="Y212">
            <v>0</v>
          </cell>
          <cell r="Z212">
            <v>0</v>
          </cell>
          <cell r="AA212">
            <v>9488</v>
          </cell>
          <cell r="AB212">
            <v>9198</v>
          </cell>
          <cell r="AC212">
            <v>9682</v>
          </cell>
          <cell r="AD212">
            <v>9682</v>
          </cell>
          <cell r="AE212">
            <v>9682</v>
          </cell>
          <cell r="AF212">
            <v>5.0000000000000037E-2</v>
          </cell>
          <cell r="AG212">
            <v>5.0000000000000037E-2</v>
          </cell>
          <cell r="AH212">
            <v>9972</v>
          </cell>
          <cell r="AI212">
            <v>10262</v>
          </cell>
          <cell r="AJ212">
            <v>0.10369323718573381</v>
          </cell>
          <cell r="AK212">
            <v>10551.5</v>
          </cell>
          <cell r="AL212">
            <v>10841</v>
          </cell>
          <cell r="AM212">
            <v>0.15156350890139289</v>
          </cell>
          <cell r="AN212">
            <v>11130.75</v>
          </cell>
          <cell r="AO212">
            <v>11420.5</v>
          </cell>
          <cell r="AP212">
            <v>11710.25</v>
          </cell>
          <cell r="AQ212">
            <v>0</v>
          </cell>
          <cell r="AS212">
            <v>12000</v>
          </cell>
        </row>
        <row r="213">
          <cell r="B213" t="str">
            <v>AC</v>
          </cell>
          <cell r="C213" t="str">
            <v>DOM</v>
          </cell>
          <cell r="D213" t="str">
            <v>EK</v>
          </cell>
          <cell r="E213" t="str">
            <v>21</v>
          </cell>
          <cell r="F213">
            <v>39924</v>
          </cell>
          <cell r="G213">
            <v>39925</v>
          </cell>
          <cell r="H213" t="str">
            <v>7640002764</v>
          </cell>
          <cell r="I213" t="str">
            <v>3HBHMU204160100</v>
          </cell>
          <cell r="J213" t="str">
            <v>MU2041601/00</v>
          </cell>
          <cell r="K213" t="str">
            <v>Punch Tool: 3-Hole, 6.5 mm, Ltr</v>
          </cell>
          <cell r="L213">
            <v>16600</v>
          </cell>
          <cell r="M213">
            <v>7229.2</v>
          </cell>
          <cell r="N213">
            <v>7446.08</v>
          </cell>
          <cell r="O213">
            <v>0</v>
          </cell>
          <cell r="P213">
            <v>7446.08</v>
          </cell>
          <cell r="Q213">
            <v>7662.96</v>
          </cell>
          <cell r="R213">
            <v>8659.14</v>
          </cell>
          <cell r="S213">
            <v>1137.2</v>
          </cell>
          <cell r="T213" t="e">
            <v>#DIV/0!</v>
          </cell>
          <cell r="U213">
            <v>880.64768000000004</v>
          </cell>
          <cell r="V213">
            <v>0.27725920994875047</v>
          </cell>
          <cell r="W213">
            <v>7446.08</v>
          </cell>
          <cell r="X213" t="e">
            <v>#DIV/0!</v>
          </cell>
          <cell r="Y213">
            <v>0</v>
          </cell>
          <cell r="Z213">
            <v>0</v>
          </cell>
          <cell r="AA213">
            <v>8792</v>
          </cell>
          <cell r="AB213">
            <v>7447</v>
          </cell>
          <cell r="AC213">
            <v>7838</v>
          </cell>
          <cell r="AD213">
            <v>8405</v>
          </cell>
          <cell r="AE213">
            <v>8971.18</v>
          </cell>
          <cell r="AF213">
            <v>0.16999993311916609</v>
          </cell>
          <cell r="AG213">
            <v>0.16999993311916609</v>
          </cell>
          <cell r="AH213">
            <v>9542</v>
          </cell>
          <cell r="AI213">
            <v>10112</v>
          </cell>
          <cell r="AJ213">
            <v>0.26363924050632914</v>
          </cell>
          <cell r="AK213">
            <v>10682</v>
          </cell>
          <cell r="AL213">
            <v>11252</v>
          </cell>
          <cell r="AM213">
            <v>0.33824386775684323</v>
          </cell>
          <cell r="AN213">
            <v>12589</v>
          </cell>
          <cell r="AO213">
            <v>13926</v>
          </cell>
          <cell r="AP213">
            <v>15263</v>
          </cell>
          <cell r="AQ213">
            <v>0</v>
          </cell>
          <cell r="AS213">
            <v>16600</v>
          </cell>
        </row>
        <row r="214">
          <cell r="B214" t="str">
            <v>AC</v>
          </cell>
          <cell r="C214" t="str">
            <v>DOM</v>
          </cell>
          <cell r="D214" t="str">
            <v>EK</v>
          </cell>
          <cell r="E214" t="str">
            <v>21</v>
          </cell>
          <cell r="F214">
            <v>39924</v>
          </cell>
          <cell r="G214">
            <v>39925</v>
          </cell>
          <cell r="H214" t="str">
            <v>7640002766</v>
          </cell>
          <cell r="I214" t="str">
            <v>3HBHDM3HP</v>
          </cell>
          <cell r="J214" t="str">
            <v>MU2041078/00</v>
          </cell>
          <cell r="K214" t="str">
            <v>Punch Tool: 3-Hole Pattern, 8mm, Ltr</v>
          </cell>
          <cell r="L214">
            <v>7550</v>
          </cell>
          <cell r="M214">
            <v>5600</v>
          </cell>
          <cell r="N214">
            <v>5768</v>
          </cell>
          <cell r="O214">
            <v>0</v>
          </cell>
          <cell r="P214">
            <v>5768</v>
          </cell>
          <cell r="Q214">
            <v>5936</v>
          </cell>
          <cell r="R214">
            <v>6707.68</v>
          </cell>
          <cell r="S214">
            <v>1645.9</v>
          </cell>
          <cell r="T214" t="e">
            <v>#DIV/0!</v>
          </cell>
          <cell r="U214">
            <v>1274.5849600000001</v>
          </cell>
          <cell r="V214">
            <v>0.20118310512623658</v>
          </cell>
          <cell r="W214">
            <v>5768</v>
          </cell>
          <cell r="X214" t="e">
            <v>#DIV/0!</v>
          </cell>
          <cell r="Y214">
            <v>0</v>
          </cell>
          <cell r="Z214">
            <v>0</v>
          </cell>
          <cell r="AA214">
            <v>5950</v>
          </cell>
          <cell r="AB214">
            <v>5768</v>
          </cell>
          <cell r="AC214">
            <v>6072</v>
          </cell>
          <cell r="AD214">
            <v>6072</v>
          </cell>
          <cell r="AE214">
            <v>6071.58</v>
          </cell>
          <cell r="AF214">
            <v>5.0000164701774485E-2</v>
          </cell>
          <cell r="AG214">
            <v>5.0000164701774485E-2</v>
          </cell>
          <cell r="AH214">
            <v>6257</v>
          </cell>
          <cell r="AI214">
            <v>6442</v>
          </cell>
          <cell r="AJ214">
            <v>0.10462589257994412</v>
          </cell>
          <cell r="AK214">
            <v>6626.5</v>
          </cell>
          <cell r="AL214">
            <v>6811</v>
          </cell>
          <cell r="AM214">
            <v>0.15313463514902365</v>
          </cell>
          <cell r="AN214">
            <v>6995.75</v>
          </cell>
          <cell r="AO214">
            <v>7180.5</v>
          </cell>
          <cell r="AP214">
            <v>7365.25</v>
          </cell>
          <cell r="AQ214">
            <v>0</v>
          </cell>
          <cell r="AS214">
            <v>7550</v>
          </cell>
        </row>
        <row r="215">
          <cell r="B215" t="str">
            <v>AC</v>
          </cell>
          <cell r="C215" t="str">
            <v>DOM</v>
          </cell>
          <cell r="D215" t="str">
            <v>EK</v>
          </cell>
          <cell r="E215" t="str">
            <v>21</v>
          </cell>
          <cell r="F215">
            <v>39924</v>
          </cell>
          <cell r="G215">
            <v>39925</v>
          </cell>
          <cell r="H215" t="str">
            <v>7640002771</v>
          </cell>
          <cell r="I215" t="str">
            <v>3HBHMU204141200</v>
          </cell>
          <cell r="J215" t="str">
            <v>MU2041412/00</v>
          </cell>
          <cell r="K215" t="str">
            <v>Custom Punch Tool-44 Hole 4:1 Pitch</v>
          </cell>
          <cell r="L215">
            <v>20150</v>
          </cell>
          <cell r="M215">
            <v>14900</v>
          </cell>
          <cell r="N215">
            <v>15347</v>
          </cell>
          <cell r="O215">
            <v>0</v>
          </cell>
          <cell r="P215">
            <v>15347</v>
          </cell>
          <cell r="Q215">
            <v>15794</v>
          </cell>
          <cell r="R215">
            <v>17847.22</v>
          </cell>
          <cell r="S215">
            <v>87.9</v>
          </cell>
          <cell r="T215" t="e">
            <v>#DIV/0!</v>
          </cell>
          <cell r="U215">
            <v>68.069760000000002</v>
          </cell>
          <cell r="V215">
            <v>0.22079936817758727</v>
          </cell>
          <cell r="W215">
            <v>15347</v>
          </cell>
          <cell r="X215" t="e">
            <v>#DIV/0!</v>
          </cell>
          <cell r="Y215">
            <v>0</v>
          </cell>
          <cell r="Z215">
            <v>0</v>
          </cell>
          <cell r="AA215">
            <v>15832</v>
          </cell>
          <cell r="AB215">
            <v>15347</v>
          </cell>
          <cell r="AC215">
            <v>16155</v>
          </cell>
          <cell r="AD215">
            <v>16155</v>
          </cell>
          <cell r="AE215">
            <v>16154.74</v>
          </cell>
          <cell r="AF215">
            <v>5.0000185704010082E-2</v>
          </cell>
          <cell r="AG215">
            <v>5.0000185704010082E-2</v>
          </cell>
          <cell r="AH215">
            <v>16655</v>
          </cell>
          <cell r="AI215">
            <v>17154</v>
          </cell>
          <cell r="AJ215">
            <v>0.10533986242275854</v>
          </cell>
          <cell r="AK215">
            <v>17653.5</v>
          </cell>
          <cell r="AL215">
            <v>18153</v>
          </cell>
          <cell r="AM215">
            <v>0.15457500137718283</v>
          </cell>
          <cell r="AN215">
            <v>18652.25</v>
          </cell>
          <cell r="AO215">
            <v>19151.5</v>
          </cell>
          <cell r="AP215">
            <v>19650.75</v>
          </cell>
          <cell r="AQ215">
            <v>0</v>
          </cell>
          <cell r="AS215">
            <v>20150</v>
          </cell>
        </row>
        <row r="216">
          <cell r="B216" t="str">
            <v>AC</v>
          </cell>
          <cell r="C216" t="str">
            <v>DOM</v>
          </cell>
          <cell r="D216" t="str">
            <v>EK</v>
          </cell>
          <cell r="E216" t="str">
            <v>21</v>
          </cell>
          <cell r="F216">
            <v>39924</v>
          </cell>
          <cell r="G216">
            <v>39925</v>
          </cell>
          <cell r="H216" t="str">
            <v>7640002775</v>
          </cell>
          <cell r="I216" t="str">
            <v>3HBHDM4HP</v>
          </cell>
          <cell r="J216" t="str">
            <v>MU2041086/00</v>
          </cell>
          <cell r="K216" t="str">
            <v>Punch Tool: 4-Hole Pattern</v>
          </cell>
          <cell r="L216">
            <v>7550</v>
          </cell>
          <cell r="M216">
            <v>5600</v>
          </cell>
          <cell r="N216">
            <v>5768</v>
          </cell>
          <cell r="O216">
            <v>0</v>
          </cell>
          <cell r="P216">
            <v>5768</v>
          </cell>
          <cell r="Q216">
            <v>5936</v>
          </cell>
          <cell r="R216">
            <v>6707.68</v>
          </cell>
          <cell r="S216">
            <v>568.6</v>
          </cell>
          <cell r="T216" t="e">
            <v>#DIV/0!</v>
          </cell>
          <cell r="U216">
            <v>440.32384000000002</v>
          </cell>
          <cell r="V216">
            <v>0.14499292157335836</v>
          </cell>
          <cell r="W216">
            <v>5768</v>
          </cell>
          <cell r="X216" t="e">
            <v>#DIV/0!</v>
          </cell>
          <cell r="Y216">
            <v>0</v>
          </cell>
          <cell r="Z216">
            <v>0</v>
          </cell>
          <cell r="AA216">
            <v>5950</v>
          </cell>
          <cell r="AB216">
            <v>5768</v>
          </cell>
          <cell r="AC216">
            <v>6072</v>
          </cell>
          <cell r="AD216">
            <v>6072</v>
          </cell>
          <cell r="AE216">
            <v>6071.58</v>
          </cell>
          <cell r="AF216">
            <v>5.0000164701774485E-2</v>
          </cell>
          <cell r="AG216">
            <v>5.0000164701774485E-2</v>
          </cell>
          <cell r="AH216">
            <v>6257</v>
          </cell>
          <cell r="AI216">
            <v>6442</v>
          </cell>
          <cell r="AJ216">
            <v>0.10462589257994412</v>
          </cell>
          <cell r="AK216">
            <v>6626.5</v>
          </cell>
          <cell r="AL216">
            <v>6811</v>
          </cell>
          <cell r="AM216">
            <v>0.15313463514902365</v>
          </cell>
          <cell r="AN216">
            <v>6995.75</v>
          </cell>
          <cell r="AO216">
            <v>7180.5</v>
          </cell>
          <cell r="AP216">
            <v>7365.25</v>
          </cell>
          <cell r="AQ216">
            <v>0</v>
          </cell>
          <cell r="AS216">
            <v>7550</v>
          </cell>
        </row>
        <row r="217">
          <cell r="B217" t="str">
            <v>AC</v>
          </cell>
          <cell r="C217" t="str">
            <v>DOM</v>
          </cell>
          <cell r="D217" t="str">
            <v>EK</v>
          </cell>
          <cell r="E217" t="str">
            <v>21</v>
          </cell>
          <cell r="F217">
            <v>39924</v>
          </cell>
          <cell r="G217">
            <v>39925</v>
          </cell>
          <cell r="H217" t="str">
            <v>7640002778</v>
          </cell>
          <cell r="I217" t="str">
            <v>3HBHMU204143400</v>
          </cell>
          <cell r="J217" t="str">
            <v>MU2041434/00</v>
          </cell>
          <cell r="K217" t="str">
            <v>Punch Tool: 5-Hole, 5/16", L</v>
          </cell>
          <cell r="L217">
            <v>13500</v>
          </cell>
          <cell r="M217">
            <v>10000</v>
          </cell>
          <cell r="N217">
            <v>10300</v>
          </cell>
          <cell r="O217">
            <v>0</v>
          </cell>
          <cell r="P217">
            <v>10300</v>
          </cell>
          <cell r="Q217">
            <v>10600</v>
          </cell>
          <cell r="R217">
            <v>11978</v>
          </cell>
          <cell r="S217">
            <v>52.5</v>
          </cell>
          <cell r="T217" t="e">
            <v>#DIV/0!</v>
          </cell>
          <cell r="U217">
            <v>40.655999999999999</v>
          </cell>
          <cell r="V217">
            <v>0.20700511609602512</v>
          </cell>
          <cell r="W217">
            <v>10300</v>
          </cell>
          <cell r="X217" t="e">
            <v>#DIV/0!</v>
          </cell>
          <cell r="Y217">
            <v>0</v>
          </cell>
          <cell r="Z217">
            <v>0</v>
          </cell>
          <cell r="AA217">
            <v>10625</v>
          </cell>
          <cell r="AB217">
            <v>10300</v>
          </cell>
          <cell r="AC217">
            <v>10843</v>
          </cell>
          <cell r="AD217">
            <v>10843</v>
          </cell>
          <cell r="AE217">
            <v>10842.11</v>
          </cell>
          <cell r="AF217">
            <v>5.0000415048362411E-2</v>
          </cell>
          <cell r="AG217">
            <v>5.0000415048362411E-2</v>
          </cell>
          <cell r="AH217">
            <v>11176</v>
          </cell>
          <cell r="AI217">
            <v>11508</v>
          </cell>
          <cell r="AJ217">
            <v>0.10497045533541884</v>
          </cell>
          <cell r="AK217">
            <v>11840</v>
          </cell>
          <cell r="AL217">
            <v>12172</v>
          </cell>
          <cell r="AM217">
            <v>0.15379559645087085</v>
          </cell>
          <cell r="AN217">
            <v>12504</v>
          </cell>
          <cell r="AO217">
            <v>12836</v>
          </cell>
          <cell r="AP217">
            <v>13168</v>
          </cell>
          <cell r="AQ217">
            <v>0</v>
          </cell>
          <cell r="AS217">
            <v>13500</v>
          </cell>
        </row>
        <row r="218">
          <cell r="B218" t="str">
            <v>AC</v>
          </cell>
          <cell r="C218" t="str">
            <v>DOM</v>
          </cell>
          <cell r="D218" t="str">
            <v>EK</v>
          </cell>
          <cell r="E218" t="str">
            <v>21</v>
          </cell>
          <cell r="F218">
            <v>39924</v>
          </cell>
          <cell r="G218">
            <v>39925</v>
          </cell>
          <cell r="H218" t="str">
            <v>7640002781</v>
          </cell>
          <cell r="I218" t="str">
            <v>3HBHMU204162000</v>
          </cell>
          <cell r="J218" t="str">
            <v>MU2041620/00</v>
          </cell>
          <cell r="K218" t="str">
            <v>Punch Tool: 7-Hole, 9/32", Ltr</v>
          </cell>
          <cell r="L218">
            <v>20150</v>
          </cell>
          <cell r="M218">
            <v>14900</v>
          </cell>
          <cell r="N218">
            <v>15347</v>
          </cell>
          <cell r="O218">
            <v>0</v>
          </cell>
          <cell r="P218">
            <v>15347</v>
          </cell>
          <cell r="Q218">
            <v>15794</v>
          </cell>
          <cell r="R218">
            <v>17847.22</v>
          </cell>
          <cell r="S218">
            <v>518.70000000000005</v>
          </cell>
          <cell r="T218" t="e">
            <v>#DIV/0!</v>
          </cell>
          <cell r="U218">
            <v>401.68128000000002</v>
          </cell>
          <cell r="V218">
            <v>0.20773006897408813</v>
          </cell>
          <cell r="W218">
            <v>15347</v>
          </cell>
          <cell r="X218" t="e">
            <v>#DIV/0!</v>
          </cell>
          <cell r="Y218">
            <v>0</v>
          </cell>
          <cell r="Z218">
            <v>0</v>
          </cell>
          <cell r="AA218">
            <v>15832</v>
          </cell>
          <cell r="AB218">
            <v>15347</v>
          </cell>
          <cell r="AC218">
            <v>16155</v>
          </cell>
          <cell r="AD218">
            <v>16155</v>
          </cell>
          <cell r="AE218">
            <v>16154.74</v>
          </cell>
          <cell r="AF218">
            <v>5.0000185704010082E-2</v>
          </cell>
          <cell r="AG218">
            <v>5.0000185704010082E-2</v>
          </cell>
          <cell r="AH218">
            <v>16655</v>
          </cell>
          <cell r="AI218">
            <v>17154</v>
          </cell>
          <cell r="AJ218">
            <v>0.10533986242275854</v>
          </cell>
          <cell r="AK218">
            <v>17653.5</v>
          </cell>
          <cell r="AL218">
            <v>18153</v>
          </cell>
          <cell r="AM218">
            <v>0.15457500137718283</v>
          </cell>
          <cell r="AN218">
            <v>18652.25</v>
          </cell>
          <cell r="AO218">
            <v>19151.5</v>
          </cell>
          <cell r="AP218">
            <v>19650.75</v>
          </cell>
          <cell r="AQ218">
            <v>0</v>
          </cell>
          <cell r="AS218">
            <v>20150</v>
          </cell>
        </row>
        <row r="219">
          <cell r="B219" t="str">
            <v>AC</v>
          </cell>
          <cell r="C219" t="str">
            <v>DOM</v>
          </cell>
          <cell r="D219" t="str">
            <v>EK</v>
          </cell>
          <cell r="E219" t="str">
            <v>21</v>
          </cell>
          <cell r="F219">
            <v>39924</v>
          </cell>
          <cell r="G219">
            <v>39924</v>
          </cell>
          <cell r="H219" t="str">
            <v>7640002791</v>
          </cell>
          <cell r="I219" t="str">
            <v xml:space="preserve">3HBBKCA14740  </v>
          </cell>
          <cell r="J219" t="str">
            <v>KCA14740</v>
          </cell>
          <cell r="K219" t="str">
            <v>WorkFlow Service Plan: 2YR Prepaid</v>
          </cell>
          <cell r="L219">
            <v>5820</v>
          </cell>
          <cell r="M219">
            <v>2640</v>
          </cell>
          <cell r="N219">
            <v>2719.2</v>
          </cell>
          <cell r="O219">
            <v>0</v>
          </cell>
          <cell r="P219">
            <v>2719.2</v>
          </cell>
          <cell r="Q219">
            <v>2798.4</v>
          </cell>
          <cell r="R219">
            <v>3162.19</v>
          </cell>
          <cell r="S219">
            <v>3192</v>
          </cell>
          <cell r="T219" t="e">
            <v>#DIV/0!</v>
          </cell>
          <cell r="U219">
            <v>2471.8847999999998</v>
          </cell>
          <cell r="V219">
            <v>0.16316488535388052</v>
          </cell>
          <cell r="W219">
            <v>2719.2</v>
          </cell>
          <cell r="X219" t="e">
            <v>#DIV/0!</v>
          </cell>
          <cell r="Y219">
            <v>0</v>
          </cell>
          <cell r="Z219">
            <v>0</v>
          </cell>
          <cell r="AA219">
            <v>3211</v>
          </cell>
          <cell r="AB219">
            <v>2720</v>
          </cell>
          <cell r="AC219">
            <v>2863</v>
          </cell>
          <cell r="AD219">
            <v>3070</v>
          </cell>
          <cell r="AE219">
            <v>3276.14</v>
          </cell>
          <cell r="AF219">
            <v>0.16999884009840852</v>
          </cell>
          <cell r="AG219">
            <v>0.16999884009840852</v>
          </cell>
          <cell r="AH219">
            <v>3459</v>
          </cell>
          <cell r="AI219">
            <v>3640</v>
          </cell>
          <cell r="AJ219">
            <v>0.25296703296703299</v>
          </cell>
          <cell r="AK219">
            <v>3821.5</v>
          </cell>
          <cell r="AL219">
            <v>4003</v>
          </cell>
          <cell r="AM219">
            <v>0.32070946789907573</v>
          </cell>
          <cell r="AN219">
            <v>4457.25</v>
          </cell>
          <cell r="AO219">
            <v>4911.5</v>
          </cell>
          <cell r="AP219">
            <v>5365.75</v>
          </cell>
          <cell r="AQ219">
            <v>0</v>
          </cell>
          <cell r="AS219">
            <v>5820</v>
          </cell>
        </row>
        <row r="220">
          <cell r="B220" t="str">
            <v>AC</v>
          </cell>
          <cell r="C220" t="str">
            <v>DOM</v>
          </cell>
          <cell r="D220" t="str">
            <v>EK</v>
          </cell>
          <cell r="E220" t="str">
            <v>21</v>
          </cell>
          <cell r="F220">
            <v>39924</v>
          </cell>
          <cell r="G220">
            <v>39924</v>
          </cell>
          <cell r="H220" t="str">
            <v>7640002792</v>
          </cell>
          <cell r="I220" t="str">
            <v>3HBBKCA14736</v>
          </cell>
          <cell r="J220" t="str">
            <v>KCA14736</v>
          </cell>
          <cell r="K220" t="str">
            <v>WorkFlow Service Plan: 4YR Prepaid</v>
          </cell>
          <cell r="L220">
            <v>10560</v>
          </cell>
          <cell r="M220">
            <v>5280</v>
          </cell>
          <cell r="N220">
            <v>5438.4</v>
          </cell>
          <cell r="O220">
            <v>0</v>
          </cell>
          <cell r="P220">
            <v>5438.4</v>
          </cell>
          <cell r="Q220">
            <v>5596.8</v>
          </cell>
          <cell r="R220">
            <v>6324.38</v>
          </cell>
          <cell r="S220">
            <v>1535.3</v>
          </cell>
          <cell r="T220" t="e">
            <v>#DIV/0!</v>
          </cell>
          <cell r="U220">
            <v>1188.93632</v>
          </cell>
          <cell r="V220">
            <v>0.19699652206772519</v>
          </cell>
          <cell r="W220">
            <v>5438.4</v>
          </cell>
          <cell r="X220" t="e">
            <v>#DIV/0!</v>
          </cell>
          <cell r="Y220">
            <v>0</v>
          </cell>
          <cell r="Z220">
            <v>0</v>
          </cell>
          <cell r="AA220">
            <v>6421</v>
          </cell>
          <cell r="AB220">
            <v>5439</v>
          </cell>
          <cell r="AC220">
            <v>5725</v>
          </cell>
          <cell r="AD220">
            <v>6139</v>
          </cell>
          <cell r="AE220">
            <v>6552.29</v>
          </cell>
          <cell r="AF220">
            <v>0.17000010683287833</v>
          </cell>
          <cell r="AG220">
            <v>0.17000010683287833</v>
          </cell>
          <cell r="AH220">
            <v>6798</v>
          </cell>
          <cell r="AI220">
            <v>7042</v>
          </cell>
          <cell r="AJ220">
            <v>0.2277193978983244</v>
          </cell>
          <cell r="AK220">
            <v>7286</v>
          </cell>
          <cell r="AL220">
            <v>7530</v>
          </cell>
          <cell r="AM220">
            <v>0.27776892430278888</v>
          </cell>
          <cell r="AN220">
            <v>8287.5</v>
          </cell>
          <cell r="AO220">
            <v>9045</v>
          </cell>
          <cell r="AP220">
            <v>9802.5</v>
          </cell>
          <cell r="AQ220">
            <v>0</v>
          </cell>
          <cell r="AS220">
            <v>10560</v>
          </cell>
        </row>
        <row r="221">
          <cell r="B221" t="str">
            <v>AC</v>
          </cell>
          <cell r="C221" t="str">
            <v>DOM</v>
          </cell>
          <cell r="D221" t="str">
            <v>EK</v>
          </cell>
          <cell r="E221" t="str">
            <v>21</v>
          </cell>
          <cell r="F221">
            <v>39924</v>
          </cell>
          <cell r="G221">
            <v>39924</v>
          </cell>
          <cell r="H221" t="str">
            <v>7640002793</v>
          </cell>
          <cell r="I221" t="str">
            <v>3HBBKCA14737</v>
          </cell>
          <cell r="J221" t="str">
            <v>KCA14737</v>
          </cell>
          <cell r="K221" t="str">
            <v>WorkFlow Service Plan: 5YR Prepaid</v>
          </cell>
          <cell r="L221">
            <v>13200</v>
          </cell>
          <cell r="M221">
            <v>6600</v>
          </cell>
          <cell r="N221">
            <v>6798</v>
          </cell>
          <cell r="O221">
            <v>0</v>
          </cell>
          <cell r="P221">
            <v>6798</v>
          </cell>
          <cell r="Q221">
            <v>6996</v>
          </cell>
          <cell r="R221">
            <v>7905.48</v>
          </cell>
          <cell r="S221">
            <v>2370.1</v>
          </cell>
          <cell r="T221" t="e">
            <v>#DIV/0!</v>
          </cell>
          <cell r="U221">
            <v>1835.4054399999998</v>
          </cell>
          <cell r="V221">
            <v>0.10415433878195315</v>
          </cell>
          <cell r="W221">
            <v>6798</v>
          </cell>
          <cell r="X221" t="e">
            <v>#DIV/0!</v>
          </cell>
          <cell r="Y221">
            <v>0</v>
          </cell>
          <cell r="Z221">
            <v>0</v>
          </cell>
          <cell r="AA221">
            <v>8027</v>
          </cell>
          <cell r="AB221">
            <v>6798</v>
          </cell>
          <cell r="AC221">
            <v>7156</v>
          </cell>
          <cell r="AD221">
            <v>7674</v>
          </cell>
          <cell r="AE221">
            <v>8190.36</v>
          </cell>
          <cell r="AF221">
            <v>0.16999985348629362</v>
          </cell>
          <cell r="AG221">
            <v>0.16999985348629362</v>
          </cell>
          <cell r="AH221">
            <v>8497</v>
          </cell>
          <cell r="AI221">
            <v>8802</v>
          </cell>
          <cell r="AJ221">
            <v>0.22767552828902521</v>
          </cell>
          <cell r="AK221">
            <v>9107</v>
          </cell>
          <cell r="AL221">
            <v>9412</v>
          </cell>
          <cell r="AM221">
            <v>0.2777305567360816</v>
          </cell>
          <cell r="AN221">
            <v>10359</v>
          </cell>
          <cell r="AO221">
            <v>11306</v>
          </cell>
          <cell r="AP221">
            <v>12253</v>
          </cell>
          <cell r="AQ221">
            <v>0</v>
          </cell>
          <cell r="AS221">
            <v>13200</v>
          </cell>
        </row>
        <row r="222">
          <cell r="B222" t="str">
            <v>AC</v>
          </cell>
          <cell r="C222" t="str">
            <v>DOM</v>
          </cell>
          <cell r="D222" t="str">
            <v>EK</v>
          </cell>
          <cell r="E222" t="str">
            <v>21</v>
          </cell>
          <cell r="F222">
            <v>39924</v>
          </cell>
          <cell r="G222">
            <v>39924</v>
          </cell>
          <cell r="H222" t="str">
            <v>7640002794</v>
          </cell>
          <cell r="I222" t="str">
            <v>3HBBKCA14738</v>
          </cell>
          <cell r="J222" t="str">
            <v>KCA14738</v>
          </cell>
          <cell r="K222" t="str">
            <v>WorkFlow Service Plan: 6YR Prepaid</v>
          </cell>
          <cell r="L222">
            <v>15840</v>
          </cell>
          <cell r="M222">
            <v>7920</v>
          </cell>
          <cell r="N222">
            <v>8157.6</v>
          </cell>
          <cell r="O222">
            <v>0</v>
          </cell>
          <cell r="P222">
            <v>8157.6</v>
          </cell>
          <cell r="Q222">
            <v>8395.2000000000007</v>
          </cell>
          <cell r="R222">
            <v>9486.58</v>
          </cell>
          <cell r="S222">
            <v>2424</v>
          </cell>
          <cell r="T222" t="e">
            <v>#DIV/0!</v>
          </cell>
          <cell r="U222">
            <v>1877.1455999999998</v>
          </cell>
          <cell r="V222">
            <v>0.15233000572784541</v>
          </cell>
          <cell r="W222">
            <v>8157.6</v>
          </cell>
          <cell r="X222" t="e">
            <v>#DIV/0!</v>
          </cell>
          <cell r="Y222">
            <v>0</v>
          </cell>
          <cell r="Z222">
            <v>0</v>
          </cell>
          <cell r="AA222">
            <v>9632</v>
          </cell>
          <cell r="AB222">
            <v>8158</v>
          </cell>
          <cell r="AC222">
            <v>8587</v>
          </cell>
          <cell r="AD222">
            <v>9208</v>
          </cell>
          <cell r="AE222">
            <v>9828.43</v>
          </cell>
          <cell r="AF222">
            <v>0.16999968458848461</v>
          </cell>
          <cell r="AG222">
            <v>0.16999968458848461</v>
          </cell>
          <cell r="AH222">
            <v>10196</v>
          </cell>
          <cell r="AI222">
            <v>10562</v>
          </cell>
          <cell r="AJ222">
            <v>0.22764627911380417</v>
          </cell>
          <cell r="AK222">
            <v>10928.5</v>
          </cell>
          <cell r="AL222">
            <v>11295</v>
          </cell>
          <cell r="AM222">
            <v>0.27776892430278882</v>
          </cell>
          <cell r="AN222">
            <v>12431.25</v>
          </cell>
          <cell r="AO222">
            <v>13567.5</v>
          </cell>
          <cell r="AP222">
            <v>14703.75</v>
          </cell>
          <cell r="AQ222">
            <v>0</v>
          </cell>
          <cell r="AS222">
            <v>15840</v>
          </cell>
        </row>
        <row r="223">
          <cell r="B223" t="str">
            <v>AC</v>
          </cell>
          <cell r="C223" t="str">
            <v>DOM</v>
          </cell>
          <cell r="D223" t="str">
            <v>EK</v>
          </cell>
          <cell r="E223" t="str">
            <v>21</v>
          </cell>
          <cell r="F223">
            <v>39924</v>
          </cell>
          <cell r="G223">
            <v>39924</v>
          </cell>
          <cell r="H223" t="str">
            <v>7640005209</v>
          </cell>
          <cell r="I223" t="str">
            <v>3KDBSB415A00</v>
          </cell>
          <cell r="J223" t="str">
            <v>KHR696415A00</v>
          </cell>
          <cell r="K223" t="str">
            <v>Kodak SmartBoard 5.0 Monochrome/Color Suite Software</v>
          </cell>
          <cell r="L223">
            <v>15000</v>
          </cell>
          <cell r="M223">
            <v>4500</v>
          </cell>
          <cell r="N223">
            <v>4635</v>
          </cell>
          <cell r="O223">
            <v>0</v>
          </cell>
          <cell r="P223">
            <v>4635</v>
          </cell>
          <cell r="Q223">
            <v>4770</v>
          </cell>
          <cell r="R223">
            <v>5390.1</v>
          </cell>
          <cell r="S223">
            <v>723.6</v>
          </cell>
          <cell r="T223" t="e">
            <v>#DIV/0!</v>
          </cell>
          <cell r="U223">
            <v>560.35584000000006</v>
          </cell>
          <cell r="V223">
            <v>0.16667237732366635</v>
          </cell>
          <cell r="W223">
            <v>4635</v>
          </cell>
          <cell r="X223" t="e">
            <v>#DIV/0!</v>
          </cell>
          <cell r="Y223">
            <v>0</v>
          </cell>
          <cell r="Z223">
            <v>0</v>
          </cell>
          <cell r="AA223">
            <v>5473</v>
          </cell>
          <cell r="AB223">
            <v>4635</v>
          </cell>
          <cell r="AC223">
            <v>4879</v>
          </cell>
          <cell r="AD223">
            <v>5232</v>
          </cell>
          <cell r="AE223">
            <v>5584.34</v>
          </cell>
          <cell r="AF223">
            <v>0.17000039395882058</v>
          </cell>
          <cell r="AG223">
            <v>0.17000039395882058</v>
          </cell>
          <cell r="AH223">
            <v>6454</v>
          </cell>
          <cell r="AI223">
            <v>7322</v>
          </cell>
          <cell r="AJ223">
            <v>0.36697623600109258</v>
          </cell>
          <cell r="AK223">
            <v>8190</v>
          </cell>
          <cell r="AL223">
            <v>9058</v>
          </cell>
          <cell r="AM223">
            <v>0.48829763744756016</v>
          </cell>
          <cell r="AN223">
            <v>10543.5</v>
          </cell>
          <cell r="AO223">
            <v>12029</v>
          </cell>
          <cell r="AP223">
            <v>13514.5</v>
          </cell>
          <cell r="AQ223">
            <v>0</v>
          </cell>
          <cell r="AS223">
            <v>15000</v>
          </cell>
        </row>
        <row r="224">
          <cell r="B224" t="str">
            <v>AC</v>
          </cell>
          <cell r="C224" t="str">
            <v>DOM</v>
          </cell>
          <cell r="D224" t="str">
            <v>EK</v>
          </cell>
          <cell r="E224" t="str">
            <v>21</v>
          </cell>
          <cell r="F224">
            <v>39924</v>
          </cell>
          <cell r="G224">
            <v>39924</v>
          </cell>
          <cell r="H224" t="str">
            <v>7640005214</v>
          </cell>
          <cell r="I224" t="str">
            <v>3KDBSB432A00</v>
          </cell>
          <cell r="J224" t="str">
            <v>KHR696432A00</v>
          </cell>
          <cell r="K224" t="str">
            <v>SmartBoard 5.0 Monochrome to Monochrome &amp; Color Software/upgrade from Release 4.0</v>
          </cell>
          <cell r="L224">
            <v>1000</v>
          </cell>
          <cell r="M224">
            <v>500</v>
          </cell>
          <cell r="N224">
            <v>515</v>
          </cell>
          <cell r="O224">
            <v>0</v>
          </cell>
          <cell r="P224">
            <v>515</v>
          </cell>
          <cell r="Q224">
            <v>530</v>
          </cell>
          <cell r="R224">
            <v>598.9</v>
          </cell>
          <cell r="S224">
            <v>87.9</v>
          </cell>
          <cell r="T224" t="e">
            <v>#DIV/0!</v>
          </cell>
          <cell r="U224">
            <v>68.069760000000002</v>
          </cell>
          <cell r="V224">
            <v>0.22079936817758727</v>
          </cell>
          <cell r="W224">
            <v>515</v>
          </cell>
          <cell r="X224" t="e">
            <v>#DIV/0!</v>
          </cell>
          <cell r="Y224">
            <v>0</v>
          </cell>
          <cell r="Z224">
            <v>0</v>
          </cell>
          <cell r="AA224">
            <v>608</v>
          </cell>
          <cell r="AB224">
            <v>515</v>
          </cell>
          <cell r="AC224">
            <v>543</v>
          </cell>
          <cell r="AD224">
            <v>582</v>
          </cell>
          <cell r="AE224">
            <v>620.48</v>
          </cell>
          <cell r="AF224">
            <v>0.16999742135121199</v>
          </cell>
          <cell r="AG224">
            <v>0.16999742135121199</v>
          </cell>
          <cell r="AH224">
            <v>645</v>
          </cell>
          <cell r="AI224">
            <v>668</v>
          </cell>
          <cell r="AJ224">
            <v>0.22904191616766467</v>
          </cell>
          <cell r="AK224">
            <v>691</v>
          </cell>
          <cell r="AL224">
            <v>714</v>
          </cell>
          <cell r="AM224">
            <v>0.27871148459383754</v>
          </cell>
          <cell r="AN224">
            <v>785.5</v>
          </cell>
          <cell r="AO224">
            <v>857</v>
          </cell>
          <cell r="AP224">
            <v>928.5</v>
          </cell>
          <cell r="AQ224">
            <v>0</v>
          </cell>
          <cell r="AS224">
            <v>1000</v>
          </cell>
        </row>
        <row r="225">
          <cell r="B225" t="str">
            <v>AC</v>
          </cell>
          <cell r="C225" t="str">
            <v>DOM</v>
          </cell>
          <cell r="D225" t="str">
            <v>EK</v>
          </cell>
          <cell r="E225" t="str">
            <v>21</v>
          </cell>
          <cell r="F225">
            <v>39924</v>
          </cell>
          <cell r="G225">
            <v>39924</v>
          </cell>
          <cell r="H225" t="str">
            <v>7640005234</v>
          </cell>
          <cell r="I225" t="str">
            <v>3KDEXCABKITG</v>
          </cell>
          <cell r="J225" t="str">
            <v>KHB694149A00</v>
          </cell>
          <cell r="K225" t="str">
            <v>DM EX Series Cabinetry Kit 60 Hz (Required Item)</v>
          </cell>
          <cell r="L225">
            <v>11807</v>
          </cell>
          <cell r="M225">
            <v>5406</v>
          </cell>
          <cell r="N225">
            <v>5568.18</v>
          </cell>
          <cell r="O225">
            <v>0</v>
          </cell>
          <cell r="P225">
            <v>5568.18</v>
          </cell>
          <cell r="Q225">
            <v>5730.36</v>
          </cell>
          <cell r="R225">
            <v>6475.31</v>
          </cell>
          <cell r="S225">
            <v>737.4</v>
          </cell>
          <cell r="T225" t="e">
            <v>#DIV/0!</v>
          </cell>
          <cell r="U225">
            <v>571.04255999999998</v>
          </cell>
          <cell r="V225">
            <v>0.25693804678936716</v>
          </cell>
          <cell r="W225">
            <v>5568.18</v>
          </cell>
          <cell r="X225" t="e">
            <v>#DIV/0!</v>
          </cell>
          <cell r="Y225">
            <v>0</v>
          </cell>
          <cell r="Z225">
            <v>0</v>
          </cell>
          <cell r="AA225">
            <v>6574</v>
          </cell>
          <cell r="AB225">
            <v>5569</v>
          </cell>
          <cell r="AC225">
            <v>5862</v>
          </cell>
          <cell r="AD225">
            <v>6286</v>
          </cell>
          <cell r="AE225">
            <v>6708.65</v>
          </cell>
          <cell r="AF225">
            <v>0.16999992546935663</v>
          </cell>
          <cell r="AG225">
            <v>0.16999992546935663</v>
          </cell>
          <cell r="AH225">
            <v>7069</v>
          </cell>
          <cell r="AI225">
            <v>7428</v>
          </cell>
          <cell r="AJ225">
            <v>0.25037964458804518</v>
          </cell>
          <cell r="AK225">
            <v>7787.5</v>
          </cell>
          <cell r="AL225">
            <v>8147</v>
          </cell>
          <cell r="AM225">
            <v>0.3165361482754388</v>
          </cell>
          <cell r="AN225">
            <v>9062</v>
          </cell>
          <cell r="AO225">
            <v>9977</v>
          </cell>
          <cell r="AP225">
            <v>10892</v>
          </cell>
          <cell r="AQ225">
            <v>0</v>
          </cell>
          <cell r="AS225">
            <v>11807</v>
          </cell>
        </row>
        <row r="226">
          <cell r="B226" t="str">
            <v>AC</v>
          </cell>
          <cell r="C226" t="str">
            <v>DOM</v>
          </cell>
          <cell r="D226" t="str">
            <v>EK</v>
          </cell>
          <cell r="E226" t="str">
            <v>21</v>
          </cell>
          <cell r="F226">
            <v>39924</v>
          </cell>
          <cell r="G226">
            <v>39924</v>
          </cell>
          <cell r="H226" t="str">
            <v>7640005235</v>
          </cell>
          <cell r="I226" t="str">
            <v>4KDU45SCSG</v>
          </cell>
          <cell r="J226" t="str">
            <v>KHB694161A00</v>
          </cell>
          <cell r="K226" t="str">
            <v>Ultra 45 SCS With R7.0 Software (Preloaded Still Requires License Key)</v>
          </cell>
          <cell r="L226">
            <v>33250</v>
          </cell>
          <cell r="M226">
            <v>21041</v>
          </cell>
          <cell r="N226">
            <v>21672.23</v>
          </cell>
          <cell r="O226">
            <v>0</v>
          </cell>
          <cell r="P226">
            <v>21672.23</v>
          </cell>
          <cell r="Q226">
            <v>22303.46</v>
          </cell>
          <cell r="R226">
            <v>25202.91</v>
          </cell>
          <cell r="S226">
            <v>672</v>
          </cell>
          <cell r="T226" t="e">
            <v>#DIV/0!</v>
          </cell>
          <cell r="U226">
            <v>520.39679999999998</v>
          </cell>
          <cell r="V226">
            <v>0.18462219598583235</v>
          </cell>
          <cell r="W226">
            <v>21672.23</v>
          </cell>
          <cell r="X226" t="e">
            <v>#DIV/0!</v>
          </cell>
          <cell r="Y226">
            <v>0</v>
          </cell>
          <cell r="Z226">
            <v>0</v>
          </cell>
          <cell r="AA226">
            <v>23599</v>
          </cell>
          <cell r="AB226">
            <v>21673</v>
          </cell>
          <cell r="AC226">
            <v>22813</v>
          </cell>
          <cell r="AD226">
            <v>23447</v>
          </cell>
          <cell r="AE226">
            <v>24080.26</v>
          </cell>
          <cell r="AF226">
            <v>0.10000016611116321</v>
          </cell>
          <cell r="AG226">
            <v>0.10000016611116321</v>
          </cell>
          <cell r="AH226">
            <v>24368</v>
          </cell>
          <cell r="AI226">
            <v>24654</v>
          </cell>
          <cell r="AJ226">
            <v>0.12094467429220412</v>
          </cell>
          <cell r="AK226">
            <v>24940</v>
          </cell>
          <cell r="AL226">
            <v>25226</v>
          </cell>
          <cell r="AM226">
            <v>0.14087726948386586</v>
          </cell>
          <cell r="AN226">
            <v>27232</v>
          </cell>
          <cell r="AO226">
            <v>29238</v>
          </cell>
          <cell r="AP226">
            <v>31244</v>
          </cell>
          <cell r="AQ226">
            <v>0</v>
          </cell>
          <cell r="AR226">
            <v>295</v>
          </cell>
          <cell r="AS226">
            <v>33250</v>
          </cell>
        </row>
        <row r="227">
          <cell r="B227" t="str">
            <v>AC</v>
          </cell>
          <cell r="C227" t="str">
            <v>DOM</v>
          </cell>
          <cell r="D227" t="str">
            <v>EK</v>
          </cell>
          <cell r="E227" t="str">
            <v>21</v>
          </cell>
          <cell r="F227">
            <v>39924</v>
          </cell>
          <cell r="G227">
            <v>39924</v>
          </cell>
          <cell r="H227" t="str">
            <v>7640005237</v>
          </cell>
          <cell r="I227" t="str">
            <v>6KDEXPSMG_N</v>
          </cell>
          <cell r="J227" t="str">
            <v>KHB694152A00</v>
          </cell>
          <cell r="K227" t="str">
            <v>DM EX Series Paper Supply Module 60hz</v>
          </cell>
          <cell r="L227">
            <v>18400</v>
          </cell>
          <cell r="M227">
            <v>12296</v>
          </cell>
          <cell r="N227">
            <v>12664.88</v>
          </cell>
          <cell r="O227">
            <v>0</v>
          </cell>
          <cell r="P227">
            <v>12664.88</v>
          </cell>
          <cell r="Q227">
            <v>13033.76</v>
          </cell>
          <cell r="R227">
            <v>14728.15</v>
          </cell>
          <cell r="S227">
            <v>125.5</v>
          </cell>
          <cell r="T227" t="e">
            <v>#DIV/0!</v>
          </cell>
          <cell r="U227">
            <v>97.18719999999999</v>
          </cell>
          <cell r="V227">
            <v>0.12251819169602571</v>
          </cell>
          <cell r="W227">
            <v>12664.88</v>
          </cell>
          <cell r="X227" t="e">
            <v>#DIV/0!</v>
          </cell>
          <cell r="Y227">
            <v>0</v>
          </cell>
          <cell r="Z227">
            <v>0</v>
          </cell>
          <cell r="AA227">
            <v>13791</v>
          </cell>
          <cell r="AB227">
            <v>12665</v>
          </cell>
          <cell r="AC227">
            <v>13332</v>
          </cell>
          <cell r="AD227">
            <v>13703</v>
          </cell>
          <cell r="AE227">
            <v>14072.09</v>
          </cell>
          <cell r="AF227">
            <v>0.1000000710626496</v>
          </cell>
          <cell r="AG227">
            <v>0.1000000710626496</v>
          </cell>
          <cell r="AH227">
            <v>14127</v>
          </cell>
          <cell r="AI227">
            <v>14181</v>
          </cell>
          <cell r="AJ227">
            <v>0.10691206543967285</v>
          </cell>
          <cell r="AK227">
            <v>14234.5</v>
          </cell>
          <cell r="AL227">
            <v>14288</v>
          </cell>
          <cell r="AM227">
            <v>0.11360022396416579</v>
          </cell>
          <cell r="AN227">
            <v>15316</v>
          </cell>
          <cell r="AO227">
            <v>16344</v>
          </cell>
          <cell r="AP227">
            <v>17372</v>
          </cell>
          <cell r="AQ227">
            <v>0</v>
          </cell>
          <cell r="AR227">
            <v>295</v>
          </cell>
          <cell r="AS227">
            <v>18400</v>
          </cell>
        </row>
        <row r="228">
          <cell r="B228" t="str">
            <v>AC</v>
          </cell>
          <cell r="C228" t="str">
            <v>DOM</v>
          </cell>
          <cell r="D228" t="str">
            <v>EK</v>
          </cell>
          <cell r="E228" t="str">
            <v>21</v>
          </cell>
          <cell r="F228">
            <v>39924</v>
          </cell>
          <cell r="G228">
            <v>39924</v>
          </cell>
          <cell r="H228" t="str">
            <v>7640005239</v>
          </cell>
          <cell r="I228" t="str">
            <v>6KDEXINSERTG_N</v>
          </cell>
          <cell r="J228" t="str">
            <v>KHB694156A00</v>
          </cell>
          <cell r="K228" t="str">
            <v>DM EX Series Inserter 60 Hz</v>
          </cell>
          <cell r="L228">
            <v>34490</v>
          </cell>
          <cell r="M228">
            <v>20140</v>
          </cell>
          <cell r="N228">
            <v>20744.2</v>
          </cell>
          <cell r="O228">
            <v>0</v>
          </cell>
          <cell r="P228">
            <v>20744.2</v>
          </cell>
          <cell r="Q228">
            <v>21348.400000000001</v>
          </cell>
          <cell r="R228">
            <v>24123.69</v>
          </cell>
          <cell r="S228">
            <v>478.5</v>
          </cell>
          <cell r="T228" t="e">
            <v>#DIV/0!</v>
          </cell>
          <cell r="U228">
            <v>370.55039999999997</v>
          </cell>
          <cell r="V228">
            <v>0.19730217535860162</v>
          </cell>
          <cell r="W228">
            <v>20744.2</v>
          </cell>
          <cell r="X228" t="e">
            <v>#DIV/0!</v>
          </cell>
          <cell r="Y228">
            <v>0</v>
          </cell>
          <cell r="Z228">
            <v>200</v>
          </cell>
          <cell r="AA228">
            <v>22784</v>
          </cell>
          <cell r="AB228">
            <v>20745</v>
          </cell>
          <cell r="AC228">
            <v>21836</v>
          </cell>
          <cell r="AD228">
            <v>22543</v>
          </cell>
          <cell r="AE228">
            <v>23249.11</v>
          </cell>
          <cell r="AF228">
            <v>0.10774218884077712</v>
          </cell>
          <cell r="AG228">
            <v>0.10774218884077712</v>
          </cell>
          <cell r="AH228">
            <v>23811</v>
          </cell>
          <cell r="AI228">
            <v>24372</v>
          </cell>
          <cell r="AJ228">
            <v>0.14885114065320856</v>
          </cell>
          <cell r="AK228">
            <v>24933</v>
          </cell>
          <cell r="AL228">
            <v>25494</v>
          </cell>
          <cell r="AM228">
            <v>0.18631050443241545</v>
          </cell>
          <cell r="AN228">
            <v>27743</v>
          </cell>
          <cell r="AO228">
            <v>29992</v>
          </cell>
          <cell r="AP228">
            <v>32241</v>
          </cell>
          <cell r="AQ228">
            <v>0</v>
          </cell>
          <cell r="AR228">
            <v>295</v>
          </cell>
          <cell r="AS228">
            <v>34690</v>
          </cell>
        </row>
        <row r="229">
          <cell r="B229" t="str">
            <v>AC</v>
          </cell>
          <cell r="C229" t="str">
            <v>DOM</v>
          </cell>
          <cell r="D229" t="str">
            <v>EK</v>
          </cell>
          <cell r="E229" t="str">
            <v>21</v>
          </cell>
          <cell r="F229">
            <v>39924</v>
          </cell>
          <cell r="G229">
            <v>39924</v>
          </cell>
          <cell r="H229" t="str">
            <v>7640005240</v>
          </cell>
          <cell r="I229" t="str">
            <v>6KDEXFING_N</v>
          </cell>
          <cell r="J229" t="str">
            <v>KHB694151A00</v>
          </cell>
          <cell r="K229" t="str">
            <v>DM EX Series Finisher 60 Hz (Required Item)</v>
          </cell>
          <cell r="L229">
            <v>34490</v>
          </cell>
          <cell r="M229">
            <v>15792</v>
          </cell>
          <cell r="N229">
            <v>16265.76</v>
          </cell>
          <cell r="O229">
            <v>0</v>
          </cell>
          <cell r="P229">
            <v>16265.76</v>
          </cell>
          <cell r="Q229">
            <v>16739.52</v>
          </cell>
          <cell r="R229">
            <v>18915.66</v>
          </cell>
          <cell r="S229">
            <v>149.69999999999999</v>
          </cell>
          <cell r="T229" t="e">
            <v>#DIV/0!</v>
          </cell>
          <cell r="U229">
            <v>115.92767999999998</v>
          </cell>
          <cell r="V229">
            <v>8.4946753010152407E-2</v>
          </cell>
          <cell r="W229">
            <v>16265.76</v>
          </cell>
          <cell r="X229" t="e">
            <v>#DIV/0!</v>
          </cell>
          <cell r="Y229">
            <v>0</v>
          </cell>
          <cell r="Z229">
            <v>0</v>
          </cell>
          <cell r="AA229">
            <v>19205</v>
          </cell>
          <cell r="AB229">
            <v>16266</v>
          </cell>
          <cell r="AC229">
            <v>17122</v>
          </cell>
          <cell r="AD229">
            <v>18360</v>
          </cell>
          <cell r="AE229">
            <v>19597.3</v>
          </cell>
          <cell r="AF229">
            <v>0.16999994897256251</v>
          </cell>
          <cell r="AG229">
            <v>0.16999994897256251</v>
          </cell>
          <cell r="AH229">
            <v>20649</v>
          </cell>
          <cell r="AI229">
            <v>21699</v>
          </cell>
          <cell r="AJ229">
            <v>0.25039126227015068</v>
          </cell>
          <cell r="AK229">
            <v>22749</v>
          </cell>
          <cell r="AL229">
            <v>23799</v>
          </cell>
          <cell r="AM229">
            <v>0.31653598890709694</v>
          </cell>
          <cell r="AN229">
            <v>26471.75</v>
          </cell>
          <cell r="AO229">
            <v>29144.5</v>
          </cell>
          <cell r="AP229">
            <v>31817.25</v>
          </cell>
          <cell r="AQ229">
            <v>0</v>
          </cell>
          <cell r="AR229">
            <v>295</v>
          </cell>
          <cell r="AS229">
            <v>34490</v>
          </cell>
        </row>
        <row r="230">
          <cell r="B230" t="str">
            <v>AC</v>
          </cell>
          <cell r="C230" t="str">
            <v>DOM</v>
          </cell>
          <cell r="D230" t="str">
            <v>EK</v>
          </cell>
          <cell r="E230" t="str">
            <v>21</v>
          </cell>
          <cell r="F230">
            <v>39924</v>
          </cell>
          <cell r="G230">
            <v>39925</v>
          </cell>
          <cell r="H230" t="str">
            <v>7640005241</v>
          </cell>
          <cell r="I230" t="str">
            <v>6HBDMNLINEHPG_N</v>
          </cell>
          <cell r="J230" t="str">
            <v>KHB694123A00</v>
          </cell>
          <cell r="K230" t="str">
            <v>Digimaster Hole Puncher</v>
          </cell>
          <cell r="L230">
            <v>34900</v>
          </cell>
          <cell r="M230">
            <v>26200</v>
          </cell>
          <cell r="N230">
            <v>26986</v>
          </cell>
          <cell r="O230">
            <v>0</v>
          </cell>
          <cell r="P230">
            <v>26986</v>
          </cell>
          <cell r="Q230">
            <v>27772</v>
          </cell>
          <cell r="R230">
            <v>31382.36</v>
          </cell>
          <cell r="S230">
            <v>1645.9</v>
          </cell>
          <cell r="T230" t="e">
            <v>#DIV/0!</v>
          </cell>
          <cell r="U230">
            <v>1274.5849600000001</v>
          </cell>
          <cell r="V230">
            <v>0.25095617007751297</v>
          </cell>
          <cell r="W230">
            <v>26986</v>
          </cell>
          <cell r="X230" t="e">
            <v>#DIV/0!</v>
          </cell>
          <cell r="Y230">
            <v>0</v>
          </cell>
          <cell r="Z230">
            <v>300</v>
          </cell>
          <cell r="AA230">
            <v>28132</v>
          </cell>
          <cell r="AB230">
            <v>26986</v>
          </cell>
          <cell r="AC230">
            <v>28407</v>
          </cell>
          <cell r="AD230">
            <v>28557</v>
          </cell>
          <cell r="AE230">
            <v>28706.32</v>
          </cell>
          <cell r="AF230">
            <v>5.9928266667409816E-2</v>
          </cell>
          <cell r="AG230">
            <v>5.9928266667409816E-2</v>
          </cell>
          <cell r="AH230">
            <v>29519</v>
          </cell>
          <cell r="AI230">
            <v>30331</v>
          </cell>
          <cell r="AJ230">
            <v>0.11028320859846362</v>
          </cell>
          <cell r="AK230">
            <v>31142.5</v>
          </cell>
          <cell r="AL230">
            <v>31954</v>
          </cell>
          <cell r="AM230">
            <v>0.15547349314639794</v>
          </cell>
          <cell r="AN230">
            <v>32690.5</v>
          </cell>
          <cell r="AO230">
            <v>33427</v>
          </cell>
          <cell r="AP230">
            <v>34163.5</v>
          </cell>
          <cell r="AQ230">
            <v>0</v>
          </cell>
          <cell r="AR230">
            <v>295</v>
          </cell>
          <cell r="AS230">
            <v>35200</v>
          </cell>
        </row>
        <row r="231">
          <cell r="B231" t="str">
            <v>AC</v>
          </cell>
          <cell r="C231" t="str">
            <v>DOM</v>
          </cell>
          <cell r="D231" t="str">
            <v>EK</v>
          </cell>
          <cell r="E231" t="str">
            <v>21</v>
          </cell>
          <cell r="F231">
            <v>39924</v>
          </cell>
          <cell r="G231">
            <v>39925</v>
          </cell>
          <cell r="H231" t="str">
            <v>7640005243</v>
          </cell>
          <cell r="I231" t="str">
            <v>3KDHEXROLLFDKITG</v>
          </cell>
          <cell r="J231" t="str">
            <v>KHB670597A00</v>
          </cell>
          <cell r="K231" t="str">
            <v>DM EX Series Roll Feed I/F Kit ME</v>
          </cell>
          <cell r="L231">
            <v>9750</v>
          </cell>
          <cell r="M231">
            <v>5300</v>
          </cell>
          <cell r="N231">
            <v>5459</v>
          </cell>
          <cell r="O231">
            <v>0</v>
          </cell>
          <cell r="P231">
            <v>5459</v>
          </cell>
          <cell r="Q231">
            <v>5618</v>
          </cell>
          <cell r="R231">
            <v>6348.34</v>
          </cell>
          <cell r="S231">
            <v>3241.9</v>
          </cell>
          <cell r="T231" t="e">
            <v>#DIV/0!</v>
          </cell>
          <cell r="U231">
            <v>2510.52736</v>
          </cell>
          <cell r="V231">
            <v>0.1632037023488164</v>
          </cell>
          <cell r="W231">
            <v>5459</v>
          </cell>
          <cell r="X231" t="e">
            <v>#DIV/0!</v>
          </cell>
          <cell r="Y231">
            <v>0</v>
          </cell>
          <cell r="Z231">
            <v>0</v>
          </cell>
          <cell r="AA231">
            <v>6446</v>
          </cell>
          <cell r="AB231">
            <v>5459</v>
          </cell>
          <cell r="AC231">
            <v>5747</v>
          </cell>
          <cell r="AD231">
            <v>6163</v>
          </cell>
          <cell r="AE231">
            <v>6577.11</v>
          </cell>
          <cell r="AF231">
            <v>0.17000019765520111</v>
          </cell>
          <cell r="AG231">
            <v>0.17000019765520111</v>
          </cell>
          <cell r="AH231">
            <v>6730</v>
          </cell>
          <cell r="AI231">
            <v>6881</v>
          </cell>
          <cell r="AJ231">
            <v>0.20665600930097369</v>
          </cell>
          <cell r="AK231">
            <v>7032.5</v>
          </cell>
          <cell r="AL231">
            <v>7184</v>
          </cell>
          <cell r="AM231">
            <v>0.24011692650334077</v>
          </cell>
          <cell r="AN231">
            <v>7825.5</v>
          </cell>
          <cell r="AO231">
            <v>8467</v>
          </cell>
          <cell r="AP231">
            <v>9108.5</v>
          </cell>
          <cell r="AQ231">
            <v>0</v>
          </cell>
          <cell r="AR231">
            <v>295</v>
          </cell>
          <cell r="AS231">
            <v>9750</v>
          </cell>
        </row>
        <row r="232">
          <cell r="B232" t="str">
            <v>AC</v>
          </cell>
          <cell r="C232" t="str">
            <v>DOM</v>
          </cell>
          <cell r="D232" t="str">
            <v>EK</v>
          </cell>
          <cell r="E232" t="str">
            <v>21</v>
          </cell>
          <cell r="F232">
            <v>39924</v>
          </cell>
          <cell r="G232">
            <v>39925</v>
          </cell>
          <cell r="H232" t="str">
            <v>7640005245</v>
          </cell>
          <cell r="I232" t="str">
            <v>3HBHDM9110ALG</v>
          </cell>
          <cell r="J232" t="str">
            <v>KHB694160A00</v>
          </cell>
          <cell r="K232" t="str">
            <v>Operator Attention Light</v>
          </cell>
          <cell r="L232">
            <v>375</v>
          </cell>
          <cell r="M232">
            <v>224.72</v>
          </cell>
          <cell r="N232">
            <v>231.46</v>
          </cell>
          <cell r="O232">
            <v>0</v>
          </cell>
          <cell r="P232">
            <v>231.46</v>
          </cell>
          <cell r="Q232">
            <v>238.2</v>
          </cell>
          <cell r="R232">
            <v>269.17</v>
          </cell>
          <cell r="S232">
            <v>19310.8</v>
          </cell>
          <cell r="T232" t="e">
            <v>#DIV/0!</v>
          </cell>
          <cell r="U232">
            <v>14954.283519999999</v>
          </cell>
          <cell r="V232">
            <v>0.18423373586005132</v>
          </cell>
          <cell r="W232">
            <v>231.46</v>
          </cell>
          <cell r="X232" t="e">
            <v>#DIV/0!</v>
          </cell>
          <cell r="Y232">
            <v>0</v>
          </cell>
          <cell r="Z232">
            <v>0</v>
          </cell>
          <cell r="AA232">
            <v>252</v>
          </cell>
          <cell r="AB232">
            <v>232</v>
          </cell>
          <cell r="AC232">
            <v>244</v>
          </cell>
          <cell r="AD232">
            <v>251</v>
          </cell>
          <cell r="AE232">
            <v>257.18</v>
          </cell>
          <cell r="AF232">
            <v>0.10000777665448324</v>
          </cell>
          <cell r="AG232">
            <v>0.10000777665448324</v>
          </cell>
          <cell r="AH232">
            <v>264</v>
          </cell>
          <cell r="AI232">
            <v>269</v>
          </cell>
          <cell r="AJ232">
            <v>0.13955390334572487</v>
          </cell>
          <cell r="AK232">
            <v>274</v>
          </cell>
          <cell r="AL232">
            <v>279</v>
          </cell>
          <cell r="AM232">
            <v>0.17039426523297488</v>
          </cell>
          <cell r="AN232">
            <v>303</v>
          </cell>
          <cell r="AO232">
            <v>327</v>
          </cell>
          <cell r="AP232">
            <v>351</v>
          </cell>
          <cell r="AQ232">
            <v>0</v>
          </cell>
          <cell r="AR232">
            <v>295</v>
          </cell>
          <cell r="AS232">
            <v>375</v>
          </cell>
        </row>
        <row r="233">
          <cell r="B233" t="str">
            <v>AC</v>
          </cell>
          <cell r="C233" t="str">
            <v>DOM</v>
          </cell>
          <cell r="D233" t="str">
            <v>EK</v>
          </cell>
          <cell r="E233" t="str">
            <v>21</v>
          </cell>
          <cell r="F233">
            <v>39924</v>
          </cell>
          <cell r="G233">
            <v>39925</v>
          </cell>
          <cell r="H233" t="str">
            <v>7640005246</v>
          </cell>
          <cell r="I233" t="str">
            <v>3KDKHB670630A00</v>
          </cell>
          <cell r="J233" t="str">
            <v>KHB670630A00</v>
          </cell>
          <cell r="K233" t="str">
            <v>18" Paper Size Kit Finisher</v>
          </cell>
          <cell r="L233">
            <v>730</v>
          </cell>
          <cell r="M233">
            <v>349.8</v>
          </cell>
          <cell r="N233">
            <v>360.29</v>
          </cell>
          <cell r="O233">
            <v>0</v>
          </cell>
          <cell r="P233">
            <v>360.29</v>
          </cell>
          <cell r="Q233">
            <v>370.78</v>
          </cell>
          <cell r="R233">
            <v>418.98</v>
          </cell>
          <cell r="S233">
            <v>52.5</v>
          </cell>
          <cell r="T233" t="e">
            <v>#DIV/0!</v>
          </cell>
          <cell r="U233">
            <v>40.655999999999999</v>
          </cell>
          <cell r="V233">
            <v>0.20700511609602512</v>
          </cell>
          <cell r="W233">
            <v>360.29</v>
          </cell>
          <cell r="X233" t="e">
            <v>#DIV/0!</v>
          </cell>
          <cell r="Y233">
            <v>0</v>
          </cell>
          <cell r="Z233">
            <v>0</v>
          </cell>
          <cell r="AA233">
            <v>425</v>
          </cell>
          <cell r="AB233">
            <v>361</v>
          </cell>
          <cell r="AC233">
            <v>380</v>
          </cell>
          <cell r="AD233">
            <v>408</v>
          </cell>
          <cell r="AE233">
            <v>434.08</v>
          </cell>
          <cell r="AF233">
            <v>0.16999170659786206</v>
          </cell>
          <cell r="AG233">
            <v>0.16999170659786206</v>
          </cell>
          <cell r="AH233">
            <v>455</v>
          </cell>
          <cell r="AI233">
            <v>474</v>
          </cell>
          <cell r="AJ233">
            <v>0.23989451476793244</v>
          </cell>
          <cell r="AK233">
            <v>493.5</v>
          </cell>
          <cell r="AL233">
            <v>513</v>
          </cell>
          <cell r="AM233">
            <v>0.29768031189083816</v>
          </cell>
          <cell r="AN233">
            <v>567.25</v>
          </cell>
          <cell r="AO233">
            <v>621.5</v>
          </cell>
          <cell r="AP233">
            <v>675.75</v>
          </cell>
          <cell r="AQ233">
            <v>0</v>
          </cell>
          <cell r="AS233">
            <v>730</v>
          </cell>
        </row>
        <row r="234">
          <cell r="B234" t="str">
            <v>AC</v>
          </cell>
          <cell r="C234" t="str">
            <v>DOM</v>
          </cell>
          <cell r="D234" t="str">
            <v>EK</v>
          </cell>
          <cell r="E234" t="str">
            <v>21</v>
          </cell>
          <cell r="F234">
            <v>39924</v>
          </cell>
          <cell r="G234">
            <v>39924</v>
          </cell>
          <cell r="H234" t="str">
            <v>7640005247</v>
          </cell>
          <cell r="I234" t="str">
            <v>6HBDME150STG_N</v>
          </cell>
          <cell r="J234" t="str">
            <v>KHB694050A00</v>
          </cell>
          <cell r="K234" t="str">
            <v>DM E-Series Stacker - 60 Hz (Finisher bypass required)</v>
          </cell>
          <cell r="L234">
            <v>34200</v>
          </cell>
          <cell r="M234">
            <v>18020</v>
          </cell>
          <cell r="N234">
            <v>18560.599999999999</v>
          </cell>
          <cell r="O234">
            <v>0</v>
          </cell>
          <cell r="P234">
            <v>18560.599999999999</v>
          </cell>
          <cell r="Q234">
            <v>19101.2</v>
          </cell>
          <cell r="R234">
            <v>21584.36</v>
          </cell>
          <cell r="S234">
            <v>504</v>
          </cell>
          <cell r="T234" t="e">
            <v>#DIV/0!</v>
          </cell>
          <cell r="U234">
            <v>390.29759999999999</v>
          </cell>
          <cell r="V234">
            <v>0.18462219598583229</v>
          </cell>
          <cell r="W234">
            <v>18560.599999999999</v>
          </cell>
          <cell r="X234" t="e">
            <v>#DIV/0!</v>
          </cell>
          <cell r="Y234">
            <v>0</v>
          </cell>
          <cell r="Z234">
            <v>300</v>
          </cell>
          <cell r="AA234">
            <v>22209</v>
          </cell>
          <cell r="AB234">
            <v>18561</v>
          </cell>
          <cell r="AC234">
            <v>19538</v>
          </cell>
          <cell r="AD234">
            <v>21101</v>
          </cell>
          <cell r="AE234">
            <v>22662.17</v>
          </cell>
          <cell r="AF234">
            <v>0.18098752237760107</v>
          </cell>
          <cell r="AG234">
            <v>0.18098752237760107</v>
          </cell>
          <cell r="AH234">
            <v>23286</v>
          </cell>
          <cell r="AI234">
            <v>23908</v>
          </cell>
          <cell r="AJ234">
            <v>0.22366571858792042</v>
          </cell>
          <cell r="AK234">
            <v>24530</v>
          </cell>
          <cell r="AL234">
            <v>25152</v>
          </cell>
          <cell r="AM234">
            <v>0.26206265903307896</v>
          </cell>
          <cell r="AN234">
            <v>27414</v>
          </cell>
          <cell r="AO234">
            <v>29676</v>
          </cell>
          <cell r="AP234">
            <v>31938</v>
          </cell>
          <cell r="AQ234">
            <v>0</v>
          </cell>
          <cell r="AS234">
            <v>34500</v>
          </cell>
        </row>
        <row r="235">
          <cell r="B235" t="str">
            <v>AC</v>
          </cell>
          <cell r="C235" t="str">
            <v>DOM</v>
          </cell>
          <cell r="D235" t="str">
            <v>EK</v>
          </cell>
          <cell r="E235" t="str">
            <v>21</v>
          </cell>
          <cell r="F235">
            <v>39924</v>
          </cell>
          <cell r="G235">
            <v>39925</v>
          </cell>
          <cell r="H235" t="str">
            <v>7640005248</v>
          </cell>
          <cell r="I235" t="str">
            <v>3HBHDM9110STG</v>
          </cell>
          <cell r="J235" t="str">
            <v>KHB694051A00</v>
          </cell>
          <cell r="K235" t="str">
            <v>Stacker Cart</v>
          </cell>
          <cell r="L235">
            <v>750</v>
          </cell>
          <cell r="M235">
            <v>428.05</v>
          </cell>
          <cell r="N235">
            <v>440.89</v>
          </cell>
          <cell r="O235">
            <v>0</v>
          </cell>
          <cell r="P235">
            <v>440.89</v>
          </cell>
          <cell r="Q235">
            <v>453.73</v>
          </cell>
          <cell r="R235">
            <v>512.71</v>
          </cell>
          <cell r="S235">
            <v>1137.2</v>
          </cell>
          <cell r="T235" t="e">
            <v>#DIV/0!</v>
          </cell>
          <cell r="U235">
            <v>880.64768000000004</v>
          </cell>
          <cell r="V235">
            <v>0.1568024116068755</v>
          </cell>
          <cell r="W235">
            <v>440.89</v>
          </cell>
          <cell r="X235" t="e">
            <v>#DIV/0!</v>
          </cell>
          <cell r="Y235">
            <v>0</v>
          </cell>
          <cell r="Z235">
            <v>0</v>
          </cell>
          <cell r="AA235">
            <v>521</v>
          </cell>
          <cell r="AB235">
            <v>441</v>
          </cell>
          <cell r="AC235">
            <v>465</v>
          </cell>
          <cell r="AD235">
            <v>499</v>
          </cell>
          <cell r="AE235">
            <v>531.19000000000005</v>
          </cell>
          <cell r="AF235">
            <v>0.16999567009921132</v>
          </cell>
          <cell r="AG235">
            <v>0.16999567009921132</v>
          </cell>
          <cell r="AH235">
            <v>540</v>
          </cell>
          <cell r="AI235">
            <v>548</v>
          </cell>
          <cell r="AJ235">
            <v>0.19545620437956207</v>
          </cell>
          <cell r="AK235">
            <v>556</v>
          </cell>
          <cell r="AL235">
            <v>564</v>
          </cell>
          <cell r="AM235">
            <v>0.21828014184397165</v>
          </cell>
          <cell r="AN235">
            <v>610.5</v>
          </cell>
          <cell r="AO235">
            <v>657</v>
          </cell>
          <cell r="AP235">
            <v>703.5</v>
          </cell>
          <cell r="AQ235">
            <v>0</v>
          </cell>
          <cell r="AS235">
            <v>750</v>
          </cell>
        </row>
        <row r="236">
          <cell r="B236" t="str">
            <v>AC</v>
          </cell>
          <cell r="C236" t="str">
            <v>DOM</v>
          </cell>
          <cell r="D236" t="str">
            <v>EK</v>
          </cell>
          <cell r="E236" t="str">
            <v>21</v>
          </cell>
          <cell r="F236">
            <v>39924</v>
          </cell>
          <cell r="G236">
            <v>39925</v>
          </cell>
          <cell r="H236" t="str">
            <v>7640005249</v>
          </cell>
          <cell r="I236" t="str">
            <v>6HBBKMR5G_N</v>
          </cell>
          <cell r="J236" t="str">
            <v>KHB694053A00</v>
          </cell>
          <cell r="K236" t="str">
            <v xml:space="preserve">Bookletmaker </v>
          </cell>
          <cell r="L236">
            <v>48000</v>
          </cell>
          <cell r="M236">
            <v>31450</v>
          </cell>
          <cell r="N236">
            <v>32393.5</v>
          </cell>
          <cell r="O236">
            <v>0</v>
          </cell>
          <cell r="P236">
            <v>32393.5</v>
          </cell>
          <cell r="Q236">
            <v>33337</v>
          </cell>
          <cell r="R236">
            <v>37670.81</v>
          </cell>
          <cell r="S236">
            <v>1536.2</v>
          </cell>
          <cell r="T236" t="e">
            <v>#DIV/0!</v>
          </cell>
          <cell r="U236">
            <v>1189.63328</v>
          </cell>
          <cell r="V236">
            <v>0.19746697066174879</v>
          </cell>
          <cell r="W236">
            <v>32393.5</v>
          </cell>
          <cell r="X236" t="e">
            <v>#DIV/0!</v>
          </cell>
          <cell r="Y236">
            <v>0</v>
          </cell>
          <cell r="Z236">
            <v>300</v>
          </cell>
          <cell r="AA236">
            <v>35567</v>
          </cell>
          <cell r="AB236">
            <v>32394</v>
          </cell>
          <cell r="AC236">
            <v>34099</v>
          </cell>
          <cell r="AD236">
            <v>35196</v>
          </cell>
          <cell r="AE236">
            <v>36292.78</v>
          </cell>
          <cell r="AF236">
            <v>0.10743955133775916</v>
          </cell>
          <cell r="AG236">
            <v>0.10743955133775916</v>
          </cell>
          <cell r="AH236">
            <v>36525</v>
          </cell>
          <cell r="AI236">
            <v>36757</v>
          </cell>
          <cell r="AJ236">
            <v>0.11871208205239818</v>
          </cell>
          <cell r="AK236">
            <v>36989</v>
          </cell>
          <cell r="AL236">
            <v>37221</v>
          </cell>
          <cell r="AM236">
            <v>0.12969828860052121</v>
          </cell>
          <cell r="AN236">
            <v>39915.75</v>
          </cell>
          <cell r="AO236">
            <v>42610.5</v>
          </cell>
          <cell r="AP236">
            <v>45305.25</v>
          </cell>
          <cell r="AQ236">
            <v>0</v>
          </cell>
          <cell r="AS236">
            <v>48300</v>
          </cell>
        </row>
        <row r="237">
          <cell r="B237" t="str">
            <v>AC</v>
          </cell>
          <cell r="C237" t="str">
            <v>DOM</v>
          </cell>
          <cell r="D237" t="str">
            <v>EK</v>
          </cell>
          <cell r="E237" t="str">
            <v>21</v>
          </cell>
          <cell r="F237">
            <v>39924</v>
          </cell>
          <cell r="G237">
            <v>39925</v>
          </cell>
          <cell r="H237" t="str">
            <v>7640005251</v>
          </cell>
          <cell r="I237" t="str">
            <v>6KDKHB694056A00_N</v>
          </cell>
          <cell r="J237" t="str">
            <v>KHB694056A00</v>
          </cell>
          <cell r="K237" t="str">
            <v>DM Perfect Binder - Input Module (Include if inline)</v>
          </cell>
          <cell r="L237">
            <v>15289</v>
          </cell>
          <cell r="M237">
            <v>10144.200000000001</v>
          </cell>
          <cell r="N237">
            <v>10448.530000000001</v>
          </cell>
          <cell r="O237">
            <v>0</v>
          </cell>
          <cell r="P237">
            <v>10448.530000000001</v>
          </cell>
          <cell r="Q237">
            <v>10752.86</v>
          </cell>
          <cell r="R237">
            <v>12150.73</v>
          </cell>
          <cell r="S237">
            <v>621.6</v>
          </cell>
          <cell r="T237" t="e">
            <v>#DIV/0!</v>
          </cell>
          <cell r="U237">
            <v>481.36704000000003</v>
          </cell>
          <cell r="V237">
            <v>0.18548640139549227</v>
          </cell>
          <cell r="W237">
            <v>10448.530000000001</v>
          </cell>
          <cell r="X237" t="e">
            <v>#DIV/0!</v>
          </cell>
          <cell r="Y237">
            <v>0</v>
          </cell>
          <cell r="Z237">
            <v>0</v>
          </cell>
          <cell r="AA237">
            <v>11377</v>
          </cell>
          <cell r="AB237">
            <v>10449</v>
          </cell>
          <cell r="AC237">
            <v>10999</v>
          </cell>
          <cell r="AD237">
            <v>11305</v>
          </cell>
          <cell r="AE237">
            <v>11609.48</v>
          </cell>
          <cell r="AF237">
            <v>0.10000017227300438</v>
          </cell>
          <cell r="AG237">
            <v>0.10000017227300438</v>
          </cell>
          <cell r="AH237">
            <v>11667</v>
          </cell>
          <cell r="AI237">
            <v>11723</v>
          </cell>
          <cell r="AJ237">
            <v>0.10871534590121977</v>
          </cell>
          <cell r="AK237">
            <v>11779.5</v>
          </cell>
          <cell r="AL237">
            <v>11836</v>
          </cell>
          <cell r="AM237">
            <v>0.11722456911118616</v>
          </cell>
          <cell r="AN237">
            <v>12699.25</v>
          </cell>
          <cell r="AO237">
            <v>13562.5</v>
          </cell>
          <cell r="AP237">
            <v>14425.75</v>
          </cell>
          <cell r="AQ237">
            <v>0</v>
          </cell>
          <cell r="AS237">
            <v>15289</v>
          </cell>
        </row>
        <row r="238">
          <cell r="B238" t="str">
            <v>AC</v>
          </cell>
          <cell r="C238" t="str">
            <v>DOM</v>
          </cell>
          <cell r="D238" t="str">
            <v>EK</v>
          </cell>
          <cell r="E238" t="str">
            <v>21</v>
          </cell>
          <cell r="F238">
            <v>39924</v>
          </cell>
          <cell r="G238">
            <v>39925</v>
          </cell>
          <cell r="H238" t="str">
            <v>7640005252</v>
          </cell>
          <cell r="I238" t="str">
            <v>6KDKHB694057A00_N</v>
          </cell>
          <cell r="J238" t="str">
            <v>KHB694057A00</v>
          </cell>
          <cell r="K238" t="str">
            <v>DM Perfect Binder - Output Module (Include if inline)</v>
          </cell>
          <cell r="L238">
            <v>4865</v>
          </cell>
          <cell r="M238">
            <v>4000.15</v>
          </cell>
          <cell r="N238">
            <v>4120.1499999999996</v>
          </cell>
          <cell r="O238">
            <v>0</v>
          </cell>
          <cell r="P238">
            <v>4120.1499999999996</v>
          </cell>
          <cell r="Q238">
            <v>4240.1499999999996</v>
          </cell>
          <cell r="R238">
            <v>4791.37</v>
          </cell>
          <cell r="S238">
            <v>120.8</v>
          </cell>
          <cell r="T238" t="e">
            <v>#DIV/0!</v>
          </cell>
          <cell r="U238">
            <v>93.547519999999992</v>
          </cell>
          <cell r="V238">
            <v>0.54418887855070874</v>
          </cell>
          <cell r="W238">
            <v>4120.1499999999996</v>
          </cell>
          <cell r="X238" t="e">
            <v>#DIV/0!</v>
          </cell>
          <cell r="Y238">
            <v>0</v>
          </cell>
          <cell r="Z238">
            <v>0</v>
          </cell>
          <cell r="AA238">
            <v>4250</v>
          </cell>
          <cell r="AB238">
            <v>4121</v>
          </cell>
          <cell r="AC238">
            <v>4337</v>
          </cell>
          <cell r="AD238">
            <v>4337</v>
          </cell>
          <cell r="AE238">
            <v>4337</v>
          </cell>
          <cell r="AF238">
            <v>5.0000000000000086E-2</v>
          </cell>
          <cell r="AG238">
            <v>5.0000000000000086E-2</v>
          </cell>
          <cell r="AH238">
            <v>4403</v>
          </cell>
          <cell r="AI238">
            <v>4469</v>
          </cell>
          <cell r="AJ238">
            <v>7.8059968673081306E-2</v>
          </cell>
          <cell r="AK238">
            <v>4535</v>
          </cell>
          <cell r="AL238">
            <v>4601</v>
          </cell>
          <cell r="AM238">
            <v>0.1045098891545317</v>
          </cell>
          <cell r="AN238">
            <v>4667</v>
          </cell>
          <cell r="AO238">
            <v>4733</v>
          </cell>
          <cell r="AP238">
            <v>4799</v>
          </cell>
          <cell r="AQ238">
            <v>0</v>
          </cell>
          <cell r="AS238">
            <v>4865</v>
          </cell>
        </row>
        <row r="239">
          <cell r="B239" t="str">
            <v>AC</v>
          </cell>
          <cell r="C239" t="str">
            <v>DOM</v>
          </cell>
          <cell r="D239" t="str">
            <v>EK</v>
          </cell>
          <cell r="E239" t="str">
            <v>21</v>
          </cell>
          <cell r="F239">
            <v>39924</v>
          </cell>
          <cell r="G239">
            <v>39925</v>
          </cell>
          <cell r="H239" t="str">
            <v>7640005252</v>
          </cell>
          <cell r="I239" t="str">
            <v>6KDKHB694057A00_N</v>
          </cell>
          <cell r="J239" t="str">
            <v>KHB694057A00</v>
          </cell>
          <cell r="K239" t="str">
            <v>DM Perfect Binder - Output Module (Include if inline)</v>
          </cell>
          <cell r="L239">
            <v>4865</v>
          </cell>
          <cell r="M239">
            <v>4000.15</v>
          </cell>
          <cell r="N239">
            <v>4120.1499999999996</v>
          </cell>
          <cell r="O239">
            <v>0</v>
          </cell>
          <cell r="P239">
            <v>4120.1499999999996</v>
          </cell>
          <cell r="Q239">
            <v>4240.1499999999996</v>
          </cell>
          <cell r="R239">
            <v>4791.37</v>
          </cell>
          <cell r="S239">
            <v>151.19999999999999</v>
          </cell>
          <cell r="T239" t="e">
            <v>#DIV/0!</v>
          </cell>
          <cell r="U239">
            <v>117.08927999999999</v>
          </cell>
          <cell r="V239">
            <v>0.18284577375486452</v>
          </cell>
          <cell r="W239">
            <v>4120.1499999999996</v>
          </cell>
          <cell r="X239" t="e">
            <v>#DIV/0!</v>
          </cell>
          <cell r="Y239">
            <v>0</v>
          </cell>
          <cell r="Z239">
            <v>0</v>
          </cell>
          <cell r="AA239">
            <v>4250</v>
          </cell>
          <cell r="AB239">
            <v>4121</v>
          </cell>
          <cell r="AC239">
            <v>4337</v>
          </cell>
          <cell r="AD239">
            <v>4337</v>
          </cell>
          <cell r="AE239">
            <v>4337</v>
          </cell>
          <cell r="AF239">
            <v>5.0000000000000086E-2</v>
          </cell>
          <cell r="AG239">
            <v>5.0000000000000086E-2</v>
          </cell>
          <cell r="AH239">
            <v>4403</v>
          </cell>
          <cell r="AI239">
            <v>4469</v>
          </cell>
          <cell r="AJ239">
            <v>7.8059968673081306E-2</v>
          </cell>
          <cell r="AK239">
            <v>4535</v>
          </cell>
          <cell r="AL239">
            <v>4601</v>
          </cell>
          <cell r="AM239">
            <v>0.1045098891545317</v>
          </cell>
          <cell r="AN239">
            <v>4667</v>
          </cell>
          <cell r="AO239">
            <v>4733</v>
          </cell>
          <cell r="AP239">
            <v>4799</v>
          </cell>
          <cell r="AQ239">
            <v>0</v>
          </cell>
          <cell r="AS239">
            <v>4865</v>
          </cell>
        </row>
        <row r="240">
          <cell r="B240" t="str">
            <v>AC</v>
          </cell>
          <cell r="C240" t="str">
            <v>DOM</v>
          </cell>
          <cell r="D240" t="str">
            <v>EK</v>
          </cell>
          <cell r="E240" t="str">
            <v>21</v>
          </cell>
          <cell r="F240">
            <v>39924</v>
          </cell>
          <cell r="G240">
            <v>39925</v>
          </cell>
          <cell r="H240" t="str">
            <v>7640005253</v>
          </cell>
          <cell r="I240" t="str">
            <v>6KDKHB694058A00_N</v>
          </cell>
          <cell r="J240" t="str">
            <v>KHB694058A00</v>
          </cell>
          <cell r="K240" t="str">
            <v>DM Perfect Binder - Binding Module (Requires Interface Kit if Inline)</v>
          </cell>
          <cell r="L240">
            <v>49341</v>
          </cell>
          <cell r="M240">
            <v>50100</v>
          </cell>
          <cell r="N240">
            <v>51603</v>
          </cell>
          <cell r="O240">
            <v>0</v>
          </cell>
          <cell r="P240">
            <v>51603</v>
          </cell>
          <cell r="Q240">
            <v>53106</v>
          </cell>
          <cell r="R240">
            <v>60009.78</v>
          </cell>
          <cell r="S240">
            <v>105</v>
          </cell>
          <cell r="T240" t="e">
            <v>#DIV/0!</v>
          </cell>
          <cell r="U240">
            <v>81.311999999999998</v>
          </cell>
          <cell r="V240">
            <v>0.21979535615899243</v>
          </cell>
          <cell r="W240">
            <v>51603</v>
          </cell>
          <cell r="X240" t="e">
            <v>#DIV/0!</v>
          </cell>
          <cell r="Y240">
            <v>0</v>
          </cell>
          <cell r="Z240">
            <v>300</v>
          </cell>
          <cell r="AA240">
            <v>53527</v>
          </cell>
          <cell r="AB240">
            <v>51603</v>
          </cell>
          <cell r="AC240">
            <v>54319</v>
          </cell>
          <cell r="AD240">
            <v>54469</v>
          </cell>
          <cell r="AE240">
            <v>54618.95</v>
          </cell>
          <cell r="AF240">
            <v>5.5218014992964845E-2</v>
          </cell>
          <cell r="AG240">
            <v>5.5218014992964845E-2</v>
          </cell>
          <cell r="AH240">
            <v>53997</v>
          </cell>
          <cell r="AI240">
            <v>53375</v>
          </cell>
          <cell r="AJ240">
            <v>3.3199063231850116E-2</v>
          </cell>
          <cell r="AK240">
            <v>52752.5</v>
          </cell>
          <cell r="AL240">
            <v>52130</v>
          </cell>
          <cell r="AM240">
            <v>1.0109342029541531E-2</v>
          </cell>
          <cell r="AN240">
            <v>51432.75</v>
          </cell>
          <cell r="AO240">
            <v>50735.5</v>
          </cell>
          <cell r="AP240">
            <v>50038.25</v>
          </cell>
          <cell r="AQ240">
            <v>0</v>
          </cell>
          <cell r="AS240">
            <v>49641</v>
          </cell>
        </row>
        <row r="241">
          <cell r="B241" t="str">
            <v>AC</v>
          </cell>
          <cell r="C241" t="str">
            <v>DOM</v>
          </cell>
          <cell r="D241" t="str">
            <v>EK</v>
          </cell>
          <cell r="E241" t="str">
            <v>21</v>
          </cell>
          <cell r="F241">
            <v>39924</v>
          </cell>
          <cell r="G241">
            <v>39924</v>
          </cell>
          <cell r="H241" t="str">
            <v>7640005257</v>
          </cell>
          <cell r="I241" t="str">
            <v>4KDKHB694166A00</v>
          </cell>
          <cell r="J241" t="str">
            <v>KHB694166A00</v>
          </cell>
          <cell r="K241" t="str">
            <v>Accessory Interface: Stahl Folder</v>
          </cell>
          <cell r="L241">
            <v>5000</v>
          </cell>
          <cell r="M241">
            <v>3500</v>
          </cell>
          <cell r="N241">
            <v>3605</v>
          </cell>
          <cell r="O241">
            <v>0</v>
          </cell>
          <cell r="P241">
            <v>3605</v>
          </cell>
          <cell r="Q241">
            <v>3710</v>
          </cell>
          <cell r="R241">
            <v>4192.3</v>
          </cell>
          <cell r="S241">
            <v>75</v>
          </cell>
          <cell r="T241" t="e">
            <v>#DIV/0!</v>
          </cell>
          <cell r="U241">
            <v>58.08</v>
          </cell>
          <cell r="V241">
            <v>0.28374655647382918</v>
          </cell>
          <cell r="W241">
            <v>3605</v>
          </cell>
          <cell r="X241" t="e">
            <v>#DIV/0!</v>
          </cell>
          <cell r="Y241">
            <v>0</v>
          </cell>
          <cell r="Z241">
            <v>0</v>
          </cell>
          <cell r="AA241">
            <v>3925</v>
          </cell>
          <cell r="AB241">
            <v>3605</v>
          </cell>
          <cell r="AC241">
            <v>3795</v>
          </cell>
          <cell r="AD241">
            <v>3901</v>
          </cell>
          <cell r="AE241">
            <v>4005.56</v>
          </cell>
          <cell r="AF241">
            <v>0.1000009986119294</v>
          </cell>
          <cell r="AG241">
            <v>0.1000009986119294</v>
          </cell>
          <cell r="AH241">
            <v>4131</v>
          </cell>
          <cell r="AI241">
            <v>4255</v>
          </cell>
          <cell r="AJ241">
            <v>0.15276145710928318</v>
          </cell>
          <cell r="AK241">
            <v>4379</v>
          </cell>
          <cell r="AL241">
            <v>4503</v>
          </cell>
          <cell r="AM241">
            <v>0.19942260715078836</v>
          </cell>
          <cell r="AN241">
            <v>4627.25</v>
          </cell>
          <cell r="AO241">
            <v>4751.5</v>
          </cell>
          <cell r="AP241">
            <v>4875.75</v>
          </cell>
          <cell r="AQ241">
            <v>0</v>
          </cell>
          <cell r="AS241">
            <v>5000</v>
          </cell>
        </row>
        <row r="242">
          <cell r="B242" t="str">
            <v>AC</v>
          </cell>
          <cell r="C242" t="str">
            <v>DOM</v>
          </cell>
          <cell r="D242" t="str">
            <v>EK</v>
          </cell>
          <cell r="E242" t="str">
            <v>21</v>
          </cell>
          <cell r="F242">
            <v>39924</v>
          </cell>
          <cell r="G242">
            <v>39924</v>
          </cell>
          <cell r="H242" t="str">
            <v>7640005258</v>
          </cell>
          <cell r="I242" t="str">
            <v>4KDKHB694167A00</v>
          </cell>
          <cell r="J242" t="str">
            <v>KHB694167A00</v>
          </cell>
          <cell r="K242" t="str">
            <v>HBI Accessory Interface: Watkiss BM"</v>
          </cell>
          <cell r="L242">
            <v>5000</v>
          </cell>
          <cell r="M242">
            <v>3500</v>
          </cell>
          <cell r="N242">
            <v>3605</v>
          </cell>
          <cell r="O242">
            <v>0</v>
          </cell>
          <cell r="P242">
            <v>3605</v>
          </cell>
          <cell r="Q242">
            <v>3710</v>
          </cell>
          <cell r="R242">
            <v>4192.3</v>
          </cell>
          <cell r="S242">
            <v>173.3</v>
          </cell>
          <cell r="T242" t="e">
            <v>#DIV/0!</v>
          </cell>
          <cell r="U242">
            <v>149.03800000000001</v>
          </cell>
          <cell r="V242">
            <v>9.9826889786497494E-2</v>
          </cell>
          <cell r="W242">
            <v>3605</v>
          </cell>
          <cell r="X242" t="e">
            <v>#DIV/0!</v>
          </cell>
          <cell r="Y242">
            <v>0</v>
          </cell>
          <cell r="Z242">
            <v>0</v>
          </cell>
          <cell r="AA242">
            <v>3925</v>
          </cell>
          <cell r="AB242">
            <v>3605</v>
          </cell>
          <cell r="AC242">
            <v>3795</v>
          </cell>
          <cell r="AD242">
            <v>3901</v>
          </cell>
          <cell r="AE242">
            <v>4005.56</v>
          </cell>
          <cell r="AF242">
            <v>0.1000009986119294</v>
          </cell>
          <cell r="AG242">
            <v>0.1000009986119294</v>
          </cell>
          <cell r="AH242">
            <v>4131</v>
          </cell>
          <cell r="AI242">
            <v>4255</v>
          </cell>
          <cell r="AJ242">
            <v>0.15276145710928318</v>
          </cell>
          <cell r="AK242">
            <v>4379</v>
          </cell>
          <cell r="AL242">
            <v>4503</v>
          </cell>
          <cell r="AM242">
            <v>0.19942260715078836</v>
          </cell>
          <cell r="AN242">
            <v>4627.25</v>
          </cell>
          <cell r="AO242">
            <v>4751.5</v>
          </cell>
          <cell r="AP242">
            <v>4875.75</v>
          </cell>
          <cell r="AQ242">
            <v>0</v>
          </cell>
          <cell r="AS242">
            <v>5000</v>
          </cell>
        </row>
        <row r="243">
          <cell r="B243" t="str">
            <v>AC</v>
          </cell>
          <cell r="C243" t="str">
            <v>DOM</v>
          </cell>
          <cell r="D243" t="str">
            <v>EK</v>
          </cell>
          <cell r="E243" t="str">
            <v>21</v>
          </cell>
          <cell r="F243">
            <v>39924</v>
          </cell>
          <cell r="G243">
            <v>39924</v>
          </cell>
          <cell r="H243" t="str">
            <v>7640005260</v>
          </cell>
          <cell r="I243" t="str">
            <v>4KDKHB694169A00</v>
          </cell>
          <cell r="J243" t="str">
            <v>KHB694169A00</v>
          </cell>
          <cell r="K243" t="str">
            <v>Accessory Interface For Perfect Binder  (Include if inline)</v>
          </cell>
          <cell r="L243">
            <v>5000</v>
          </cell>
          <cell r="M243">
            <v>2226</v>
          </cell>
          <cell r="N243">
            <v>2292.7800000000002</v>
          </cell>
          <cell r="O243">
            <v>0</v>
          </cell>
          <cell r="P243">
            <v>2292.7800000000002</v>
          </cell>
          <cell r="Q243">
            <v>2359.56</v>
          </cell>
          <cell r="R243">
            <v>2666.3</v>
          </cell>
          <cell r="S243">
            <v>3360</v>
          </cell>
          <cell r="T243" t="e">
            <v>#DIV/0!</v>
          </cell>
          <cell r="U243">
            <v>2601.9839999999999</v>
          </cell>
          <cell r="V243">
            <v>0.20500664108618655</v>
          </cell>
          <cell r="W243">
            <v>2292.7800000000002</v>
          </cell>
          <cell r="X243" t="e">
            <v>#DIV/0!</v>
          </cell>
          <cell r="Y243">
            <v>0</v>
          </cell>
          <cell r="Z243">
            <v>0</v>
          </cell>
          <cell r="AA243">
            <v>2707</v>
          </cell>
          <cell r="AB243">
            <v>2293</v>
          </cell>
          <cell r="AC243">
            <v>2414</v>
          </cell>
          <cell r="AD243">
            <v>2589</v>
          </cell>
          <cell r="AE243">
            <v>2762.39</v>
          </cell>
          <cell r="AF243">
            <v>0.1700013394198501</v>
          </cell>
          <cell r="AG243">
            <v>0.1700013394198501</v>
          </cell>
          <cell r="AH243">
            <v>2927</v>
          </cell>
          <cell r="AI243">
            <v>3090</v>
          </cell>
          <cell r="AJ243">
            <v>0.25799999999999995</v>
          </cell>
          <cell r="AK243">
            <v>3253</v>
          </cell>
          <cell r="AL243">
            <v>3416</v>
          </cell>
          <cell r="AM243">
            <v>0.32881147540983602</v>
          </cell>
          <cell r="AN243">
            <v>3812</v>
          </cell>
          <cell r="AO243">
            <v>4208</v>
          </cell>
          <cell r="AP243">
            <v>4604</v>
          </cell>
          <cell r="AQ243">
            <v>0</v>
          </cell>
          <cell r="AS243">
            <v>5000</v>
          </cell>
        </row>
        <row r="244">
          <cell r="B244" t="str">
            <v>AC</v>
          </cell>
          <cell r="C244" t="str">
            <v>DOM</v>
          </cell>
          <cell r="D244" t="str">
            <v>EK</v>
          </cell>
          <cell r="E244" t="str">
            <v>21</v>
          </cell>
          <cell r="F244">
            <v>39924</v>
          </cell>
          <cell r="G244">
            <v>39924</v>
          </cell>
          <cell r="H244" t="str">
            <v>7640005262</v>
          </cell>
          <cell r="I244" t="str">
            <v>3KDBKHB694069M00</v>
          </cell>
          <cell r="J244" t="str">
            <v>KHB694069M00</v>
          </cell>
          <cell r="K244" t="str">
            <v>R7.01 SP Print Production Software License (for EX110)</v>
          </cell>
          <cell r="L244">
            <v>14900</v>
          </cell>
          <cell r="M244">
            <v>6000</v>
          </cell>
          <cell r="N244">
            <v>6180</v>
          </cell>
          <cell r="O244">
            <v>0</v>
          </cell>
          <cell r="P244">
            <v>6180</v>
          </cell>
          <cell r="Q244">
            <v>6360</v>
          </cell>
          <cell r="R244">
            <v>7186.8</v>
          </cell>
          <cell r="S244">
            <v>568.6</v>
          </cell>
          <cell r="T244" t="e">
            <v>#DIV/0!</v>
          </cell>
          <cell r="U244">
            <v>440.32384000000002</v>
          </cell>
          <cell r="V244">
            <v>0.14499292157335836</v>
          </cell>
          <cell r="W244">
            <v>6180</v>
          </cell>
          <cell r="X244" t="e">
            <v>#DIV/0!</v>
          </cell>
          <cell r="Y244">
            <v>0</v>
          </cell>
          <cell r="Z244">
            <v>0</v>
          </cell>
          <cell r="AA244">
            <v>7297</v>
          </cell>
          <cell r="AB244">
            <v>6180</v>
          </cell>
          <cell r="AC244">
            <v>6506</v>
          </cell>
          <cell r="AD244">
            <v>6976</v>
          </cell>
          <cell r="AE244">
            <v>7445.78</v>
          </cell>
          <cell r="AF244">
            <v>0.16999965080891455</v>
          </cell>
          <cell r="AG244">
            <v>0.16999965080891455</v>
          </cell>
          <cell r="AH244">
            <v>8043</v>
          </cell>
          <cell r="AI244">
            <v>8640</v>
          </cell>
          <cell r="AJ244">
            <v>0.28472222222222221</v>
          </cell>
          <cell r="AK244">
            <v>9236.5</v>
          </cell>
          <cell r="AL244">
            <v>9833</v>
          </cell>
          <cell r="AM244">
            <v>0.37150411878368761</v>
          </cell>
          <cell r="AN244">
            <v>11099.75</v>
          </cell>
          <cell r="AO244">
            <v>12366.5</v>
          </cell>
          <cell r="AP244">
            <v>13633.25</v>
          </cell>
          <cell r="AQ244">
            <v>0</v>
          </cell>
          <cell r="AS244">
            <v>14900</v>
          </cell>
        </row>
        <row r="245">
          <cell r="B245" t="str">
            <v>AC</v>
          </cell>
          <cell r="C245" t="str">
            <v>DOM</v>
          </cell>
          <cell r="D245" t="str">
            <v>EK</v>
          </cell>
          <cell r="E245" t="str">
            <v>21</v>
          </cell>
          <cell r="F245">
            <v>39924</v>
          </cell>
          <cell r="G245">
            <v>39924</v>
          </cell>
          <cell r="H245" t="str">
            <v>7640005265</v>
          </cell>
          <cell r="I245" t="str">
            <v>3KDBKHB694070M00</v>
          </cell>
          <cell r="J245" t="str">
            <v>KHB694070M00</v>
          </cell>
          <cell r="K245" t="str">
            <v>R7.01 AP Print Production Software License (for EX110)</v>
          </cell>
          <cell r="L245">
            <v>50000</v>
          </cell>
          <cell r="M245">
            <v>12000</v>
          </cell>
          <cell r="N245">
            <v>12360</v>
          </cell>
          <cell r="O245">
            <v>0</v>
          </cell>
          <cell r="P245">
            <v>12360</v>
          </cell>
          <cell r="Q245">
            <v>12720</v>
          </cell>
          <cell r="R245">
            <v>14373.6</v>
          </cell>
          <cell r="S245">
            <v>246.5</v>
          </cell>
          <cell r="T245" t="e">
            <v>#DIV/0!</v>
          </cell>
          <cell r="U245">
            <v>190.8896</v>
          </cell>
          <cell r="V245">
            <v>0.16642918210316326</v>
          </cell>
          <cell r="W245">
            <v>12360</v>
          </cell>
          <cell r="X245" t="e">
            <v>#DIV/0!</v>
          </cell>
          <cell r="Y245">
            <v>0</v>
          </cell>
          <cell r="Z245">
            <v>0</v>
          </cell>
          <cell r="AA245">
            <v>14594</v>
          </cell>
          <cell r="AB245">
            <v>12360</v>
          </cell>
          <cell r="AC245">
            <v>13011</v>
          </cell>
          <cell r="AD245">
            <v>13952</v>
          </cell>
          <cell r="AE245">
            <v>14891.57</v>
          </cell>
          <cell r="AF245">
            <v>0.1700002081714688</v>
          </cell>
          <cell r="AG245">
            <v>0.1700002081714688</v>
          </cell>
          <cell r="AH245">
            <v>18308</v>
          </cell>
          <cell r="AI245">
            <v>21723</v>
          </cell>
          <cell r="AJ245">
            <v>0.43101781521889243</v>
          </cell>
          <cell r="AK245">
            <v>25138</v>
          </cell>
          <cell r="AL245">
            <v>28553</v>
          </cell>
          <cell r="AM245">
            <v>0.56712079291142792</v>
          </cell>
          <cell r="AN245">
            <v>33914.75</v>
          </cell>
          <cell r="AO245">
            <v>39276.5</v>
          </cell>
          <cell r="AP245">
            <v>44638.25</v>
          </cell>
          <cell r="AQ245">
            <v>0</v>
          </cell>
          <cell r="AS245">
            <v>50000</v>
          </cell>
        </row>
        <row r="246">
          <cell r="B246" t="str">
            <v>AC</v>
          </cell>
          <cell r="C246" t="str">
            <v>DOM</v>
          </cell>
          <cell r="D246" t="str">
            <v>EK</v>
          </cell>
          <cell r="E246" t="str">
            <v>21</v>
          </cell>
          <cell r="F246">
            <v>39924</v>
          </cell>
          <cell r="G246">
            <v>39924</v>
          </cell>
          <cell r="H246" t="str">
            <v>7640005266</v>
          </cell>
          <cell r="I246" t="str">
            <v>3KDBKHB694071M00</v>
          </cell>
          <cell r="J246" t="str">
            <v>KHB694071 M00</v>
          </cell>
          <cell r="K246" t="str">
            <v>R7.01 AP Print Production Software License (for E/EX125)</v>
          </cell>
          <cell r="L246">
            <v>50000</v>
          </cell>
          <cell r="M246">
            <v>12000</v>
          </cell>
          <cell r="N246">
            <v>12360</v>
          </cell>
          <cell r="O246">
            <v>0</v>
          </cell>
          <cell r="P246">
            <v>12360</v>
          </cell>
          <cell r="Q246">
            <v>12720</v>
          </cell>
          <cell r="R246">
            <v>14373.6</v>
          </cell>
          <cell r="S246">
            <v>886.1</v>
          </cell>
          <cell r="T246" t="e">
            <v>#DIV/0!</v>
          </cell>
          <cell r="U246">
            <v>686.19583999999998</v>
          </cell>
          <cell r="V246">
            <v>7.2451386472992846E-2</v>
          </cell>
          <cell r="W246">
            <v>12360</v>
          </cell>
          <cell r="X246" t="e">
            <v>#DIV/0!</v>
          </cell>
          <cell r="Y246">
            <v>0</v>
          </cell>
          <cell r="Z246">
            <v>0</v>
          </cell>
          <cell r="AA246">
            <v>14594</v>
          </cell>
          <cell r="AB246">
            <v>12360</v>
          </cell>
          <cell r="AC246">
            <v>13011</v>
          </cell>
          <cell r="AD246">
            <v>13952</v>
          </cell>
          <cell r="AE246">
            <v>14891.57</v>
          </cell>
          <cell r="AF246">
            <v>0.1700002081714688</v>
          </cell>
          <cell r="AG246">
            <v>0.1700002081714688</v>
          </cell>
          <cell r="AH246">
            <v>18308</v>
          </cell>
          <cell r="AI246">
            <v>21723</v>
          </cell>
          <cell r="AJ246">
            <v>0.43101781521889243</v>
          </cell>
          <cell r="AK246">
            <v>25138</v>
          </cell>
          <cell r="AL246">
            <v>28553</v>
          </cell>
          <cell r="AM246">
            <v>0.56712079291142792</v>
          </cell>
          <cell r="AN246">
            <v>33914.75</v>
          </cell>
          <cell r="AO246">
            <v>39276.5</v>
          </cell>
          <cell r="AP246">
            <v>44638.25</v>
          </cell>
          <cell r="AQ246">
            <v>0</v>
          </cell>
          <cell r="AS246">
            <v>50000</v>
          </cell>
        </row>
        <row r="247">
          <cell r="B247" t="str">
            <v>AC</v>
          </cell>
          <cell r="C247" t="str">
            <v>DOM</v>
          </cell>
          <cell r="D247" t="str">
            <v>EK</v>
          </cell>
          <cell r="E247" t="str">
            <v>21</v>
          </cell>
          <cell r="F247">
            <v>39924</v>
          </cell>
          <cell r="G247">
            <v>39924</v>
          </cell>
          <cell r="H247" t="str">
            <v>7640005267</v>
          </cell>
          <cell r="I247" t="str">
            <v>3KDBKHB694072M00</v>
          </cell>
          <cell r="J247" t="str">
            <v>KHB694072M00</v>
          </cell>
          <cell r="K247" t="str">
            <v>R7.01 AP Print Production Software License (for EX138)</v>
          </cell>
          <cell r="L247">
            <v>50000</v>
          </cell>
          <cell r="M247">
            <v>12000</v>
          </cell>
          <cell r="N247">
            <v>12360</v>
          </cell>
          <cell r="O247">
            <v>0</v>
          </cell>
          <cell r="P247">
            <v>12360</v>
          </cell>
          <cell r="Q247">
            <v>12720</v>
          </cell>
          <cell r="R247">
            <v>14373.6</v>
          </cell>
          <cell r="S247">
            <v>2774.1</v>
          </cell>
          <cell r="T247" t="e">
            <v>#DIV/0!</v>
          </cell>
          <cell r="U247">
            <v>2148.2630399999998</v>
          </cell>
          <cell r="V247">
            <v>0.13343945069222049</v>
          </cell>
          <cell r="W247">
            <v>12360</v>
          </cell>
          <cell r="X247" t="e">
            <v>#DIV/0!</v>
          </cell>
          <cell r="Y247">
            <v>0</v>
          </cell>
          <cell r="Z247">
            <v>0</v>
          </cell>
          <cell r="AA247">
            <v>14594</v>
          </cell>
          <cell r="AB247">
            <v>12360</v>
          </cell>
          <cell r="AC247">
            <v>13011</v>
          </cell>
          <cell r="AD247">
            <v>13952</v>
          </cell>
          <cell r="AE247">
            <v>14891.57</v>
          </cell>
          <cell r="AF247">
            <v>0.1700002081714688</v>
          </cell>
          <cell r="AG247">
            <v>0.1700002081714688</v>
          </cell>
          <cell r="AH247">
            <v>18308</v>
          </cell>
          <cell r="AI247">
            <v>21723</v>
          </cell>
          <cell r="AJ247">
            <v>0.43101781521889243</v>
          </cell>
          <cell r="AK247">
            <v>25138</v>
          </cell>
          <cell r="AL247">
            <v>28553</v>
          </cell>
          <cell r="AM247">
            <v>0.56712079291142792</v>
          </cell>
          <cell r="AN247">
            <v>33914.75</v>
          </cell>
          <cell r="AO247">
            <v>39276.5</v>
          </cell>
          <cell r="AP247">
            <v>44638.25</v>
          </cell>
          <cell r="AQ247">
            <v>0</v>
          </cell>
          <cell r="AS247">
            <v>50000</v>
          </cell>
        </row>
        <row r="248">
          <cell r="B248" t="str">
            <v>AC</v>
          </cell>
          <cell r="C248" t="str">
            <v>DOM</v>
          </cell>
          <cell r="D248" t="str">
            <v>EK</v>
          </cell>
          <cell r="E248" t="str">
            <v>21</v>
          </cell>
          <cell r="F248">
            <v>39924</v>
          </cell>
          <cell r="G248">
            <v>39924</v>
          </cell>
          <cell r="H248" t="str">
            <v>7640005269</v>
          </cell>
          <cell r="I248" t="str">
            <v>3KDBKHB694074M00</v>
          </cell>
          <cell r="J248" t="str">
            <v>KHB694074M00</v>
          </cell>
          <cell r="K248" t="str">
            <v>R7.01 AP Print Production Software License (for E/EX150)</v>
          </cell>
          <cell r="L248">
            <v>50000</v>
          </cell>
          <cell r="M248">
            <v>12000</v>
          </cell>
          <cell r="N248">
            <v>12360</v>
          </cell>
          <cell r="O248">
            <v>0</v>
          </cell>
          <cell r="P248">
            <v>12360</v>
          </cell>
          <cell r="Q248">
            <v>12720</v>
          </cell>
          <cell r="R248">
            <v>14373.6</v>
          </cell>
          <cell r="S248">
            <v>2719.5</v>
          </cell>
          <cell r="T248" t="e">
            <v>#DIV/0!</v>
          </cell>
          <cell r="U248">
            <v>2105.9807999999998</v>
          </cell>
          <cell r="V248">
            <v>0.24443755612586773</v>
          </cell>
          <cell r="W248">
            <v>12360</v>
          </cell>
          <cell r="X248" t="e">
            <v>#DIV/0!</v>
          </cell>
          <cell r="Y248">
            <v>0</v>
          </cell>
          <cell r="Z248">
            <v>0</v>
          </cell>
          <cell r="AA248">
            <v>14594</v>
          </cell>
          <cell r="AB248">
            <v>12360</v>
          </cell>
          <cell r="AC248">
            <v>13011</v>
          </cell>
          <cell r="AD248">
            <v>13952</v>
          </cell>
          <cell r="AE248">
            <v>14891.57</v>
          </cell>
          <cell r="AF248">
            <v>0.1700002081714688</v>
          </cell>
          <cell r="AG248">
            <v>0.1700002081714688</v>
          </cell>
          <cell r="AH248">
            <v>18308</v>
          </cell>
          <cell r="AI248">
            <v>21723</v>
          </cell>
          <cell r="AJ248">
            <v>0.43101781521889243</v>
          </cell>
          <cell r="AK248">
            <v>25138</v>
          </cell>
          <cell r="AL248">
            <v>28553</v>
          </cell>
          <cell r="AM248">
            <v>0.56712079291142792</v>
          </cell>
          <cell r="AN248">
            <v>33914.75</v>
          </cell>
          <cell r="AO248">
            <v>39276.5</v>
          </cell>
          <cell r="AP248">
            <v>44638.25</v>
          </cell>
          <cell r="AQ248">
            <v>0</v>
          </cell>
          <cell r="AS248">
            <v>50000</v>
          </cell>
        </row>
        <row r="249">
          <cell r="B249" t="str">
            <v>AC</v>
          </cell>
          <cell r="C249" t="str">
            <v>DOM</v>
          </cell>
          <cell r="D249" t="str">
            <v>EK</v>
          </cell>
          <cell r="E249" t="str">
            <v>21</v>
          </cell>
          <cell r="F249">
            <v>39924</v>
          </cell>
          <cell r="G249">
            <v>39924</v>
          </cell>
          <cell r="H249" t="str">
            <v>7640005275</v>
          </cell>
          <cell r="I249" t="str">
            <v>3HBBKCA12305</v>
          </cell>
          <cell r="J249" t="str">
            <v>KC.A12305</v>
          </cell>
          <cell r="K249" t="str">
            <v>Lic Key: Kanji Font Option</v>
          </cell>
          <cell r="L249">
            <v>9600</v>
          </cell>
          <cell r="M249">
            <v>4800</v>
          </cell>
          <cell r="N249">
            <v>4944</v>
          </cell>
          <cell r="O249">
            <v>0</v>
          </cell>
          <cell r="P249">
            <v>4944</v>
          </cell>
          <cell r="Q249">
            <v>5088</v>
          </cell>
          <cell r="R249">
            <v>5749.44</v>
          </cell>
          <cell r="S249">
            <v>972.7</v>
          </cell>
          <cell r="T249" t="e">
            <v>#DIV/0!</v>
          </cell>
          <cell r="U249">
            <v>753.25887999999998</v>
          </cell>
          <cell r="V249">
            <v>0.15503153444404127</v>
          </cell>
          <cell r="W249">
            <v>4944</v>
          </cell>
          <cell r="X249" t="e">
            <v>#DIV/0!</v>
          </cell>
          <cell r="Y249">
            <v>0</v>
          </cell>
          <cell r="Z249">
            <v>0</v>
          </cell>
          <cell r="AA249">
            <v>5837</v>
          </cell>
          <cell r="AB249">
            <v>4944</v>
          </cell>
          <cell r="AC249">
            <v>5205</v>
          </cell>
          <cell r="AD249">
            <v>5581</v>
          </cell>
          <cell r="AE249">
            <v>5956.63</v>
          </cell>
          <cell r="AF249">
            <v>0.17000048685246524</v>
          </cell>
          <cell r="AG249">
            <v>0.17000048685246524</v>
          </cell>
          <cell r="AH249">
            <v>6179</v>
          </cell>
          <cell r="AI249">
            <v>6401</v>
          </cell>
          <cell r="AJ249">
            <v>0.2276206842680831</v>
          </cell>
          <cell r="AK249">
            <v>6623</v>
          </cell>
          <cell r="AL249">
            <v>6845</v>
          </cell>
          <cell r="AM249">
            <v>0.27772096420745068</v>
          </cell>
          <cell r="AN249">
            <v>7533.75</v>
          </cell>
          <cell r="AO249">
            <v>8222.5</v>
          </cell>
          <cell r="AP249">
            <v>8911.25</v>
          </cell>
          <cell r="AQ249">
            <v>0</v>
          </cell>
          <cell r="AS249">
            <v>9600</v>
          </cell>
        </row>
        <row r="250">
          <cell r="B250" t="str">
            <v>AC</v>
          </cell>
          <cell r="C250" t="str">
            <v>DOM</v>
          </cell>
          <cell r="D250" t="str">
            <v>EK</v>
          </cell>
          <cell r="E250" t="str">
            <v>21</v>
          </cell>
          <cell r="F250">
            <v>39924</v>
          </cell>
          <cell r="G250">
            <v>39924</v>
          </cell>
          <cell r="H250" t="str">
            <v>7640005278</v>
          </cell>
          <cell r="I250" t="str">
            <v>3KDBKCA14662</v>
          </cell>
          <cell r="J250" t="str">
            <v>KC.A14662</v>
          </cell>
          <cell r="K250" t="str">
            <v>Extended Paper Size Range (E/EX Series only)</v>
          </cell>
          <cell r="L250">
            <v>4000</v>
          </cell>
          <cell r="M250">
            <v>2000</v>
          </cell>
          <cell r="N250">
            <v>2060</v>
          </cell>
          <cell r="O250">
            <v>0</v>
          </cell>
          <cell r="P250">
            <v>2060</v>
          </cell>
          <cell r="Q250">
            <v>2120</v>
          </cell>
          <cell r="R250">
            <v>2395.6</v>
          </cell>
          <cell r="S250">
            <v>568.6</v>
          </cell>
          <cell r="T250" t="e">
            <v>#DIV/0!</v>
          </cell>
          <cell r="U250">
            <v>440.32384000000002</v>
          </cell>
          <cell r="V250">
            <v>0.14499292157335836</v>
          </cell>
          <cell r="W250">
            <v>2060</v>
          </cell>
          <cell r="X250" t="e">
            <v>#DIV/0!</v>
          </cell>
          <cell r="Y250">
            <v>0</v>
          </cell>
          <cell r="Z250">
            <v>0</v>
          </cell>
          <cell r="AA250">
            <v>2432</v>
          </cell>
          <cell r="AB250">
            <v>2060</v>
          </cell>
          <cell r="AC250">
            <v>2169</v>
          </cell>
          <cell r="AD250">
            <v>2326</v>
          </cell>
          <cell r="AE250">
            <v>2481.9299999999998</v>
          </cell>
          <cell r="AF250">
            <v>0.17000076553327445</v>
          </cell>
          <cell r="AG250">
            <v>0.17000076553327445</v>
          </cell>
          <cell r="AH250">
            <v>2575</v>
          </cell>
          <cell r="AI250">
            <v>2668</v>
          </cell>
          <cell r="AJ250">
            <v>0.22788605697151423</v>
          </cell>
          <cell r="AK250">
            <v>2760.5</v>
          </cell>
          <cell r="AL250">
            <v>2853</v>
          </cell>
          <cell r="AM250">
            <v>0.27795303189624954</v>
          </cell>
          <cell r="AN250">
            <v>3139.75</v>
          </cell>
          <cell r="AO250">
            <v>3426.5</v>
          </cell>
          <cell r="AP250">
            <v>3713.25</v>
          </cell>
          <cell r="AQ250">
            <v>0</v>
          </cell>
          <cell r="AS250">
            <v>4000</v>
          </cell>
        </row>
        <row r="251">
          <cell r="B251" t="str">
            <v>AC</v>
          </cell>
          <cell r="C251" t="str">
            <v>DOM</v>
          </cell>
          <cell r="D251" t="str">
            <v>EK</v>
          </cell>
          <cell r="E251" t="str">
            <v>21</v>
          </cell>
          <cell r="F251">
            <v>39924</v>
          </cell>
          <cell r="G251">
            <v>39924</v>
          </cell>
          <cell r="H251" t="str">
            <v>7640005279</v>
          </cell>
          <cell r="I251" t="str">
            <v>3HBBKCA14663</v>
          </cell>
          <cell r="J251" t="str">
            <v>KC.A14663</v>
          </cell>
          <cell r="K251" t="str">
            <v>Enhanced Feed Mode (E/EX Series only)</v>
          </cell>
          <cell r="L251">
            <v>4000</v>
          </cell>
          <cell r="M251">
            <v>2000</v>
          </cell>
          <cell r="N251">
            <v>2060</v>
          </cell>
          <cell r="O251">
            <v>0</v>
          </cell>
          <cell r="P251">
            <v>2060</v>
          </cell>
          <cell r="Q251">
            <v>2120</v>
          </cell>
          <cell r="R251">
            <v>2395.6</v>
          </cell>
          <cell r="S251">
            <v>4255.7</v>
          </cell>
          <cell r="T251" t="e">
            <v>#DIV/0!</v>
          </cell>
          <cell r="U251">
            <v>3295.6140799999998</v>
          </cell>
          <cell r="V251">
            <v>6.6541189191666419E-2</v>
          </cell>
          <cell r="W251">
            <v>2060</v>
          </cell>
          <cell r="X251" t="e">
            <v>#DIV/0!</v>
          </cell>
          <cell r="Y251">
            <v>0</v>
          </cell>
          <cell r="Z251">
            <v>0</v>
          </cell>
          <cell r="AA251">
            <v>2432</v>
          </cell>
          <cell r="AB251">
            <v>2060</v>
          </cell>
          <cell r="AC251">
            <v>2169</v>
          </cell>
          <cell r="AD251">
            <v>2326</v>
          </cell>
          <cell r="AE251">
            <v>2481.9299999999998</v>
          </cell>
          <cell r="AF251">
            <v>0.17000076553327445</v>
          </cell>
          <cell r="AG251">
            <v>0.17000076553327445</v>
          </cell>
          <cell r="AH251">
            <v>2575</v>
          </cell>
          <cell r="AI251">
            <v>2668</v>
          </cell>
          <cell r="AJ251">
            <v>0.22788605697151423</v>
          </cell>
          <cell r="AK251">
            <v>2760.5</v>
          </cell>
          <cell r="AL251">
            <v>2853</v>
          </cell>
          <cell r="AM251">
            <v>0.27795303189624954</v>
          </cell>
          <cell r="AN251">
            <v>3139.75</v>
          </cell>
          <cell r="AO251">
            <v>3426.5</v>
          </cell>
          <cell r="AP251">
            <v>3713.25</v>
          </cell>
          <cell r="AQ251">
            <v>0</v>
          </cell>
          <cell r="AS251">
            <v>4000</v>
          </cell>
        </row>
        <row r="252">
          <cell r="B252" t="str">
            <v>AC</v>
          </cell>
          <cell r="C252" t="str">
            <v>DOM</v>
          </cell>
          <cell r="D252" t="str">
            <v>EK</v>
          </cell>
          <cell r="E252" t="str">
            <v>21</v>
          </cell>
          <cell r="F252">
            <v>39924</v>
          </cell>
          <cell r="G252">
            <v>39924</v>
          </cell>
          <cell r="H252" t="str">
            <v>7640005280</v>
          </cell>
          <cell r="I252" t="str">
            <v>3HBBKCA14664</v>
          </cell>
          <cell r="J252" t="str">
            <v>KC.A14664</v>
          </cell>
          <cell r="K252" t="str">
            <v>Digital Print Quality (V240 and above)</v>
          </cell>
          <cell r="L252">
            <v>4000</v>
          </cell>
          <cell r="M252">
            <v>2000</v>
          </cell>
          <cell r="N252">
            <v>2060</v>
          </cell>
          <cell r="O252">
            <v>0</v>
          </cell>
          <cell r="P252">
            <v>2060</v>
          </cell>
          <cell r="Q252">
            <v>2120</v>
          </cell>
          <cell r="R252">
            <v>2395.6</v>
          </cell>
          <cell r="S252">
            <v>3192</v>
          </cell>
          <cell r="T252" t="e">
            <v>#DIV/0!</v>
          </cell>
          <cell r="U252">
            <v>2471.8847999999998</v>
          </cell>
          <cell r="V252">
            <v>0.16316488535388052</v>
          </cell>
          <cell r="W252">
            <v>2060</v>
          </cell>
          <cell r="X252" t="e">
            <v>#DIV/0!</v>
          </cell>
          <cell r="Y252">
            <v>0</v>
          </cell>
          <cell r="Z252">
            <v>0</v>
          </cell>
          <cell r="AA252">
            <v>2432</v>
          </cell>
          <cell r="AB252">
            <v>2060</v>
          </cell>
          <cell r="AC252">
            <v>2169</v>
          </cell>
          <cell r="AD252">
            <v>2326</v>
          </cell>
          <cell r="AE252">
            <v>2481.9299999999998</v>
          </cell>
          <cell r="AF252">
            <v>0.17000076553327445</v>
          </cell>
          <cell r="AG252">
            <v>0.17000076553327445</v>
          </cell>
          <cell r="AH252">
            <v>2575</v>
          </cell>
          <cell r="AI252">
            <v>2668</v>
          </cell>
          <cell r="AJ252">
            <v>0.22788605697151423</v>
          </cell>
          <cell r="AK252">
            <v>2760.5</v>
          </cell>
          <cell r="AL252">
            <v>2853</v>
          </cell>
          <cell r="AM252">
            <v>0.27795303189624954</v>
          </cell>
          <cell r="AN252">
            <v>3139.75</v>
          </cell>
          <cell r="AO252">
            <v>3426.5</v>
          </cell>
          <cell r="AP252">
            <v>3713.25</v>
          </cell>
          <cell r="AQ252">
            <v>0</v>
          </cell>
          <cell r="AS252">
            <v>4000</v>
          </cell>
        </row>
        <row r="253">
          <cell r="B253" t="str">
            <v>AC</v>
          </cell>
          <cell r="C253" t="str">
            <v>DOM</v>
          </cell>
          <cell r="D253" t="str">
            <v>EK</v>
          </cell>
          <cell r="E253" t="str">
            <v>21</v>
          </cell>
          <cell r="F253">
            <v>39924</v>
          </cell>
          <cell r="G253">
            <v>39924</v>
          </cell>
          <cell r="H253" t="str">
            <v>7640005281</v>
          </cell>
          <cell r="I253" t="str">
            <v>3HBBKCA14665</v>
          </cell>
          <cell r="J253" t="str">
            <v>KC.A14665</v>
          </cell>
          <cell r="K253" t="str">
            <v>Output Density Modification Support</v>
          </cell>
          <cell r="L253">
            <v>0</v>
          </cell>
          <cell r="M253">
            <v>0</v>
          </cell>
          <cell r="N253">
            <v>0</v>
          </cell>
          <cell r="O253" t="e">
            <v>#DIV/0!</v>
          </cell>
          <cell r="P253">
            <v>0</v>
          </cell>
          <cell r="Q253">
            <v>0</v>
          </cell>
          <cell r="R253">
            <v>0</v>
          </cell>
          <cell r="S253">
            <v>1575</v>
          </cell>
          <cell r="T253" t="e">
            <v>#DIV/0!</v>
          </cell>
          <cell r="U253">
            <v>1354.5</v>
          </cell>
          <cell r="V253">
            <v>0.1147139165743816</v>
          </cell>
          <cell r="W253">
            <v>0</v>
          </cell>
          <cell r="X253" t="e">
            <v>#DIV/0!</v>
          </cell>
          <cell r="Y253">
            <v>0</v>
          </cell>
          <cell r="Z253">
            <v>0</v>
          </cell>
          <cell r="AA253">
            <v>0</v>
          </cell>
          <cell r="AB253">
            <v>0</v>
          </cell>
          <cell r="AC253">
            <v>0</v>
          </cell>
          <cell r="AD253">
            <v>0</v>
          </cell>
          <cell r="AE253">
            <v>0</v>
          </cell>
          <cell r="AF253" t="e">
            <v>#DIV/0!</v>
          </cell>
          <cell r="AG253" t="e">
            <v>#DIV/0!</v>
          </cell>
          <cell r="AH253">
            <v>0</v>
          </cell>
          <cell r="AI253">
            <v>0</v>
          </cell>
          <cell r="AJ253" t="e">
            <v>#DIV/0!</v>
          </cell>
          <cell r="AK253">
            <v>0</v>
          </cell>
          <cell r="AL253">
            <v>0</v>
          </cell>
          <cell r="AM253" t="e">
            <v>#DIV/0!</v>
          </cell>
          <cell r="AN253">
            <v>0</v>
          </cell>
          <cell r="AO253">
            <v>0</v>
          </cell>
          <cell r="AP253">
            <v>0</v>
          </cell>
          <cell r="AQ253">
            <v>0</v>
          </cell>
          <cell r="AS253">
            <v>0</v>
          </cell>
        </row>
        <row r="254">
          <cell r="B254" t="str">
            <v>AC</v>
          </cell>
          <cell r="C254" t="str">
            <v>DOM</v>
          </cell>
          <cell r="D254" t="str">
            <v>EK</v>
          </cell>
          <cell r="E254" t="str">
            <v>21</v>
          </cell>
          <cell r="F254">
            <v>39924</v>
          </cell>
          <cell r="G254">
            <v>39924</v>
          </cell>
          <cell r="H254" t="str">
            <v>7640005282</v>
          </cell>
          <cell r="I254" t="str">
            <v>3KDBKCA14666</v>
          </cell>
          <cell r="J254" t="str">
            <v>KC.A14666</v>
          </cell>
          <cell r="K254" t="str">
            <v>MICR Software License (for 9150i, E/EX Series)</v>
          </cell>
          <cell r="L254">
            <v>16000</v>
          </cell>
          <cell r="M254">
            <v>8000</v>
          </cell>
          <cell r="N254">
            <v>8240</v>
          </cell>
          <cell r="O254">
            <v>0</v>
          </cell>
          <cell r="P254">
            <v>8240</v>
          </cell>
          <cell r="Q254">
            <v>8480</v>
          </cell>
          <cell r="R254">
            <v>9582.4</v>
          </cell>
          <cell r="S254">
            <v>892.5</v>
          </cell>
          <cell r="T254" t="e">
            <v>#DIV/0!</v>
          </cell>
          <cell r="U254">
            <v>767.55</v>
          </cell>
          <cell r="V254">
            <v>9.4886326623672634E-2</v>
          </cell>
          <cell r="W254">
            <v>8240</v>
          </cell>
          <cell r="X254" t="e">
            <v>#DIV/0!</v>
          </cell>
          <cell r="Y254">
            <v>0</v>
          </cell>
          <cell r="Z254">
            <v>0</v>
          </cell>
          <cell r="AA254">
            <v>9729</v>
          </cell>
          <cell r="AB254">
            <v>8240</v>
          </cell>
          <cell r="AC254">
            <v>8674</v>
          </cell>
          <cell r="AD254">
            <v>9301</v>
          </cell>
          <cell r="AE254">
            <v>9927.7099999999991</v>
          </cell>
          <cell r="AF254">
            <v>0.1699999294902852</v>
          </cell>
          <cell r="AG254">
            <v>0.1699999294902852</v>
          </cell>
          <cell r="AH254">
            <v>10299</v>
          </cell>
          <cell r="AI254">
            <v>10669</v>
          </cell>
          <cell r="AJ254">
            <v>0.22766894741775237</v>
          </cell>
          <cell r="AK254">
            <v>11039</v>
          </cell>
          <cell r="AL254">
            <v>11409</v>
          </cell>
          <cell r="AM254">
            <v>0.27776316942764484</v>
          </cell>
          <cell r="AN254">
            <v>12556.75</v>
          </cell>
          <cell r="AO254">
            <v>13704.5</v>
          </cell>
          <cell r="AP254">
            <v>14852.25</v>
          </cell>
          <cell r="AQ254">
            <v>0</v>
          </cell>
          <cell r="AS254">
            <v>16000</v>
          </cell>
        </row>
        <row r="255">
          <cell r="B255" t="str">
            <v>AC</v>
          </cell>
          <cell r="C255" t="str">
            <v>DOM</v>
          </cell>
          <cell r="D255" t="str">
            <v>EK</v>
          </cell>
          <cell r="E255" t="str">
            <v>21</v>
          </cell>
          <cell r="F255">
            <v>39924</v>
          </cell>
          <cell r="G255">
            <v>39924</v>
          </cell>
          <cell r="H255" t="str">
            <v>7640005283</v>
          </cell>
          <cell r="I255" t="str">
            <v>3KDBKCA14667</v>
          </cell>
          <cell r="J255" t="str">
            <v>KC.A14667</v>
          </cell>
          <cell r="K255" t="str">
            <v>PCL Interpreter</v>
          </cell>
          <cell r="L255">
            <v>2400</v>
          </cell>
          <cell r="M255">
            <v>1200</v>
          </cell>
          <cell r="N255">
            <v>1236</v>
          </cell>
          <cell r="O255">
            <v>0</v>
          </cell>
          <cell r="P255">
            <v>1236</v>
          </cell>
          <cell r="Q255">
            <v>1272</v>
          </cell>
          <cell r="R255">
            <v>1437.36</v>
          </cell>
          <cell r="S255">
            <v>425</v>
          </cell>
          <cell r="T255" t="e">
            <v>#DIV/0!</v>
          </cell>
          <cell r="U255">
            <v>329.12</v>
          </cell>
          <cell r="V255">
            <v>9.6256684491978634E-2</v>
          </cell>
          <cell r="W255">
            <v>1236</v>
          </cell>
          <cell r="X255" t="e">
            <v>#DIV/0!</v>
          </cell>
          <cell r="Y255">
            <v>0</v>
          </cell>
          <cell r="Z255">
            <v>0</v>
          </cell>
          <cell r="AA255">
            <v>1459</v>
          </cell>
          <cell r="AB255">
            <v>1236</v>
          </cell>
          <cell r="AC255">
            <v>1302</v>
          </cell>
          <cell r="AD255">
            <v>1396</v>
          </cell>
          <cell r="AE255">
            <v>1489.16</v>
          </cell>
          <cell r="AF255">
            <v>0.17000188025464025</v>
          </cell>
          <cell r="AG255">
            <v>0.17000188025464025</v>
          </cell>
          <cell r="AH255">
            <v>1546</v>
          </cell>
          <cell r="AI255">
            <v>1601</v>
          </cell>
          <cell r="AJ255">
            <v>0.22798251093066832</v>
          </cell>
          <cell r="AK255">
            <v>1656.5</v>
          </cell>
          <cell r="AL255">
            <v>1712</v>
          </cell>
          <cell r="AM255">
            <v>0.2780373831775701</v>
          </cell>
          <cell r="AN255">
            <v>1884</v>
          </cell>
          <cell r="AO255">
            <v>2056</v>
          </cell>
          <cell r="AP255">
            <v>2228</v>
          </cell>
          <cell r="AQ255">
            <v>0</v>
          </cell>
          <cell r="AS255">
            <v>2400</v>
          </cell>
        </row>
        <row r="256">
          <cell r="B256" t="str">
            <v>AC</v>
          </cell>
          <cell r="C256" t="str">
            <v>DOM</v>
          </cell>
          <cell r="D256" t="str">
            <v>EK</v>
          </cell>
          <cell r="E256" t="str">
            <v>21</v>
          </cell>
          <cell r="F256">
            <v>39924</v>
          </cell>
          <cell r="G256">
            <v>39924</v>
          </cell>
          <cell r="H256" t="str">
            <v>7640005322</v>
          </cell>
          <cell r="I256" t="str">
            <v>3HBBKN000526100</v>
          </cell>
          <cell r="J256" t="str">
            <v>KN.0005261/00</v>
          </cell>
          <cell r="K256" t="str">
            <v>Ultra 10 Memory Upgrade Kit  (This Kit is Supplied By KODAK. Kit contains 2 x 256MB DIMMs, May have to Order Qty of 2)</v>
          </cell>
          <cell r="L256">
            <v>924</v>
          </cell>
          <cell r="M256">
            <v>513</v>
          </cell>
          <cell r="N256">
            <v>528.39</v>
          </cell>
          <cell r="O256">
            <v>0</v>
          </cell>
          <cell r="P256">
            <v>528.39</v>
          </cell>
          <cell r="Q256">
            <v>543.78</v>
          </cell>
          <cell r="R256">
            <v>614.47</v>
          </cell>
          <cell r="S256">
            <v>157.5</v>
          </cell>
          <cell r="T256" t="e">
            <v>#DIV/0!</v>
          </cell>
          <cell r="U256">
            <v>121.96799999999999</v>
          </cell>
          <cell r="V256">
            <v>0.57365866456775549</v>
          </cell>
          <cell r="W256">
            <v>528.39</v>
          </cell>
          <cell r="X256" t="e">
            <v>#DIV/0!</v>
          </cell>
          <cell r="Y256">
            <v>0</v>
          </cell>
          <cell r="Z256">
            <v>0</v>
          </cell>
          <cell r="AA256">
            <v>624</v>
          </cell>
          <cell r="AB256">
            <v>529</v>
          </cell>
          <cell r="AC256">
            <v>557</v>
          </cell>
          <cell r="AD256">
            <v>597</v>
          </cell>
          <cell r="AE256">
            <v>636.61</v>
          </cell>
          <cell r="AF256">
            <v>0.16999418796437382</v>
          </cell>
          <cell r="AG256">
            <v>0.16999418796437382</v>
          </cell>
          <cell r="AH256">
            <v>650</v>
          </cell>
          <cell r="AI256">
            <v>662</v>
          </cell>
          <cell r="AJ256">
            <v>0.20182779456193356</v>
          </cell>
          <cell r="AK256">
            <v>674.5</v>
          </cell>
          <cell r="AL256">
            <v>687</v>
          </cell>
          <cell r="AM256">
            <v>0.23087336244541487</v>
          </cell>
          <cell r="AN256">
            <v>746.25</v>
          </cell>
          <cell r="AO256">
            <v>805.5</v>
          </cell>
          <cell r="AP256">
            <v>864.75</v>
          </cell>
          <cell r="AQ256">
            <v>0</v>
          </cell>
          <cell r="AS256">
            <v>924</v>
          </cell>
        </row>
        <row r="257">
          <cell r="B257" t="str">
            <v>AC</v>
          </cell>
          <cell r="C257" t="str">
            <v>DOM</v>
          </cell>
          <cell r="D257" t="str">
            <v>EK</v>
          </cell>
          <cell r="E257" t="str">
            <v>21</v>
          </cell>
          <cell r="F257">
            <v>39924</v>
          </cell>
          <cell r="G257">
            <v>39924</v>
          </cell>
          <cell r="H257" t="str">
            <v>7640005323</v>
          </cell>
          <cell r="I257" t="str">
            <v>3KDBKN000526200</v>
          </cell>
          <cell r="J257" t="str">
            <v>KN.0005262/00</v>
          </cell>
          <cell r="K257" t="str">
            <v>V240 Memory Upgrade Kit</v>
          </cell>
          <cell r="L257">
            <v>484</v>
          </cell>
          <cell r="M257">
            <v>257</v>
          </cell>
          <cell r="N257">
            <v>264.70999999999998</v>
          </cell>
          <cell r="O257">
            <v>0</v>
          </cell>
          <cell r="P257">
            <v>264.70999999999998</v>
          </cell>
          <cell r="Q257">
            <v>272.42</v>
          </cell>
          <cell r="R257">
            <v>307.83</v>
          </cell>
          <cell r="S257">
            <v>747.1</v>
          </cell>
          <cell r="T257" t="e">
            <v>#DIV/0!</v>
          </cell>
          <cell r="U257">
            <v>578.55424000000005</v>
          </cell>
          <cell r="V257">
            <v>0.15693297831504968</v>
          </cell>
          <cell r="W257">
            <v>264.70999999999998</v>
          </cell>
          <cell r="X257" t="e">
            <v>#DIV/0!</v>
          </cell>
          <cell r="Y257">
            <v>0</v>
          </cell>
          <cell r="Z257">
            <v>0</v>
          </cell>
          <cell r="AA257">
            <v>313</v>
          </cell>
          <cell r="AB257">
            <v>265</v>
          </cell>
          <cell r="AC257">
            <v>279</v>
          </cell>
          <cell r="AD257">
            <v>299</v>
          </cell>
          <cell r="AE257">
            <v>318.93</v>
          </cell>
          <cell r="AF257">
            <v>0.17000595742012362</v>
          </cell>
          <cell r="AG257">
            <v>0.17000595742012362</v>
          </cell>
          <cell r="AH257">
            <v>328</v>
          </cell>
          <cell r="AI257">
            <v>337</v>
          </cell>
          <cell r="AJ257">
            <v>0.21451038575667661</v>
          </cell>
          <cell r="AK257">
            <v>345.5</v>
          </cell>
          <cell r="AL257">
            <v>354</v>
          </cell>
          <cell r="AM257">
            <v>0.25223163841807916</v>
          </cell>
          <cell r="AN257">
            <v>386.5</v>
          </cell>
          <cell r="AO257">
            <v>419</v>
          </cell>
          <cell r="AP257">
            <v>451.5</v>
          </cell>
          <cell r="AQ257">
            <v>0</v>
          </cell>
          <cell r="AS257">
            <v>484</v>
          </cell>
        </row>
        <row r="258">
          <cell r="B258" t="str">
            <v>AC</v>
          </cell>
          <cell r="C258" t="str">
            <v>DOM</v>
          </cell>
          <cell r="D258" t="str">
            <v>EK</v>
          </cell>
          <cell r="E258" t="str">
            <v>21</v>
          </cell>
          <cell r="F258">
            <v>39924</v>
          </cell>
          <cell r="G258">
            <v>39925</v>
          </cell>
          <cell r="H258" t="str">
            <v>7640008027</v>
          </cell>
          <cell r="I258" t="str">
            <v>3KDBKHB694045M00</v>
          </cell>
          <cell r="J258" t="str">
            <v>KHB694045A00</v>
          </cell>
          <cell r="K258" t="str">
            <v>Digimaster 9110, 9110m, 9150i, EX110, E/EX125, EX138, E/EX150, SW Media Kit R7.01 (new installs &amp; upgrade)</v>
          </cell>
          <cell r="L258">
            <v>0</v>
          </cell>
          <cell r="M258">
            <v>0</v>
          </cell>
          <cell r="N258">
            <v>0</v>
          </cell>
          <cell r="O258" t="e">
            <v>#DIV/0!</v>
          </cell>
          <cell r="P258">
            <v>0</v>
          </cell>
          <cell r="Q258">
            <v>0</v>
          </cell>
          <cell r="R258">
            <v>0</v>
          </cell>
          <cell r="S258">
            <v>2572.5</v>
          </cell>
          <cell r="T258" t="e">
            <v>#DIV/0!</v>
          </cell>
          <cell r="U258">
            <v>2258.79</v>
          </cell>
          <cell r="V258">
            <v>0</v>
          </cell>
          <cell r="W258">
            <v>0</v>
          </cell>
          <cell r="X258" t="e">
            <v>#DIV/0!</v>
          </cell>
          <cell r="Y258">
            <v>0</v>
          </cell>
          <cell r="Z258">
            <v>0</v>
          </cell>
          <cell r="AA258">
            <v>0</v>
          </cell>
          <cell r="AB258">
            <v>0</v>
          </cell>
          <cell r="AC258">
            <v>0</v>
          </cell>
          <cell r="AD258">
            <v>0</v>
          </cell>
          <cell r="AE258">
            <v>0</v>
          </cell>
          <cell r="AF258" t="e">
            <v>#DIV/0!</v>
          </cell>
          <cell r="AG258" t="e">
            <v>#DIV/0!</v>
          </cell>
          <cell r="AH258">
            <v>0</v>
          </cell>
          <cell r="AI258">
            <v>0</v>
          </cell>
          <cell r="AJ258" t="e">
            <v>#DIV/0!</v>
          </cell>
          <cell r="AK258">
            <v>0</v>
          </cell>
          <cell r="AL258">
            <v>0</v>
          </cell>
          <cell r="AM258" t="e">
            <v>#DIV/0!</v>
          </cell>
          <cell r="AN258">
            <v>0</v>
          </cell>
          <cell r="AO258">
            <v>0</v>
          </cell>
          <cell r="AP258">
            <v>0</v>
          </cell>
          <cell r="AQ258">
            <v>0</v>
          </cell>
          <cell r="AS258">
            <v>0</v>
          </cell>
        </row>
        <row r="259">
          <cell r="B259" t="str">
            <v>AC</v>
          </cell>
          <cell r="C259" t="str">
            <v>DOM</v>
          </cell>
          <cell r="D259" t="str">
            <v>EK</v>
          </cell>
          <cell r="E259" t="str">
            <v>21</v>
          </cell>
          <cell r="F259">
            <v>39924</v>
          </cell>
          <cell r="G259">
            <v>39924</v>
          </cell>
          <cell r="H259" t="str">
            <v>7640008028</v>
          </cell>
          <cell r="I259" t="str">
            <v>3HBKA00123</v>
          </cell>
          <cell r="J259" t="str">
            <v>KCA00141</v>
          </cell>
          <cell r="K259" t="str">
            <v>DM9110 Paper Supply Module Paper Size Upgrade Kit (enables 7 additional Paper sizes) Order ONE per Extra PSM</v>
          </cell>
          <cell r="L259">
            <v>1130</v>
          </cell>
          <cell r="M259">
            <v>534.98</v>
          </cell>
          <cell r="N259">
            <v>551.03</v>
          </cell>
          <cell r="O259">
            <v>0</v>
          </cell>
          <cell r="P259">
            <v>551.03</v>
          </cell>
          <cell r="Q259">
            <v>567.08000000000004</v>
          </cell>
          <cell r="R259">
            <v>640.79999999999995</v>
          </cell>
          <cell r="S259">
            <v>68.3</v>
          </cell>
          <cell r="T259" t="e">
            <v>#DIV/0!</v>
          </cell>
          <cell r="U259">
            <v>52.891519999999993</v>
          </cell>
          <cell r="V259">
            <v>0.1348329562092371</v>
          </cell>
          <cell r="W259">
            <v>551.03</v>
          </cell>
          <cell r="X259" t="e">
            <v>#DIV/0!</v>
          </cell>
          <cell r="Y259">
            <v>0</v>
          </cell>
          <cell r="Z259">
            <v>0</v>
          </cell>
          <cell r="AA259">
            <v>651</v>
          </cell>
          <cell r="AB259">
            <v>552</v>
          </cell>
          <cell r="AC259">
            <v>581</v>
          </cell>
          <cell r="AD259">
            <v>623</v>
          </cell>
          <cell r="AE259">
            <v>663.89</v>
          </cell>
          <cell r="AF259">
            <v>0.16999804184428147</v>
          </cell>
          <cell r="AG259">
            <v>0.16999804184428147</v>
          </cell>
          <cell r="AH259">
            <v>696</v>
          </cell>
          <cell r="AI259">
            <v>727</v>
          </cell>
          <cell r="AJ259">
            <v>0.24204951856946358</v>
          </cell>
          <cell r="AK259">
            <v>758.5</v>
          </cell>
          <cell r="AL259">
            <v>790</v>
          </cell>
          <cell r="AM259">
            <v>0.30249367088607598</v>
          </cell>
          <cell r="AN259">
            <v>875</v>
          </cell>
          <cell r="AO259">
            <v>960</v>
          </cell>
          <cell r="AP259">
            <v>1045</v>
          </cell>
          <cell r="AQ259">
            <v>0</v>
          </cell>
          <cell r="AS259">
            <v>1130</v>
          </cell>
        </row>
        <row r="260">
          <cell r="B260" t="str">
            <v>AC</v>
          </cell>
          <cell r="C260" t="str">
            <v>DOM</v>
          </cell>
          <cell r="D260" t="str">
            <v>EK</v>
          </cell>
          <cell r="E260" t="str">
            <v>21</v>
          </cell>
          <cell r="F260">
            <v>39924</v>
          </cell>
          <cell r="G260">
            <v>39924</v>
          </cell>
          <cell r="H260" t="str">
            <v>7640008029</v>
          </cell>
          <cell r="I260" t="str">
            <v>3HBHA00124</v>
          </cell>
          <cell r="J260" t="str">
            <v>KCA00142</v>
          </cell>
          <cell r="K260" t="str">
            <v>DM9110 Marking Engine Paper Size Upgrade Kit (enables 7 additional Paper sizes) Order ONE per Extra PSM</v>
          </cell>
          <cell r="L260">
            <v>2550</v>
          </cell>
          <cell r="M260">
            <v>1205.01</v>
          </cell>
          <cell r="N260">
            <v>1241.1600000000001</v>
          </cell>
          <cell r="O260">
            <v>0</v>
          </cell>
          <cell r="P260">
            <v>1241.1600000000001</v>
          </cell>
          <cell r="Q260">
            <v>1277.31</v>
          </cell>
          <cell r="R260">
            <v>1443.36</v>
          </cell>
          <cell r="S260">
            <v>558</v>
          </cell>
          <cell r="T260" t="e">
            <v>#DIV/0!</v>
          </cell>
          <cell r="U260">
            <v>479.88</v>
          </cell>
          <cell r="V260">
            <v>0.14145202967408518</v>
          </cell>
          <cell r="W260">
            <v>1241.1600000000001</v>
          </cell>
          <cell r="X260" t="e">
            <v>#DIV/0!</v>
          </cell>
          <cell r="Y260">
            <v>0</v>
          </cell>
          <cell r="Z260">
            <v>0</v>
          </cell>
          <cell r="AA260">
            <v>1465</v>
          </cell>
          <cell r="AB260">
            <v>1242</v>
          </cell>
          <cell r="AC260">
            <v>1307</v>
          </cell>
          <cell r="AD260">
            <v>1402</v>
          </cell>
          <cell r="AE260">
            <v>1495.37</v>
          </cell>
          <cell r="AF260">
            <v>0.16999806068063411</v>
          </cell>
          <cell r="AG260">
            <v>0.16999806068063411</v>
          </cell>
          <cell r="AH260">
            <v>1567</v>
          </cell>
          <cell r="AI260">
            <v>1638</v>
          </cell>
          <cell r="AJ260">
            <v>0.24227106227106221</v>
          </cell>
          <cell r="AK260">
            <v>1709</v>
          </cell>
          <cell r="AL260">
            <v>1780</v>
          </cell>
          <cell r="AM260">
            <v>0.30271910112359546</v>
          </cell>
          <cell r="AN260">
            <v>1972.5</v>
          </cell>
          <cell r="AO260">
            <v>2165</v>
          </cell>
          <cell r="AP260">
            <v>2357.5</v>
          </cell>
          <cell r="AQ260">
            <v>0</v>
          </cell>
          <cell r="AS260">
            <v>2550</v>
          </cell>
        </row>
        <row r="261">
          <cell r="B261" t="str">
            <v>AC</v>
          </cell>
          <cell r="C261" t="str">
            <v>DOM</v>
          </cell>
          <cell r="D261" t="str">
            <v>EK</v>
          </cell>
          <cell r="E261" t="str">
            <v>21</v>
          </cell>
          <cell r="F261">
            <v>39924</v>
          </cell>
          <cell r="G261">
            <v>39924</v>
          </cell>
          <cell r="H261" t="str">
            <v>7640008031</v>
          </cell>
          <cell r="I261" t="str">
            <v>6MIDSLS_N</v>
          </cell>
          <cell r="J261">
            <v>504285</v>
          </cell>
          <cell r="K261" t="str">
            <v>Docusheeter LS New For 9110 Incl Install/Training</v>
          </cell>
          <cell r="L261">
            <v>79500</v>
          </cell>
          <cell r="M261">
            <v>56000</v>
          </cell>
          <cell r="N261">
            <v>57680</v>
          </cell>
          <cell r="O261">
            <v>0</v>
          </cell>
          <cell r="P261">
            <v>57680</v>
          </cell>
          <cell r="Q261">
            <v>59360</v>
          </cell>
          <cell r="R261">
            <v>67076.800000000003</v>
          </cell>
          <cell r="S261">
            <v>78</v>
          </cell>
          <cell r="T261" t="e">
            <v>#DIV/0!</v>
          </cell>
          <cell r="U261">
            <v>60.403199999999998</v>
          </cell>
          <cell r="V261">
            <v>0.45433354524263614</v>
          </cell>
          <cell r="W261">
            <v>57680</v>
          </cell>
          <cell r="X261" t="e">
            <v>#DIV/0!</v>
          </cell>
          <cell r="Y261">
            <v>0</v>
          </cell>
          <cell r="Z261">
            <v>0</v>
          </cell>
          <cell r="AA261">
            <v>62807</v>
          </cell>
          <cell r="AB261">
            <v>57680</v>
          </cell>
          <cell r="AC261">
            <v>60716</v>
          </cell>
          <cell r="AD261">
            <v>62403</v>
          </cell>
          <cell r="AE261">
            <v>64088.89</v>
          </cell>
          <cell r="AF261">
            <v>0.10000001560332843</v>
          </cell>
          <cell r="AG261">
            <v>0.10000001560332843</v>
          </cell>
          <cell r="AH261">
            <v>66016</v>
          </cell>
          <cell r="AI261">
            <v>67942</v>
          </cell>
          <cell r="AJ261">
            <v>0.15104059344735216</v>
          </cell>
          <cell r="AK261">
            <v>69868.5</v>
          </cell>
          <cell r="AL261">
            <v>71795</v>
          </cell>
          <cell r="AM261">
            <v>0.19660143464029528</v>
          </cell>
          <cell r="AN261">
            <v>73721.25</v>
          </cell>
          <cell r="AO261">
            <v>75647.5</v>
          </cell>
          <cell r="AP261">
            <v>77573.75</v>
          </cell>
          <cell r="AQ261">
            <v>0</v>
          </cell>
          <cell r="AS261">
            <v>79500</v>
          </cell>
        </row>
        <row r="262">
          <cell r="B262" t="str">
            <v>AC</v>
          </cell>
          <cell r="C262" t="str">
            <v>DOM</v>
          </cell>
          <cell r="D262" t="str">
            <v>EK</v>
          </cell>
          <cell r="E262" t="str">
            <v>21</v>
          </cell>
          <cell r="F262">
            <v>39924</v>
          </cell>
          <cell r="G262">
            <v>39924</v>
          </cell>
          <cell r="H262" t="str">
            <v>7640008032</v>
          </cell>
          <cell r="I262" t="str">
            <v>3MIHROLLCART_</v>
          </cell>
          <cell r="J262">
            <v>80004101</v>
          </cell>
          <cell r="K262" t="str">
            <v>Roll Cart For Docusheeter LS For 9110</v>
          </cell>
          <cell r="L262">
            <v>1350</v>
          </cell>
          <cell r="M262">
            <v>1060</v>
          </cell>
          <cell r="N262">
            <v>1091.8</v>
          </cell>
          <cell r="O262">
            <v>0</v>
          </cell>
          <cell r="P262">
            <v>1091.8</v>
          </cell>
          <cell r="Q262">
            <v>1123.5999999999999</v>
          </cell>
          <cell r="R262">
            <v>1269.67</v>
          </cell>
          <cell r="S262">
            <v>61</v>
          </cell>
          <cell r="T262" t="e">
            <v>#DIV/0!</v>
          </cell>
          <cell r="U262">
            <v>52.46</v>
          </cell>
          <cell r="V262">
            <v>0.13610369805566147</v>
          </cell>
          <cell r="W262">
            <v>1091.8</v>
          </cell>
          <cell r="X262" t="e">
            <v>#DIV/0!</v>
          </cell>
          <cell r="Y262">
            <v>0</v>
          </cell>
          <cell r="Z262">
            <v>0</v>
          </cell>
          <cell r="AA262">
            <v>1126</v>
          </cell>
          <cell r="AB262">
            <v>1092</v>
          </cell>
          <cell r="AC262">
            <v>1150</v>
          </cell>
          <cell r="AD262">
            <v>1150</v>
          </cell>
          <cell r="AE262">
            <v>1149.26</v>
          </cell>
          <cell r="AF262">
            <v>4.9997389624628054E-2</v>
          </cell>
          <cell r="AG262">
            <v>4.9997389624628054E-2</v>
          </cell>
          <cell r="AH262">
            <v>1175</v>
          </cell>
          <cell r="AI262">
            <v>1200</v>
          </cell>
          <cell r="AJ262">
            <v>9.01666666666667E-2</v>
          </cell>
          <cell r="AK262">
            <v>1225</v>
          </cell>
          <cell r="AL262">
            <v>1250</v>
          </cell>
          <cell r="AM262">
            <v>0.12656000000000003</v>
          </cell>
          <cell r="AN262">
            <v>1275</v>
          </cell>
          <cell r="AO262">
            <v>1300</v>
          </cell>
          <cell r="AP262">
            <v>1325</v>
          </cell>
          <cell r="AQ262">
            <v>0</v>
          </cell>
          <cell r="AS262">
            <v>1350</v>
          </cell>
        </row>
        <row r="263">
          <cell r="B263" t="str">
            <v>AC</v>
          </cell>
          <cell r="C263" t="str">
            <v>DOM</v>
          </cell>
          <cell r="D263" t="str">
            <v>EK</v>
          </cell>
          <cell r="E263" t="str">
            <v>21</v>
          </cell>
          <cell r="F263">
            <v>39924</v>
          </cell>
          <cell r="G263">
            <v>39924</v>
          </cell>
          <cell r="H263" t="str">
            <v>7640008033</v>
          </cell>
          <cell r="I263" t="str">
            <v>3MIHPRTREGOPT</v>
          </cell>
          <cell r="J263">
            <v>503235</v>
          </cell>
          <cell r="K263" t="str">
            <v>Print Registration Option</v>
          </cell>
          <cell r="L263">
            <v>12500</v>
          </cell>
          <cell r="M263">
            <v>9800</v>
          </cell>
          <cell r="N263">
            <v>10094</v>
          </cell>
          <cell r="O263">
            <v>0</v>
          </cell>
          <cell r="P263">
            <v>10094</v>
          </cell>
          <cell r="Q263">
            <v>10388</v>
          </cell>
          <cell r="R263">
            <v>11738.44</v>
          </cell>
          <cell r="S263">
            <v>37.200000000000003</v>
          </cell>
          <cell r="T263" t="e">
            <v>#DIV/0!</v>
          </cell>
          <cell r="U263">
            <v>28.807680000000001</v>
          </cell>
          <cell r="V263">
            <v>0.4279303296898605</v>
          </cell>
          <cell r="W263">
            <v>10094</v>
          </cell>
          <cell r="X263" t="e">
            <v>#DIV/0!</v>
          </cell>
          <cell r="Y263">
            <v>0</v>
          </cell>
          <cell r="Z263">
            <v>0</v>
          </cell>
          <cell r="AA263">
            <v>10413</v>
          </cell>
          <cell r="AB263">
            <v>10094</v>
          </cell>
          <cell r="AC263">
            <v>10626</v>
          </cell>
          <cell r="AD263">
            <v>10626</v>
          </cell>
          <cell r="AE263">
            <v>10625.26</v>
          </cell>
          <cell r="AF263">
            <v>4.9999717653968018E-2</v>
          </cell>
          <cell r="AG263">
            <v>4.9999717653968018E-2</v>
          </cell>
          <cell r="AH263">
            <v>10861</v>
          </cell>
          <cell r="AI263">
            <v>11095</v>
          </cell>
          <cell r="AJ263">
            <v>9.022082018927445E-2</v>
          </cell>
          <cell r="AK263">
            <v>11329</v>
          </cell>
          <cell r="AL263">
            <v>11563</v>
          </cell>
          <cell r="AM263">
            <v>0.12704315489059934</v>
          </cell>
          <cell r="AN263">
            <v>11797.25</v>
          </cell>
          <cell r="AO263">
            <v>12031.5</v>
          </cell>
          <cell r="AP263">
            <v>12265.75</v>
          </cell>
          <cell r="AQ263">
            <v>0</v>
          </cell>
          <cell r="AS263">
            <v>12500</v>
          </cell>
        </row>
        <row r="264">
          <cell r="B264" t="str">
            <v>AC</v>
          </cell>
          <cell r="C264" t="str">
            <v>DOM</v>
          </cell>
          <cell r="D264" t="str">
            <v>EK</v>
          </cell>
          <cell r="E264" t="str">
            <v>21</v>
          </cell>
          <cell r="F264">
            <v>39924</v>
          </cell>
          <cell r="G264">
            <v>39924</v>
          </cell>
          <cell r="H264" t="str">
            <v>7640008034</v>
          </cell>
          <cell r="I264" t="str">
            <v>3MIHRUNPERFOPT_</v>
          </cell>
          <cell r="J264">
            <v>503171</v>
          </cell>
          <cell r="K264" t="str">
            <v>Running Perforator Option</v>
          </cell>
          <cell r="L264">
            <v>6900</v>
          </cell>
          <cell r="M264">
            <v>5410</v>
          </cell>
          <cell r="N264">
            <v>5572.3</v>
          </cell>
          <cell r="O264">
            <v>0</v>
          </cell>
          <cell r="P264">
            <v>5572.3</v>
          </cell>
          <cell r="Q264">
            <v>5734.6</v>
          </cell>
          <cell r="R264">
            <v>6480.1</v>
          </cell>
          <cell r="S264">
            <v>56.3</v>
          </cell>
          <cell r="T264" t="e">
            <v>#DIV/0!</v>
          </cell>
          <cell r="U264">
            <v>43.598719999999993</v>
          </cell>
          <cell r="V264">
            <v>0.29362605140701364</v>
          </cell>
          <cell r="W264">
            <v>5572.3</v>
          </cell>
          <cell r="X264" t="e">
            <v>#DIV/0!</v>
          </cell>
          <cell r="Y264">
            <v>0</v>
          </cell>
          <cell r="Z264">
            <v>0</v>
          </cell>
          <cell r="AA264">
            <v>5748</v>
          </cell>
          <cell r="AB264">
            <v>5573</v>
          </cell>
          <cell r="AC264">
            <v>5866</v>
          </cell>
          <cell r="AD264">
            <v>5866</v>
          </cell>
          <cell r="AE264">
            <v>5865.58</v>
          </cell>
          <cell r="AF264">
            <v>5.0000170486124089E-2</v>
          </cell>
          <cell r="AG264">
            <v>5.0000170486124089E-2</v>
          </cell>
          <cell r="AH264">
            <v>5996</v>
          </cell>
          <cell r="AI264">
            <v>6125</v>
          </cell>
          <cell r="AJ264">
            <v>9.0236734693877524E-2</v>
          </cell>
          <cell r="AK264">
            <v>6254</v>
          </cell>
          <cell r="AL264">
            <v>6383</v>
          </cell>
          <cell r="AM264">
            <v>0.12700924330252231</v>
          </cell>
          <cell r="AN264">
            <v>6512.25</v>
          </cell>
          <cell r="AO264">
            <v>6641.5</v>
          </cell>
          <cell r="AP264">
            <v>6770.75</v>
          </cell>
          <cell r="AQ264">
            <v>0</v>
          </cell>
          <cell r="AS264">
            <v>6900</v>
          </cell>
        </row>
        <row r="265">
          <cell r="B265" t="str">
            <v>AC</v>
          </cell>
          <cell r="C265" t="str">
            <v>DOM</v>
          </cell>
          <cell r="D265" t="str">
            <v>EK</v>
          </cell>
          <cell r="E265" t="str">
            <v>21</v>
          </cell>
          <cell r="F265">
            <v>39924</v>
          </cell>
          <cell r="G265">
            <v>39924</v>
          </cell>
          <cell r="H265" t="str">
            <v>7640008035</v>
          </cell>
          <cell r="I265" t="str">
            <v>7MI90DINPUT_N</v>
          </cell>
          <cell r="J265">
            <v>503281</v>
          </cell>
          <cell r="K265" t="str">
            <v>90 Degree Input Module</v>
          </cell>
          <cell r="L265">
            <v>1200</v>
          </cell>
          <cell r="M265">
            <v>940</v>
          </cell>
          <cell r="N265">
            <v>968.2</v>
          </cell>
          <cell r="O265">
            <v>0</v>
          </cell>
          <cell r="P265">
            <v>968.2</v>
          </cell>
          <cell r="Q265">
            <v>996.4</v>
          </cell>
          <cell r="R265">
            <v>1125.93</v>
          </cell>
          <cell r="S265">
            <v>756.6</v>
          </cell>
          <cell r="T265" t="e">
            <v>#DIV/0!</v>
          </cell>
          <cell r="U265">
            <v>650.67600000000004</v>
          </cell>
          <cell r="V265">
            <v>5.0218541947144264E-2</v>
          </cell>
          <cell r="W265">
            <v>968.2</v>
          </cell>
          <cell r="X265" t="e">
            <v>#DIV/0!</v>
          </cell>
          <cell r="Y265">
            <v>0</v>
          </cell>
          <cell r="Z265">
            <v>0</v>
          </cell>
          <cell r="AA265">
            <v>999</v>
          </cell>
          <cell r="AB265">
            <v>969</v>
          </cell>
          <cell r="AC265">
            <v>1020</v>
          </cell>
          <cell r="AD265">
            <v>1020</v>
          </cell>
          <cell r="AE265">
            <v>1019.16</v>
          </cell>
          <cell r="AF265">
            <v>5.0001962400408106E-2</v>
          </cell>
          <cell r="AG265">
            <v>5.0001962400408106E-2</v>
          </cell>
          <cell r="AH265">
            <v>1043</v>
          </cell>
          <cell r="AI265">
            <v>1065</v>
          </cell>
          <cell r="AJ265">
            <v>9.0892018779342679E-2</v>
          </cell>
          <cell r="AK265">
            <v>1087.5</v>
          </cell>
          <cell r="AL265">
            <v>1110</v>
          </cell>
          <cell r="AM265">
            <v>0.12774774774774772</v>
          </cell>
          <cell r="AN265">
            <v>1132.5</v>
          </cell>
          <cell r="AO265">
            <v>1155</v>
          </cell>
          <cell r="AP265">
            <v>1177.5</v>
          </cell>
          <cell r="AQ265">
            <v>0</v>
          </cell>
          <cell r="AS265">
            <v>1200</v>
          </cell>
        </row>
        <row r="266">
          <cell r="B266" t="str">
            <v>AC</v>
          </cell>
          <cell r="C266" t="str">
            <v>DOM</v>
          </cell>
          <cell r="D266" t="str">
            <v>EK</v>
          </cell>
          <cell r="E266" t="str">
            <v>21</v>
          </cell>
          <cell r="F266">
            <v>39924</v>
          </cell>
          <cell r="G266">
            <v>39924</v>
          </cell>
          <cell r="H266" t="str">
            <v>7640008036</v>
          </cell>
          <cell r="I266" t="str">
            <v>4KCBWMIFRET45_N</v>
          </cell>
          <cell r="J266" t="str">
            <v>KCBWMIFRET45</v>
          </cell>
          <cell r="K266" t="str">
            <v>Mif Retention Bundle  -Ultra 45 &amp; R7 Media Kit (Must  order 3 year WSP &amp; AP license upgrade (if needed)</v>
          </cell>
          <cell r="L266">
            <v>36500</v>
          </cell>
          <cell r="M266">
            <v>11214</v>
          </cell>
          <cell r="N266">
            <v>11550.42</v>
          </cell>
          <cell r="O266">
            <v>0</v>
          </cell>
          <cell r="P266">
            <v>11550.42</v>
          </cell>
          <cell r="Q266">
            <v>11886.84</v>
          </cell>
          <cell r="R266">
            <v>13432.13</v>
          </cell>
          <cell r="S266">
            <v>1976</v>
          </cell>
          <cell r="T266" t="e">
            <v>#DIV/0!</v>
          </cell>
          <cell r="U266">
            <v>1699.36</v>
          </cell>
          <cell r="V266">
            <v>9.0834196403351802E-2</v>
          </cell>
          <cell r="W266">
            <v>11550.42</v>
          </cell>
          <cell r="X266" t="e">
            <v>#DIV/0!</v>
          </cell>
          <cell r="Y266">
            <v>0</v>
          </cell>
          <cell r="Z266">
            <v>0</v>
          </cell>
          <cell r="AA266">
            <v>13638</v>
          </cell>
          <cell r="AB266">
            <v>11551</v>
          </cell>
          <cell r="AC266">
            <v>12159</v>
          </cell>
          <cell r="AD266">
            <v>13038</v>
          </cell>
          <cell r="AE266">
            <v>13916.17</v>
          </cell>
          <cell r="AF266">
            <v>0.17000007904473716</v>
          </cell>
          <cell r="AG266">
            <v>0.17000007904473716</v>
          </cell>
          <cell r="AH266">
            <v>15984</v>
          </cell>
          <cell r="AI266">
            <v>18051</v>
          </cell>
          <cell r="AJ266">
            <v>0.36012298487618416</v>
          </cell>
          <cell r="AK266">
            <v>20117.5</v>
          </cell>
          <cell r="AL266">
            <v>22184</v>
          </cell>
          <cell r="AM266">
            <v>0.47933555715831228</v>
          </cell>
          <cell r="AN266">
            <v>25763</v>
          </cell>
          <cell r="AO266">
            <v>29342</v>
          </cell>
          <cell r="AP266">
            <v>32921</v>
          </cell>
          <cell r="AQ266">
            <v>0</v>
          </cell>
          <cell r="AS266">
            <v>36500</v>
          </cell>
        </row>
        <row r="267">
          <cell r="B267" t="str">
            <v>AC</v>
          </cell>
          <cell r="C267" t="str">
            <v>DOM</v>
          </cell>
          <cell r="D267" t="str">
            <v>EK</v>
          </cell>
          <cell r="E267" t="str">
            <v>21</v>
          </cell>
          <cell r="F267" t="str">
            <v>9/10/09</v>
          </cell>
          <cell r="G267" t="str">
            <v>9/10/09</v>
          </cell>
          <cell r="H267" t="str">
            <v>7640005083</v>
          </cell>
          <cell r="I267" t="str">
            <v>3KMH7640002320</v>
          </cell>
          <cell r="J267">
            <v>0</v>
          </cell>
          <cell r="K267" t="str">
            <v>KODAK SMARTBOARD 5.0 BW/COLOR SW DEMO (DM POOL)</v>
          </cell>
          <cell r="L267">
            <v>1500</v>
          </cell>
          <cell r="M267">
            <v>750</v>
          </cell>
          <cell r="N267">
            <v>772.5</v>
          </cell>
          <cell r="O267">
            <v>7.3464622433694155E-3</v>
          </cell>
          <cell r="P267">
            <v>3631.68</v>
          </cell>
          <cell r="Q267">
            <v>3710</v>
          </cell>
          <cell r="R267">
            <v>4192.3</v>
          </cell>
          <cell r="S267">
            <v>4539.6000000000004</v>
          </cell>
          <cell r="T267" t="e">
            <v>#DIV/0!</v>
          </cell>
          <cell r="U267">
            <v>3904.056</v>
          </cell>
          <cell r="V267">
            <v>7.6601360226390205E-2</v>
          </cell>
          <cell r="W267">
            <v>772.5</v>
          </cell>
          <cell r="X267" t="e">
            <v>#DIV/0!</v>
          </cell>
          <cell r="Y267">
            <v>0</v>
          </cell>
          <cell r="Z267">
            <v>0</v>
          </cell>
          <cell r="AA267">
            <v>912</v>
          </cell>
          <cell r="AB267">
            <v>773</v>
          </cell>
          <cell r="AC267">
            <v>814</v>
          </cell>
          <cell r="AD267">
            <v>873</v>
          </cell>
          <cell r="AE267">
            <v>930.72</v>
          </cell>
          <cell r="AF267">
            <v>0.16999742135121199</v>
          </cell>
          <cell r="AG267">
            <v>0.16999742135121199</v>
          </cell>
          <cell r="AH267">
            <v>966</v>
          </cell>
          <cell r="AI267">
            <v>1001</v>
          </cell>
          <cell r="AJ267">
            <v>0.22827172827172826</v>
          </cell>
          <cell r="AK267">
            <v>1035.5</v>
          </cell>
          <cell r="AL267">
            <v>1070</v>
          </cell>
          <cell r="AM267">
            <v>0.2780373831775701</v>
          </cell>
          <cell r="AN267">
            <v>1177.5</v>
          </cell>
          <cell r="AO267">
            <v>1285</v>
          </cell>
          <cell r="AP267">
            <v>1392.5</v>
          </cell>
          <cell r="AQ267">
            <v>0</v>
          </cell>
          <cell r="AS267">
            <v>1500</v>
          </cell>
        </row>
        <row r="268">
          <cell r="B268" t="str">
            <v>AC</v>
          </cell>
          <cell r="C268" t="str">
            <v>DOM</v>
          </cell>
          <cell r="D268" t="str">
            <v>EK</v>
          </cell>
          <cell r="E268" t="str">
            <v>21</v>
          </cell>
          <cell r="F268">
            <v>40071</v>
          </cell>
          <cell r="G268">
            <v>40071</v>
          </cell>
          <cell r="H268" t="str">
            <v>7640005270</v>
          </cell>
          <cell r="I268" t="str">
            <v>3KMH7640002321</v>
          </cell>
          <cell r="J268" t="str">
            <v>KHB694069M00</v>
          </cell>
          <cell r="K268" t="str">
            <v>Kodak R7.01 SP PP SW LIC FOR RECON 9110</v>
          </cell>
          <cell r="L268">
            <v>7500</v>
          </cell>
          <cell r="M268">
            <v>3000</v>
          </cell>
          <cell r="N268">
            <v>3090</v>
          </cell>
          <cell r="O268">
            <v>0</v>
          </cell>
          <cell r="P268">
            <v>3090</v>
          </cell>
          <cell r="Q268">
            <v>3180</v>
          </cell>
          <cell r="R268">
            <v>3593.4</v>
          </cell>
          <cell r="S268">
            <v>3026.4</v>
          </cell>
          <cell r="T268" t="e">
            <v>#DIV/0!</v>
          </cell>
          <cell r="U268">
            <v>2602.7040000000002</v>
          </cell>
          <cell r="V268">
            <v>8.9792769366013256E-2</v>
          </cell>
          <cell r="W268">
            <v>3090</v>
          </cell>
          <cell r="X268" t="e">
            <v>#DIV/0!</v>
          </cell>
          <cell r="Y268">
            <v>0</v>
          </cell>
          <cell r="Z268">
            <v>0</v>
          </cell>
          <cell r="AA268">
            <v>3648</v>
          </cell>
          <cell r="AB268">
            <v>3090</v>
          </cell>
          <cell r="AC268">
            <v>3253</v>
          </cell>
          <cell r="AD268">
            <v>3488</v>
          </cell>
          <cell r="AE268">
            <v>3722.89</v>
          </cell>
          <cell r="AF268">
            <v>0.16999965080891455</v>
          </cell>
          <cell r="AG268">
            <v>0.16999965080891455</v>
          </cell>
          <cell r="AH268">
            <v>4027</v>
          </cell>
          <cell r="AI268">
            <v>4331</v>
          </cell>
          <cell r="AJ268">
            <v>0.28653890556453476</v>
          </cell>
          <cell r="AK268">
            <v>4635</v>
          </cell>
          <cell r="AL268">
            <v>4939</v>
          </cell>
          <cell r="AM268">
            <v>0.37436728082607817</v>
          </cell>
          <cell r="AN268">
            <v>5579.25</v>
          </cell>
          <cell r="AO268">
            <v>6219.5</v>
          </cell>
          <cell r="AP268">
            <v>6859.75</v>
          </cell>
          <cell r="AQ268">
            <v>0</v>
          </cell>
          <cell r="AS268">
            <v>7500</v>
          </cell>
        </row>
        <row r="269">
          <cell r="B269" t="str">
            <v>AC</v>
          </cell>
          <cell r="C269" t="str">
            <v>DOM</v>
          </cell>
          <cell r="D269" t="str">
            <v>EK</v>
          </cell>
          <cell r="E269" t="str">
            <v>21</v>
          </cell>
          <cell r="F269" t="str">
            <v>2/25/10</v>
          </cell>
          <cell r="G269" t="str">
            <v>2/25/10</v>
          </cell>
          <cell r="H269" t="str">
            <v>7640007502</v>
          </cell>
          <cell r="I269" t="str">
            <v>3KMH7640002323</v>
          </cell>
          <cell r="J269">
            <v>0</v>
          </cell>
          <cell r="K269" t="str">
            <v>Watkiss Power Square 200 Incl Stacker</v>
          </cell>
          <cell r="L269">
            <v>62925</v>
          </cell>
          <cell r="M269">
            <v>37433</v>
          </cell>
          <cell r="N269">
            <v>38555.99</v>
          </cell>
          <cell r="O269">
            <v>0</v>
          </cell>
          <cell r="P269">
            <v>38555.99</v>
          </cell>
          <cell r="Q269">
            <v>39678.980000000003</v>
          </cell>
          <cell r="R269">
            <v>44837.25</v>
          </cell>
          <cell r="S269">
            <v>41610</v>
          </cell>
          <cell r="T269">
            <v>7.3396058639750114E-2</v>
          </cell>
          <cell r="U269">
            <v>1397.5</v>
          </cell>
          <cell r="V269">
            <v>7.8711985688729877E-2</v>
          </cell>
          <cell r="W269">
            <v>38555.99</v>
          </cell>
          <cell r="X269">
            <v>0.92660394136024993</v>
          </cell>
          <cell r="Y269">
            <v>400</v>
          </cell>
          <cell r="Z269">
            <v>200</v>
          </cell>
          <cell r="AA269">
            <v>42571</v>
          </cell>
          <cell r="AB269">
            <v>38556</v>
          </cell>
          <cell r="AC269">
            <v>40586</v>
          </cell>
          <cell r="AD269">
            <v>42013</v>
          </cell>
          <cell r="AE269">
            <v>43439.99</v>
          </cell>
          <cell r="AF269">
            <v>0.11243096510841739</v>
          </cell>
          <cell r="AG269">
            <v>0.11243096510841739</v>
          </cell>
          <cell r="AH269">
            <v>44347</v>
          </cell>
          <cell r="AI269">
            <v>45253</v>
          </cell>
          <cell r="AJ269">
            <v>0.14799040947561493</v>
          </cell>
          <cell r="AK269">
            <v>46159</v>
          </cell>
          <cell r="AL269">
            <v>47065</v>
          </cell>
          <cell r="AM269">
            <v>0.18079273345373423</v>
          </cell>
          <cell r="AN269">
            <v>51030</v>
          </cell>
          <cell r="AO269">
            <v>54995</v>
          </cell>
          <cell r="AP269">
            <v>58960</v>
          </cell>
          <cell r="AQ269">
            <v>0</v>
          </cell>
          <cell r="AS269">
            <v>63525</v>
          </cell>
        </row>
        <row r="270">
          <cell r="B270" t="str">
            <v>AC</v>
          </cell>
          <cell r="C270" t="str">
            <v>DOM</v>
          </cell>
          <cell r="D270" t="str">
            <v>EK</v>
          </cell>
          <cell r="E270" t="str">
            <v>21</v>
          </cell>
          <cell r="F270" t="str">
            <v>2/25/10</v>
          </cell>
          <cell r="G270" t="str">
            <v>2/25/10</v>
          </cell>
          <cell r="H270" t="str">
            <v>7640007503</v>
          </cell>
          <cell r="I270" t="str">
            <v>3KMH7640002333</v>
          </cell>
          <cell r="J270">
            <v>0</v>
          </cell>
          <cell r="K270" t="str">
            <v>Watkiss PSQ200 Bridge Link (Wl)</v>
          </cell>
          <cell r="L270">
            <v>12150</v>
          </cell>
          <cell r="M270">
            <v>7228</v>
          </cell>
          <cell r="N270">
            <v>7444.84</v>
          </cell>
          <cell r="O270">
            <v>0</v>
          </cell>
          <cell r="P270">
            <v>7444.84</v>
          </cell>
          <cell r="Q270">
            <v>7661.68</v>
          </cell>
          <cell r="R270">
            <v>8657.7000000000007</v>
          </cell>
          <cell r="S270">
            <v>8035</v>
          </cell>
          <cell r="T270">
            <v>7.3448662103298049E-2</v>
          </cell>
          <cell r="U270">
            <v>1668.3999999999999</v>
          </cell>
          <cell r="V270">
            <v>7.3963078398465526E-2</v>
          </cell>
          <cell r="W270">
            <v>7444.84</v>
          </cell>
          <cell r="X270">
            <v>0.92655133789670197</v>
          </cell>
          <cell r="Y270">
            <v>0</v>
          </cell>
          <cell r="Z270">
            <v>0</v>
          </cell>
          <cell r="AA270">
            <v>8107</v>
          </cell>
          <cell r="AB270">
            <v>7445</v>
          </cell>
          <cell r="AC270">
            <v>7837</v>
          </cell>
          <cell r="AD270">
            <v>8055</v>
          </cell>
          <cell r="AE270">
            <v>8272.0400000000009</v>
          </cell>
          <cell r="AF270">
            <v>9.9999516443344164E-2</v>
          </cell>
          <cell r="AG270">
            <v>9.9999516443344164E-2</v>
          </cell>
          <cell r="AH270">
            <v>8452</v>
          </cell>
          <cell r="AI270">
            <v>8630</v>
          </cell>
          <cell r="AJ270">
            <v>0.13733024333719582</v>
          </cell>
          <cell r="AK270">
            <v>8808</v>
          </cell>
          <cell r="AL270">
            <v>8986</v>
          </cell>
          <cell r="AM270">
            <v>0.17150678833741373</v>
          </cell>
          <cell r="AN270">
            <v>9777</v>
          </cell>
          <cell r="AO270">
            <v>10568</v>
          </cell>
          <cell r="AP270">
            <v>11359</v>
          </cell>
          <cell r="AQ270">
            <v>0</v>
          </cell>
          <cell r="AS270">
            <v>12150</v>
          </cell>
        </row>
        <row r="271">
          <cell r="B271" t="str">
            <v>AC</v>
          </cell>
          <cell r="C271" t="str">
            <v>DOM</v>
          </cell>
          <cell r="D271" t="str">
            <v>EK</v>
          </cell>
          <cell r="E271" t="str">
            <v>21</v>
          </cell>
          <cell r="F271" t="str">
            <v>2/25/10</v>
          </cell>
          <cell r="G271" t="str">
            <v>2/25/10</v>
          </cell>
          <cell r="H271" t="str">
            <v>7640007504</v>
          </cell>
          <cell r="I271" t="str">
            <v>3KMH7640002567</v>
          </cell>
          <cell r="J271">
            <v>0</v>
          </cell>
          <cell r="K271" t="str">
            <v>PSQ200 Bridge Frame And Covers (Wl)</v>
          </cell>
          <cell r="L271">
            <v>5615</v>
          </cell>
          <cell r="M271">
            <v>3339</v>
          </cell>
          <cell r="N271">
            <v>3439.17</v>
          </cell>
          <cell r="O271">
            <v>0</v>
          </cell>
          <cell r="P271">
            <v>3439.17</v>
          </cell>
          <cell r="Q271">
            <v>3539.34</v>
          </cell>
          <cell r="R271">
            <v>3999.45</v>
          </cell>
          <cell r="S271">
            <v>3715</v>
          </cell>
          <cell r="T271">
            <v>7.4247644683714656E-2</v>
          </cell>
          <cell r="U271">
            <v>460.09999999999997</v>
          </cell>
          <cell r="V271">
            <v>0.10454249076287757</v>
          </cell>
          <cell r="W271">
            <v>3439.17</v>
          </cell>
          <cell r="X271">
            <v>0.9257523553162853</v>
          </cell>
          <cell r="Y271">
            <v>0</v>
          </cell>
          <cell r="Z271">
            <v>0</v>
          </cell>
          <cell r="AA271">
            <v>3745</v>
          </cell>
          <cell r="AB271">
            <v>3440</v>
          </cell>
          <cell r="AC271">
            <v>3621</v>
          </cell>
          <cell r="AD271">
            <v>3722</v>
          </cell>
          <cell r="AE271">
            <v>3821.3</v>
          </cell>
          <cell r="AF271">
            <v>0.10000000000000002</v>
          </cell>
          <cell r="AG271">
            <v>0.10000000000000002</v>
          </cell>
          <cell r="AH271">
            <v>3905</v>
          </cell>
          <cell r="AI271">
            <v>3987</v>
          </cell>
          <cell r="AJ271">
            <v>0.13740406320541759</v>
          </cell>
          <cell r="AK271">
            <v>4069.5</v>
          </cell>
          <cell r="AL271">
            <v>4152</v>
          </cell>
          <cell r="AM271">
            <v>0.17168352601156067</v>
          </cell>
          <cell r="AN271">
            <v>4517.75</v>
          </cell>
          <cell r="AO271">
            <v>4883.5</v>
          </cell>
          <cell r="AP271">
            <v>5249.25</v>
          </cell>
          <cell r="AQ271">
            <v>0</v>
          </cell>
          <cell r="AS271">
            <v>5615</v>
          </cell>
        </row>
        <row r="272">
          <cell r="B272" t="str">
            <v>AC</v>
          </cell>
          <cell r="C272" t="str">
            <v>DOM</v>
          </cell>
          <cell r="D272" t="str">
            <v>EK</v>
          </cell>
          <cell r="E272" t="str">
            <v>21</v>
          </cell>
          <cell r="F272" t="str">
            <v>2/25/10</v>
          </cell>
          <cell r="G272" t="str">
            <v>2/25/10</v>
          </cell>
          <cell r="H272" t="str">
            <v>7640007505</v>
          </cell>
          <cell r="I272" t="str">
            <v>3KMH7640002568</v>
          </cell>
          <cell r="J272">
            <v>0</v>
          </cell>
          <cell r="K272" t="str">
            <v>Watkiss Spares Kit</v>
          </cell>
          <cell r="L272">
            <v>2800</v>
          </cell>
          <cell r="M272">
            <v>1812.86</v>
          </cell>
          <cell r="N272">
            <v>1867.25</v>
          </cell>
          <cell r="O272">
            <v>0</v>
          </cell>
          <cell r="P272">
            <v>1867.25</v>
          </cell>
          <cell r="Q272">
            <v>1921.64</v>
          </cell>
          <cell r="R272">
            <v>2171.4499999999998</v>
          </cell>
          <cell r="S272">
            <v>1900</v>
          </cell>
          <cell r="T272">
            <v>1.7236842105263158E-2</v>
          </cell>
          <cell r="U272">
            <v>460.09999999999997</v>
          </cell>
          <cell r="V272">
            <v>0.10454249076287757</v>
          </cell>
          <cell r="W272">
            <v>1867.25</v>
          </cell>
          <cell r="X272">
            <v>0.98276315789473689</v>
          </cell>
          <cell r="Y272">
            <v>0</v>
          </cell>
          <cell r="Z272">
            <v>0</v>
          </cell>
          <cell r="AA272">
            <v>2033</v>
          </cell>
          <cell r="AB272">
            <v>1868</v>
          </cell>
          <cell r="AC272">
            <v>1966</v>
          </cell>
          <cell r="AD272">
            <v>2021</v>
          </cell>
          <cell r="AE272">
            <v>2074.7199999999998</v>
          </cell>
          <cell r="AF272">
            <v>9.9999036014498249E-2</v>
          </cell>
          <cell r="AG272">
            <v>9.9999036014498249E-2</v>
          </cell>
          <cell r="AH272">
            <v>2093</v>
          </cell>
          <cell r="AI272">
            <v>2110</v>
          </cell>
          <cell r="AJ272">
            <v>0.1150473933649289</v>
          </cell>
          <cell r="AK272">
            <v>2127.5</v>
          </cell>
          <cell r="AL272">
            <v>2145</v>
          </cell>
          <cell r="AM272">
            <v>0.1294871794871795</v>
          </cell>
          <cell r="AN272">
            <v>2308.75</v>
          </cell>
          <cell r="AO272">
            <v>2472.5</v>
          </cell>
          <cell r="AP272">
            <v>2636.25</v>
          </cell>
          <cell r="AQ272">
            <v>0</v>
          </cell>
          <cell r="AS272">
            <v>2800</v>
          </cell>
        </row>
        <row r="273">
          <cell r="B273" t="str">
            <v>AC</v>
          </cell>
          <cell r="C273" t="str">
            <v>DOM</v>
          </cell>
          <cell r="D273" t="str">
            <v>DOM</v>
          </cell>
          <cell r="E273" t="str">
            <v>08</v>
          </cell>
          <cell r="F273">
            <v>39924</v>
          </cell>
          <cell r="G273">
            <v>40001</v>
          </cell>
          <cell r="H273" t="str">
            <v>7640002569</v>
          </cell>
          <cell r="I273" t="str">
            <v>3KMH7640002569</v>
          </cell>
          <cell r="J273">
            <v>0</v>
          </cell>
          <cell r="K273" t="str">
            <v>EFI AutoTrap</v>
          </cell>
          <cell r="L273">
            <v>825</v>
          </cell>
          <cell r="M273">
            <v>400</v>
          </cell>
          <cell r="N273">
            <v>412</v>
          </cell>
          <cell r="O273">
            <v>3.7383177570093455E-2</v>
          </cell>
          <cell r="P273">
            <v>428</v>
          </cell>
          <cell r="Q273">
            <v>424</v>
          </cell>
          <cell r="R273">
            <v>479.12</v>
          </cell>
          <cell r="S273">
            <v>535</v>
          </cell>
          <cell r="T273">
            <v>0.22990654205607478</v>
          </cell>
          <cell r="U273">
            <v>460.09999999999997</v>
          </cell>
          <cell r="V273">
            <v>0.10454249076287757</v>
          </cell>
          <cell r="W273">
            <v>428</v>
          </cell>
          <cell r="X273">
            <v>0.8</v>
          </cell>
          <cell r="Y273">
            <v>0</v>
          </cell>
          <cell r="Z273">
            <v>0</v>
          </cell>
          <cell r="AA273">
            <v>518</v>
          </cell>
          <cell r="AB273">
            <v>428</v>
          </cell>
          <cell r="AC273">
            <v>475.56</v>
          </cell>
          <cell r="AD273">
            <v>501.98</v>
          </cell>
          <cell r="AE273">
            <v>528.4</v>
          </cell>
          <cell r="AF273">
            <v>0.19000757002271004</v>
          </cell>
          <cell r="AG273">
            <v>0.22028766086298254</v>
          </cell>
          <cell r="AH273">
            <v>587.38</v>
          </cell>
          <cell r="AI273">
            <v>646.35</v>
          </cell>
          <cell r="AJ273">
            <v>0.33782006652742325</v>
          </cell>
          <cell r="AK273">
            <v>705.32</v>
          </cell>
          <cell r="AL273">
            <v>764.29</v>
          </cell>
          <cell r="AM273">
            <v>0.44000314016930742</v>
          </cell>
          <cell r="AN273">
            <v>779.47</v>
          </cell>
          <cell r="AO273">
            <v>794.65</v>
          </cell>
          <cell r="AP273">
            <v>809.83</v>
          </cell>
          <cell r="AQ273">
            <v>0</v>
          </cell>
          <cell r="AS273">
            <v>825</v>
          </cell>
        </row>
        <row r="274">
          <cell r="B274" t="str">
            <v>AC</v>
          </cell>
          <cell r="C274" t="str">
            <v>IMP</v>
          </cell>
          <cell r="D274" t="str">
            <v>BT</v>
          </cell>
          <cell r="E274" t="str">
            <v>08</v>
          </cell>
          <cell r="F274">
            <v>39924</v>
          </cell>
          <cell r="G274">
            <v>40001</v>
          </cell>
          <cell r="H274" t="str">
            <v>1382711</v>
          </cell>
          <cell r="I274" t="str">
            <v>7KMADF501_N</v>
          </cell>
          <cell r="J274">
            <v>0</v>
          </cell>
          <cell r="K274" t="str">
            <v>DF-501 ADF</v>
          </cell>
          <cell r="L274">
            <v>368</v>
          </cell>
          <cell r="M274">
            <v>117</v>
          </cell>
          <cell r="N274">
            <v>121.68</v>
          </cell>
          <cell r="O274">
            <v>0.25841053144807413</v>
          </cell>
          <cell r="P274">
            <v>164.08</v>
          </cell>
          <cell r="Q274">
            <v>124.02</v>
          </cell>
          <cell r="R274">
            <v>140.13999999999999</v>
          </cell>
          <cell r="S274">
            <v>205.1</v>
          </cell>
          <cell r="T274">
            <v>0.40672842515845925</v>
          </cell>
          <cell r="U274">
            <v>158.82943999999998</v>
          </cell>
          <cell r="V274">
            <v>0.2338951771157789</v>
          </cell>
          <cell r="W274">
            <v>164.08</v>
          </cell>
          <cell r="X274">
            <v>0.8</v>
          </cell>
          <cell r="Y274">
            <v>0</v>
          </cell>
          <cell r="Z274">
            <v>0</v>
          </cell>
          <cell r="AA274">
            <v>199</v>
          </cell>
          <cell r="AB274">
            <v>165</v>
          </cell>
          <cell r="AC274">
            <v>183</v>
          </cell>
          <cell r="AD274">
            <v>193</v>
          </cell>
          <cell r="AE274">
            <v>202.57</v>
          </cell>
          <cell r="AF274">
            <v>0.19000839216073448</v>
          </cell>
          <cell r="AG274">
            <v>0.39931875401095912</v>
          </cell>
          <cell r="AH274">
            <v>226</v>
          </cell>
          <cell r="AI274">
            <v>248</v>
          </cell>
          <cell r="AJ274">
            <v>0.33838709677419349</v>
          </cell>
          <cell r="AK274">
            <v>270.5</v>
          </cell>
          <cell r="AL274">
            <v>293</v>
          </cell>
          <cell r="AM274">
            <v>0.43999999999999995</v>
          </cell>
          <cell r="AN274">
            <v>311.75</v>
          </cell>
          <cell r="AO274">
            <v>330.5</v>
          </cell>
          <cell r="AP274">
            <v>349.25</v>
          </cell>
          <cell r="AQ274">
            <v>0</v>
          </cell>
          <cell r="AS274">
            <v>368</v>
          </cell>
        </row>
        <row r="275">
          <cell r="B275" t="str">
            <v>AC</v>
          </cell>
          <cell r="C275" t="str">
            <v>IMP</v>
          </cell>
          <cell r="D275" t="str">
            <v>BT</v>
          </cell>
          <cell r="E275" t="str">
            <v>08</v>
          </cell>
          <cell r="F275">
            <v>39924</v>
          </cell>
          <cell r="G275">
            <v>40001</v>
          </cell>
          <cell r="H275" t="str">
            <v>1383701</v>
          </cell>
          <cell r="I275" t="str">
            <v>3KMSU502SCANUNIT_</v>
          </cell>
          <cell r="J275">
            <v>0</v>
          </cell>
          <cell r="K275" t="str">
            <v>SU-502 Scanner Unit</v>
          </cell>
          <cell r="L275">
            <v>163</v>
          </cell>
          <cell r="M275">
            <v>56</v>
          </cell>
          <cell r="N275">
            <v>58.24</v>
          </cell>
          <cell r="O275">
            <v>0.14352941176470585</v>
          </cell>
          <cell r="P275">
            <v>68</v>
          </cell>
          <cell r="Q275">
            <v>59.36</v>
          </cell>
          <cell r="R275">
            <v>67.08</v>
          </cell>
          <cell r="S275">
            <v>85</v>
          </cell>
          <cell r="T275">
            <v>0.31482352941176467</v>
          </cell>
          <cell r="U275">
            <v>65.823999999999998</v>
          </cell>
          <cell r="V275">
            <v>0.11521633446767131</v>
          </cell>
          <cell r="W275">
            <v>68</v>
          </cell>
          <cell r="X275">
            <v>0.8</v>
          </cell>
          <cell r="Y275">
            <v>0</v>
          </cell>
          <cell r="Z275">
            <v>0</v>
          </cell>
          <cell r="AA275">
            <v>82</v>
          </cell>
          <cell r="AB275">
            <v>68</v>
          </cell>
          <cell r="AC275">
            <v>76</v>
          </cell>
          <cell r="AD275">
            <v>80</v>
          </cell>
          <cell r="AE275">
            <v>83.95</v>
          </cell>
          <cell r="AF275">
            <v>0.18999404407385351</v>
          </cell>
          <cell r="AG275">
            <v>0.30625372245384158</v>
          </cell>
          <cell r="AH275">
            <v>94</v>
          </cell>
          <cell r="AI275">
            <v>103</v>
          </cell>
          <cell r="AJ275">
            <v>0.33980582524271846</v>
          </cell>
          <cell r="AK275">
            <v>112.5</v>
          </cell>
          <cell r="AL275">
            <v>122</v>
          </cell>
          <cell r="AM275">
            <v>0.44262295081967212</v>
          </cell>
          <cell r="AN275">
            <v>132.25</v>
          </cell>
          <cell r="AO275">
            <v>142.5</v>
          </cell>
          <cell r="AP275">
            <v>152.75</v>
          </cell>
          <cell r="AQ275">
            <v>0</v>
          </cell>
          <cell r="AS275">
            <v>163</v>
          </cell>
        </row>
        <row r="276">
          <cell r="B276" t="str">
            <v>AC</v>
          </cell>
          <cell r="C276" t="str">
            <v>IMP</v>
          </cell>
          <cell r="D276" t="str">
            <v>BT</v>
          </cell>
          <cell r="E276" t="str">
            <v>08</v>
          </cell>
          <cell r="F276">
            <v>39924</v>
          </cell>
          <cell r="G276">
            <v>40001</v>
          </cell>
          <cell r="H276" t="str">
            <v>1383711</v>
          </cell>
          <cell r="I276" t="str">
            <v>3KMHIFNC501</v>
          </cell>
          <cell r="J276">
            <v>0</v>
          </cell>
          <cell r="K276" t="str">
            <v>NC-501 Network Interface Card</v>
          </cell>
          <cell r="L276">
            <v>420</v>
          </cell>
          <cell r="M276">
            <v>150</v>
          </cell>
          <cell r="N276">
            <v>156</v>
          </cell>
          <cell r="O276">
            <v>0.16808873720136525</v>
          </cell>
          <cell r="P276">
            <v>187.52</v>
          </cell>
          <cell r="Q276">
            <v>159</v>
          </cell>
          <cell r="R276">
            <v>179.67</v>
          </cell>
          <cell r="S276">
            <v>234.4</v>
          </cell>
          <cell r="T276">
            <v>0.33447098976109219</v>
          </cell>
          <cell r="U276">
            <v>181.51936000000001</v>
          </cell>
          <cell r="V276">
            <v>0.14058753843116242</v>
          </cell>
          <cell r="W276">
            <v>187.52</v>
          </cell>
          <cell r="X276">
            <v>0.8</v>
          </cell>
          <cell r="Y276">
            <v>0</v>
          </cell>
          <cell r="Z276">
            <v>0</v>
          </cell>
          <cell r="AA276">
            <v>227</v>
          </cell>
          <cell r="AB276">
            <v>188</v>
          </cell>
          <cell r="AC276">
            <v>209</v>
          </cell>
          <cell r="AD276">
            <v>221</v>
          </cell>
          <cell r="AE276">
            <v>231.51</v>
          </cell>
          <cell r="AF276">
            <v>0.19001339035030876</v>
          </cell>
          <cell r="AG276">
            <v>0.32616301671634051</v>
          </cell>
          <cell r="AH276">
            <v>258</v>
          </cell>
          <cell r="AI276">
            <v>284</v>
          </cell>
          <cell r="AJ276">
            <v>0.33971830985915491</v>
          </cell>
          <cell r="AK276">
            <v>309.5</v>
          </cell>
          <cell r="AL276">
            <v>335</v>
          </cell>
          <cell r="AM276">
            <v>0.44023880597014925</v>
          </cell>
          <cell r="AN276">
            <v>356.25</v>
          </cell>
          <cell r="AO276">
            <v>377.5</v>
          </cell>
          <cell r="AP276">
            <v>398.75</v>
          </cell>
          <cell r="AQ276">
            <v>0</v>
          </cell>
          <cell r="AS276">
            <v>420</v>
          </cell>
        </row>
        <row r="277">
          <cell r="B277" t="str">
            <v>AC</v>
          </cell>
          <cell r="C277" t="str">
            <v>IMP</v>
          </cell>
          <cell r="D277" t="str">
            <v>BT</v>
          </cell>
          <cell r="E277" t="str">
            <v>08</v>
          </cell>
          <cell r="F277">
            <v>39924</v>
          </cell>
          <cell r="G277">
            <v>40001</v>
          </cell>
          <cell r="H277" t="str">
            <v>1383719</v>
          </cell>
          <cell r="I277" t="str">
            <v>3KMHOC503</v>
          </cell>
          <cell r="J277">
            <v>0</v>
          </cell>
          <cell r="K277" t="str">
            <v>OC-503 Original cover</v>
          </cell>
          <cell r="L277">
            <v>53</v>
          </cell>
          <cell r="M277">
            <v>21</v>
          </cell>
          <cell r="N277">
            <v>21.84</v>
          </cell>
          <cell r="O277">
            <v>0.10784313725490198</v>
          </cell>
          <cell r="P277">
            <v>24.48</v>
          </cell>
          <cell r="Q277">
            <v>22.26</v>
          </cell>
          <cell r="R277">
            <v>25.15</v>
          </cell>
          <cell r="S277">
            <v>30.6</v>
          </cell>
          <cell r="T277">
            <v>0.28627450980392161</v>
          </cell>
          <cell r="U277">
            <v>23.696640000000002</v>
          </cell>
          <cell r="V277">
            <v>7.8350348403824432E-2</v>
          </cell>
          <cell r="W277">
            <v>24.48</v>
          </cell>
          <cell r="X277">
            <v>0.79999999999999993</v>
          </cell>
          <cell r="Y277">
            <v>0</v>
          </cell>
          <cell r="Z277">
            <v>0</v>
          </cell>
          <cell r="AA277">
            <v>30</v>
          </cell>
          <cell r="AB277">
            <v>25</v>
          </cell>
          <cell r="AC277">
            <v>28</v>
          </cell>
          <cell r="AD277">
            <v>30</v>
          </cell>
          <cell r="AE277">
            <v>30.22</v>
          </cell>
          <cell r="AF277">
            <v>0.18994043679682326</v>
          </cell>
          <cell r="AG277">
            <v>0.27729980145598937</v>
          </cell>
          <cell r="AH277">
            <v>35</v>
          </cell>
          <cell r="AI277">
            <v>38</v>
          </cell>
          <cell r="AJ277">
            <v>0.35578947368421049</v>
          </cell>
          <cell r="AK277">
            <v>41</v>
          </cell>
          <cell r="AL277">
            <v>44</v>
          </cell>
          <cell r="AM277">
            <v>0.44363636363636361</v>
          </cell>
          <cell r="AN277">
            <v>46.25</v>
          </cell>
          <cell r="AO277">
            <v>48.5</v>
          </cell>
          <cell r="AP277">
            <v>50.75</v>
          </cell>
          <cell r="AQ277">
            <v>0</v>
          </cell>
          <cell r="AS277">
            <v>53</v>
          </cell>
        </row>
        <row r="278">
          <cell r="B278" t="str">
            <v>AC</v>
          </cell>
          <cell r="C278" t="str">
            <v>IMP</v>
          </cell>
          <cell r="D278" t="str">
            <v>BT</v>
          </cell>
          <cell r="E278" t="str">
            <v>08</v>
          </cell>
          <cell r="F278">
            <v>39924</v>
          </cell>
          <cell r="G278">
            <v>40001</v>
          </cell>
          <cell r="H278" t="str">
            <v>1383801</v>
          </cell>
          <cell r="I278" t="str">
            <v>3KMMEM10132MB</v>
          </cell>
          <cell r="J278">
            <v>0</v>
          </cell>
          <cell r="K278" t="str">
            <v>EM-101 Expanded Copier Memory Unit - 32MB</v>
          </cell>
          <cell r="L278">
            <v>153</v>
          </cell>
          <cell r="M278">
            <v>46</v>
          </cell>
          <cell r="N278">
            <v>47.84</v>
          </cell>
          <cell r="O278">
            <v>0.21522309711286083</v>
          </cell>
          <cell r="P278">
            <v>60.96</v>
          </cell>
          <cell r="Q278">
            <v>48.76</v>
          </cell>
          <cell r="R278">
            <v>55.1</v>
          </cell>
          <cell r="S278">
            <v>76.2</v>
          </cell>
          <cell r="T278">
            <v>0.37217847769028867</v>
          </cell>
          <cell r="U278">
            <v>59.009280000000004</v>
          </cell>
          <cell r="V278">
            <v>0.18928005900088934</v>
          </cell>
          <cell r="W278">
            <v>60.96</v>
          </cell>
          <cell r="X278">
            <v>0.79999999999999993</v>
          </cell>
          <cell r="Y278">
            <v>0</v>
          </cell>
          <cell r="Z278">
            <v>0</v>
          </cell>
          <cell r="AA278">
            <v>74</v>
          </cell>
          <cell r="AB278">
            <v>61</v>
          </cell>
          <cell r="AC278">
            <v>68</v>
          </cell>
          <cell r="AD278">
            <v>72</v>
          </cell>
          <cell r="AE278">
            <v>75.260000000000005</v>
          </cell>
          <cell r="AF278">
            <v>0.1900079723624768</v>
          </cell>
          <cell r="AG278">
            <v>0.36433696518735054</v>
          </cell>
          <cell r="AH278">
            <v>85</v>
          </cell>
          <cell r="AI278">
            <v>93</v>
          </cell>
          <cell r="AJ278">
            <v>0.34451612903225803</v>
          </cell>
          <cell r="AK278">
            <v>101</v>
          </cell>
          <cell r="AL278">
            <v>109</v>
          </cell>
          <cell r="AM278">
            <v>0.44073394495412843</v>
          </cell>
          <cell r="AN278">
            <v>120</v>
          </cell>
          <cell r="AO278">
            <v>131</v>
          </cell>
          <cell r="AP278">
            <v>142</v>
          </cell>
          <cell r="AQ278">
            <v>0</v>
          </cell>
          <cell r="AS278">
            <v>153</v>
          </cell>
        </row>
        <row r="279">
          <cell r="B279" t="str">
            <v>AC</v>
          </cell>
          <cell r="C279" t="str">
            <v>IMP</v>
          </cell>
          <cell r="D279" t="str">
            <v>BT</v>
          </cell>
          <cell r="E279" t="str">
            <v>08</v>
          </cell>
          <cell r="F279">
            <v>39924</v>
          </cell>
          <cell r="G279">
            <v>40001</v>
          </cell>
          <cell r="H279" t="str">
            <v>1418301</v>
          </cell>
          <cell r="I279" t="str">
            <v>3KMBUPI5USERAI</v>
          </cell>
          <cell r="J279">
            <v>0</v>
          </cell>
          <cell r="K279" t="str">
            <v>Unimessage Pro I-netportal Add-In (5 User)</v>
          </cell>
          <cell r="L279">
            <v>447</v>
          </cell>
          <cell r="M279">
            <v>88</v>
          </cell>
          <cell r="N279">
            <v>91.52000000000001</v>
          </cell>
          <cell r="O279">
            <v>0.23936170212765945</v>
          </cell>
          <cell r="P279">
            <v>120.32</v>
          </cell>
          <cell r="Q279">
            <v>93.28</v>
          </cell>
          <cell r="R279">
            <v>105.41</v>
          </cell>
          <cell r="S279">
            <v>150.4</v>
          </cell>
          <cell r="T279">
            <v>0.39148936170212761</v>
          </cell>
          <cell r="U279">
            <v>116.46976000000001</v>
          </cell>
          <cell r="V279">
            <v>0.21421663442940037</v>
          </cell>
          <cell r="W279">
            <v>120.32</v>
          </cell>
          <cell r="X279">
            <v>0.79999999999999993</v>
          </cell>
          <cell r="Y279">
            <v>0</v>
          </cell>
          <cell r="Z279">
            <v>0</v>
          </cell>
          <cell r="AA279">
            <v>146</v>
          </cell>
          <cell r="AB279">
            <v>121</v>
          </cell>
          <cell r="AC279">
            <v>134</v>
          </cell>
          <cell r="AD279">
            <v>142</v>
          </cell>
          <cell r="AE279">
            <v>148.54</v>
          </cell>
          <cell r="AF279">
            <v>0.18998249629729366</v>
          </cell>
          <cell r="AG279">
            <v>0.38386966473677114</v>
          </cell>
          <cell r="AH279">
            <v>166</v>
          </cell>
          <cell r="AI279">
            <v>182</v>
          </cell>
          <cell r="AJ279">
            <v>0.33890109890109893</v>
          </cell>
          <cell r="AK279">
            <v>198.5</v>
          </cell>
          <cell r="AL279">
            <v>215</v>
          </cell>
          <cell r="AM279">
            <v>0.44037209302325586</v>
          </cell>
          <cell r="AN279">
            <v>273</v>
          </cell>
          <cell r="AO279">
            <v>331</v>
          </cell>
          <cell r="AP279">
            <v>389</v>
          </cell>
          <cell r="AQ279">
            <v>0</v>
          </cell>
          <cell r="AS279">
            <v>447</v>
          </cell>
        </row>
        <row r="280">
          <cell r="B280" t="str">
            <v>AC</v>
          </cell>
          <cell r="C280" t="str">
            <v>IMP</v>
          </cell>
          <cell r="D280" t="str">
            <v>BT</v>
          </cell>
          <cell r="E280" t="str">
            <v>08</v>
          </cell>
          <cell r="F280">
            <v>39924</v>
          </cell>
          <cell r="G280">
            <v>40001</v>
          </cell>
          <cell r="H280" t="str">
            <v>4048621</v>
          </cell>
          <cell r="I280" t="str">
            <v>3KMKMK501_</v>
          </cell>
          <cell r="J280">
            <v>0</v>
          </cell>
          <cell r="K280" t="str">
            <v>MK-501 Mout Kit for DF-605</v>
          </cell>
          <cell r="L280">
            <v>53</v>
          </cell>
          <cell r="M280">
            <v>15</v>
          </cell>
          <cell r="N280">
            <v>15.600000000000001</v>
          </cell>
          <cell r="O280">
            <v>0.26136363636363635</v>
          </cell>
          <cell r="P280">
            <v>21.12</v>
          </cell>
          <cell r="Q280">
            <v>15.9</v>
          </cell>
          <cell r="R280">
            <v>17.97</v>
          </cell>
          <cell r="S280">
            <v>26.4</v>
          </cell>
          <cell r="T280">
            <v>0.40909090909090901</v>
          </cell>
          <cell r="U280">
            <v>20.444159999999997</v>
          </cell>
          <cell r="V280">
            <v>0.23694590533433488</v>
          </cell>
          <cell r="W280">
            <v>21.12</v>
          </cell>
          <cell r="X280">
            <v>0.8</v>
          </cell>
          <cell r="Y280">
            <v>0</v>
          </cell>
          <cell r="Z280">
            <v>0</v>
          </cell>
          <cell r="AA280">
            <v>26</v>
          </cell>
          <cell r="AB280">
            <v>22</v>
          </cell>
          <cell r="AC280">
            <v>24</v>
          </cell>
          <cell r="AD280">
            <v>26</v>
          </cell>
          <cell r="AE280">
            <v>26.07</v>
          </cell>
          <cell r="AF280">
            <v>0.18987341772151894</v>
          </cell>
          <cell r="AG280">
            <v>0.40161104718066737</v>
          </cell>
          <cell r="AH280">
            <v>30</v>
          </cell>
          <cell r="AI280">
            <v>33</v>
          </cell>
          <cell r="AJ280">
            <v>0.36</v>
          </cell>
          <cell r="AK280">
            <v>35.5</v>
          </cell>
          <cell r="AL280">
            <v>38</v>
          </cell>
          <cell r="AM280">
            <v>0.44421052631578944</v>
          </cell>
          <cell r="AN280">
            <v>41.75</v>
          </cell>
          <cell r="AO280">
            <v>45.5</v>
          </cell>
          <cell r="AP280">
            <v>49.25</v>
          </cell>
          <cell r="AQ280">
            <v>0</v>
          </cell>
          <cell r="AS280">
            <v>53</v>
          </cell>
        </row>
        <row r="281">
          <cell r="B281" t="str">
            <v>AC</v>
          </cell>
          <cell r="C281" t="str">
            <v>IMP</v>
          </cell>
          <cell r="D281" t="str">
            <v>BT</v>
          </cell>
          <cell r="E281" t="str">
            <v>P3</v>
          </cell>
          <cell r="F281">
            <v>39924</v>
          </cell>
          <cell r="G281">
            <v>40001</v>
          </cell>
          <cell r="H281" t="str">
            <v>4061112</v>
          </cell>
          <cell r="I281" t="str">
            <v>6KMPC102PFCST_N</v>
          </cell>
          <cell r="J281">
            <v>0</v>
          </cell>
          <cell r="K281" t="str">
            <v>PC-102 550x1 Cassette</v>
          </cell>
          <cell r="L281">
            <v>861</v>
          </cell>
          <cell r="M281">
            <v>286</v>
          </cell>
          <cell r="N281">
            <v>297.44</v>
          </cell>
          <cell r="O281">
            <v>-0.17647058823529418</v>
          </cell>
          <cell r="P281">
            <v>252.82399999999998</v>
          </cell>
          <cell r="Q281">
            <v>303.16000000000003</v>
          </cell>
          <cell r="R281">
            <v>342.57</v>
          </cell>
          <cell r="S281">
            <v>478.5</v>
          </cell>
          <cell r="T281">
            <v>0.37839080459770114</v>
          </cell>
          <cell r="U281">
            <v>370.55039999999997</v>
          </cell>
          <cell r="V281">
            <v>0.19730217535860162</v>
          </cell>
          <cell r="W281">
            <v>252.82399999999998</v>
          </cell>
          <cell r="X281">
            <v>0.52836781609195393</v>
          </cell>
          <cell r="Y281">
            <v>0</v>
          </cell>
          <cell r="Z281">
            <v>0</v>
          </cell>
          <cell r="AA281">
            <v>306</v>
          </cell>
          <cell r="AB281">
            <v>253</v>
          </cell>
          <cell r="AC281">
            <v>281</v>
          </cell>
          <cell r="AD281">
            <v>297</v>
          </cell>
          <cell r="AE281">
            <v>312.13</v>
          </cell>
          <cell r="AF281">
            <v>0.19000416493127867</v>
          </cell>
          <cell r="AG281">
            <v>4.7063723448563091E-2</v>
          </cell>
          <cell r="AH281">
            <v>320</v>
          </cell>
          <cell r="AI281">
            <v>326</v>
          </cell>
          <cell r="AJ281">
            <v>0.2244662576687117</v>
          </cell>
          <cell r="AK281">
            <v>332</v>
          </cell>
          <cell r="AL281">
            <v>338</v>
          </cell>
          <cell r="AM281">
            <v>0.25200000000000006</v>
          </cell>
          <cell r="AN281">
            <v>385.18</v>
          </cell>
          <cell r="AO281">
            <v>432.36</v>
          </cell>
          <cell r="AP281">
            <v>479.54</v>
          </cell>
          <cell r="AQ281">
            <v>0</v>
          </cell>
          <cell r="AS281">
            <v>861</v>
          </cell>
        </row>
        <row r="282">
          <cell r="B282" t="str">
            <v>AC</v>
          </cell>
          <cell r="C282" t="str">
            <v>IMP</v>
          </cell>
          <cell r="D282" t="str">
            <v>BT</v>
          </cell>
          <cell r="E282" t="str">
            <v>P3</v>
          </cell>
          <cell r="F282">
            <v>39924</v>
          </cell>
          <cell r="G282">
            <v>40001</v>
          </cell>
          <cell r="H282" t="str">
            <v>4061212</v>
          </cell>
          <cell r="I282" t="str">
            <v>6KMPC202UCX2_N</v>
          </cell>
          <cell r="J282">
            <v>0</v>
          </cell>
          <cell r="K282" t="str">
            <v>PC-202 550/500 x 2 Cassettes</v>
          </cell>
          <cell r="L282">
            <v>1124</v>
          </cell>
          <cell r="M282">
            <v>408</v>
          </cell>
          <cell r="N282">
            <v>424.32</v>
          </cell>
          <cell r="O282">
            <v>-0.17647058823529421</v>
          </cell>
          <cell r="P282">
            <v>360.67199999999997</v>
          </cell>
          <cell r="Q282">
            <v>432.48</v>
          </cell>
          <cell r="R282">
            <v>488.7</v>
          </cell>
          <cell r="S282">
            <v>672</v>
          </cell>
          <cell r="T282">
            <v>0.36857142857142861</v>
          </cell>
          <cell r="U282">
            <v>520.39679999999998</v>
          </cell>
          <cell r="V282">
            <v>0.18462219598583235</v>
          </cell>
          <cell r="W282">
            <v>360.67199999999997</v>
          </cell>
          <cell r="X282">
            <v>0.5367142857142857</v>
          </cell>
          <cell r="Y282">
            <v>0</v>
          </cell>
          <cell r="Z282">
            <v>0</v>
          </cell>
          <cell r="AA282">
            <v>436</v>
          </cell>
          <cell r="AB282">
            <v>361</v>
          </cell>
          <cell r="AC282">
            <v>401</v>
          </cell>
          <cell r="AD282">
            <v>424</v>
          </cell>
          <cell r="AE282">
            <v>445.27</v>
          </cell>
          <cell r="AF282">
            <v>0.18999258876636652</v>
          </cell>
          <cell r="AG282">
            <v>4.7050104431019354E-2</v>
          </cell>
          <cell r="AH282">
            <v>455</v>
          </cell>
          <cell r="AI282">
            <v>464</v>
          </cell>
          <cell r="AJ282">
            <v>0.22268965517241385</v>
          </cell>
          <cell r="AK282">
            <v>472.5</v>
          </cell>
          <cell r="AL282">
            <v>481</v>
          </cell>
          <cell r="AM282">
            <v>0.25016216216216225</v>
          </cell>
          <cell r="AN282">
            <v>548.6</v>
          </cell>
          <cell r="AO282">
            <v>616.20000000000005</v>
          </cell>
          <cell r="AP282">
            <v>683.8</v>
          </cell>
          <cell r="AQ282">
            <v>0</v>
          </cell>
          <cell r="AS282">
            <v>1124</v>
          </cell>
        </row>
        <row r="283">
          <cell r="B283" t="str">
            <v>AC</v>
          </cell>
          <cell r="C283" t="str">
            <v>IMP</v>
          </cell>
          <cell r="D283" t="str">
            <v>BT</v>
          </cell>
          <cell r="E283" t="str">
            <v>P3</v>
          </cell>
          <cell r="F283">
            <v>39924</v>
          </cell>
          <cell r="G283">
            <v>40001</v>
          </cell>
          <cell r="H283" t="str">
            <v>4061317</v>
          </cell>
          <cell r="I283" t="str">
            <v>6KMPC402PFCAB_N</v>
          </cell>
          <cell r="J283">
            <v>0</v>
          </cell>
          <cell r="K283" t="str">
            <v>PC-402 2.5K x1 Cabinet</v>
          </cell>
          <cell r="L283">
            <v>1323</v>
          </cell>
          <cell r="M283">
            <v>408</v>
          </cell>
          <cell r="N283">
            <v>424.32</v>
          </cell>
          <cell r="O283">
            <v>-0.17647058823529421</v>
          </cell>
          <cell r="P283">
            <v>360.67199999999997</v>
          </cell>
          <cell r="Q283">
            <v>432.48</v>
          </cell>
          <cell r="R283">
            <v>488.7</v>
          </cell>
          <cell r="S283">
            <v>737.4</v>
          </cell>
          <cell r="T283">
            <v>0.42457282343368591</v>
          </cell>
          <cell r="U283">
            <v>571.04255999999998</v>
          </cell>
          <cell r="V283">
            <v>0.25693804678936716</v>
          </cell>
          <cell r="W283">
            <v>360.67199999999997</v>
          </cell>
          <cell r="X283">
            <v>0.48911310008136694</v>
          </cell>
          <cell r="Y283">
            <v>0</v>
          </cell>
          <cell r="Z283">
            <v>0</v>
          </cell>
          <cell r="AA283">
            <v>436</v>
          </cell>
          <cell r="AB283">
            <v>361</v>
          </cell>
          <cell r="AC283">
            <v>401</v>
          </cell>
          <cell r="AD283">
            <v>424</v>
          </cell>
          <cell r="AE283">
            <v>445.27</v>
          </cell>
          <cell r="AF283">
            <v>0.18999258876636652</v>
          </cell>
          <cell r="AG283">
            <v>4.7050104431019354E-2</v>
          </cell>
          <cell r="AH283">
            <v>455</v>
          </cell>
          <cell r="AI283">
            <v>464</v>
          </cell>
          <cell r="AJ283">
            <v>0.22268965517241385</v>
          </cell>
          <cell r="AK283">
            <v>472.5</v>
          </cell>
          <cell r="AL283">
            <v>481</v>
          </cell>
          <cell r="AM283">
            <v>0.25016216216216225</v>
          </cell>
          <cell r="AN283">
            <v>548.6</v>
          </cell>
          <cell r="AO283">
            <v>616.20000000000005</v>
          </cell>
          <cell r="AP283">
            <v>683.8</v>
          </cell>
          <cell r="AQ283">
            <v>0</v>
          </cell>
          <cell r="AS283">
            <v>1323</v>
          </cell>
        </row>
        <row r="284">
          <cell r="B284" t="str">
            <v>AC</v>
          </cell>
          <cell r="C284" t="str">
            <v>IMP</v>
          </cell>
          <cell r="D284" t="str">
            <v>BT</v>
          </cell>
          <cell r="E284" t="str">
            <v>P3</v>
          </cell>
          <cell r="F284">
            <v>39924</v>
          </cell>
          <cell r="G284">
            <v>40190</v>
          </cell>
          <cell r="H284" t="str">
            <v>4067622</v>
          </cell>
          <cell r="I284" t="str">
            <v>6KMPC105UC_N</v>
          </cell>
          <cell r="J284">
            <v>0</v>
          </cell>
          <cell r="K284" t="str">
            <v>PC-105 500 x 1</v>
          </cell>
          <cell r="L284">
            <v>458</v>
          </cell>
          <cell r="M284">
            <v>153</v>
          </cell>
          <cell r="N284">
            <v>159.12</v>
          </cell>
          <cell r="O284">
            <v>-0.17647058823529407</v>
          </cell>
          <cell r="P284">
            <v>135.25200000000001</v>
          </cell>
          <cell r="Q284">
            <v>162.18</v>
          </cell>
          <cell r="R284">
            <v>183.26</v>
          </cell>
          <cell r="S284">
            <v>252</v>
          </cell>
          <cell r="T284">
            <v>0.36857142857142855</v>
          </cell>
          <cell r="U284">
            <v>195.14879999999999</v>
          </cell>
          <cell r="V284">
            <v>0.18462219598583229</v>
          </cell>
          <cell r="W284">
            <v>135.25200000000001</v>
          </cell>
          <cell r="X284">
            <v>0.5367142857142857</v>
          </cell>
          <cell r="Y284">
            <v>0</v>
          </cell>
          <cell r="Z284">
            <v>0</v>
          </cell>
          <cell r="AA284">
            <v>164</v>
          </cell>
          <cell r="AB284">
            <v>136</v>
          </cell>
          <cell r="AC284">
            <v>151</v>
          </cell>
          <cell r="AD284">
            <v>159</v>
          </cell>
          <cell r="AE284">
            <v>166.98</v>
          </cell>
          <cell r="AF284">
            <v>0.19001077973409977</v>
          </cell>
          <cell r="AG284">
            <v>4.7071505569529201E-2</v>
          </cell>
          <cell r="AH284">
            <v>171</v>
          </cell>
          <cell r="AI284">
            <v>174</v>
          </cell>
          <cell r="AJ284">
            <v>0.22268965517241374</v>
          </cell>
          <cell r="AK284">
            <v>177.5</v>
          </cell>
          <cell r="AL284">
            <v>181</v>
          </cell>
          <cell r="AM284">
            <v>0.25275138121546958</v>
          </cell>
          <cell r="AN284">
            <v>206.19</v>
          </cell>
          <cell r="AO284">
            <v>231.38</v>
          </cell>
          <cell r="AP284">
            <v>256.57</v>
          </cell>
          <cell r="AQ284">
            <v>0</v>
          </cell>
          <cell r="AS284">
            <v>458</v>
          </cell>
        </row>
        <row r="285">
          <cell r="B285" t="str">
            <v>AC</v>
          </cell>
          <cell r="C285" t="str">
            <v>IMP</v>
          </cell>
          <cell r="D285" t="str">
            <v>BT</v>
          </cell>
          <cell r="E285" t="str">
            <v>08</v>
          </cell>
          <cell r="F285">
            <v>39924</v>
          </cell>
          <cell r="G285">
            <v>40001</v>
          </cell>
          <cell r="H285" t="str">
            <v>4344712</v>
          </cell>
          <cell r="I285" t="str">
            <v>7KMDF605RADF_N</v>
          </cell>
          <cell r="J285">
            <v>0</v>
          </cell>
          <cell r="K285" t="str">
            <v>DF-605 RADF</v>
          </cell>
          <cell r="L285">
            <v>1339</v>
          </cell>
          <cell r="M285">
            <v>510</v>
          </cell>
          <cell r="N285">
            <v>530.4</v>
          </cell>
          <cell r="O285">
            <v>0.11256859858118053</v>
          </cell>
          <cell r="P285">
            <v>597.67999999999995</v>
          </cell>
          <cell r="Q285">
            <v>540.6</v>
          </cell>
          <cell r="R285">
            <v>610.88</v>
          </cell>
          <cell r="S285">
            <v>747.1</v>
          </cell>
          <cell r="T285">
            <v>0.29005487886494452</v>
          </cell>
          <cell r="U285">
            <v>578.55424000000005</v>
          </cell>
          <cell r="V285">
            <v>8.3232023327665994E-2</v>
          </cell>
          <cell r="W285">
            <v>597.67999999999995</v>
          </cell>
          <cell r="X285">
            <v>0.79999999999999993</v>
          </cell>
          <cell r="Y285">
            <v>0</v>
          </cell>
          <cell r="Z285">
            <v>0</v>
          </cell>
          <cell r="AA285">
            <v>723</v>
          </cell>
          <cell r="AB285">
            <v>598</v>
          </cell>
          <cell r="AC285">
            <v>665</v>
          </cell>
          <cell r="AD285">
            <v>702</v>
          </cell>
          <cell r="AE285">
            <v>737.88</v>
          </cell>
          <cell r="AF285">
            <v>0.19000379465495751</v>
          </cell>
          <cell r="AG285">
            <v>0.28118393234672306</v>
          </cell>
          <cell r="AH285">
            <v>821</v>
          </cell>
          <cell r="AI285">
            <v>903</v>
          </cell>
          <cell r="AJ285">
            <v>0.33811738648947959</v>
          </cell>
          <cell r="AK285">
            <v>985.5</v>
          </cell>
          <cell r="AL285">
            <v>1068</v>
          </cell>
          <cell r="AM285">
            <v>0.44037453183520603</v>
          </cell>
          <cell r="AN285">
            <v>1135.75</v>
          </cell>
          <cell r="AO285">
            <v>1203.5</v>
          </cell>
          <cell r="AP285">
            <v>1271.25</v>
          </cell>
          <cell r="AQ285">
            <v>0</v>
          </cell>
          <cell r="AS285">
            <v>1339</v>
          </cell>
        </row>
        <row r="286">
          <cell r="B286" t="str">
            <v>AC</v>
          </cell>
          <cell r="C286" t="str">
            <v>IMP</v>
          </cell>
          <cell r="D286" t="str">
            <v>BT</v>
          </cell>
          <cell r="E286" t="str">
            <v>08</v>
          </cell>
          <cell r="F286">
            <v>39924</v>
          </cell>
          <cell r="G286">
            <v>40001</v>
          </cell>
          <cell r="H286" t="str">
            <v>4347711</v>
          </cell>
          <cell r="I286" t="str">
            <v>6KMJS502JST_N</v>
          </cell>
          <cell r="J286">
            <v>0</v>
          </cell>
          <cell r="K286" t="str">
            <v>JS-502 Job Separator</v>
          </cell>
          <cell r="L286">
            <v>158</v>
          </cell>
          <cell r="M286">
            <v>51</v>
          </cell>
          <cell r="N286">
            <v>53.04</v>
          </cell>
          <cell r="O286">
            <v>0.24573378839590437</v>
          </cell>
          <cell r="P286">
            <v>70.319999999999993</v>
          </cell>
          <cell r="Q286">
            <v>54.06</v>
          </cell>
          <cell r="R286">
            <v>61.09</v>
          </cell>
          <cell r="S286">
            <v>87.9</v>
          </cell>
          <cell r="T286">
            <v>0.39658703071672358</v>
          </cell>
          <cell r="U286">
            <v>68.069760000000002</v>
          </cell>
          <cell r="V286">
            <v>0.22079936817758727</v>
          </cell>
          <cell r="W286">
            <v>70.319999999999993</v>
          </cell>
          <cell r="X286">
            <v>0.79999999999999982</v>
          </cell>
          <cell r="Y286">
            <v>0</v>
          </cell>
          <cell r="Z286">
            <v>0</v>
          </cell>
          <cell r="AA286">
            <v>85</v>
          </cell>
          <cell r="AB286">
            <v>71</v>
          </cell>
          <cell r="AC286">
            <v>79</v>
          </cell>
          <cell r="AD286">
            <v>83</v>
          </cell>
          <cell r="AE286">
            <v>86.81</v>
          </cell>
          <cell r="AF286">
            <v>0.18995507430019593</v>
          </cell>
          <cell r="AG286">
            <v>0.38901048266328764</v>
          </cell>
          <cell r="AH286">
            <v>97</v>
          </cell>
          <cell r="AI286">
            <v>107</v>
          </cell>
          <cell r="AJ286">
            <v>0.34280373831775707</v>
          </cell>
          <cell r="AK286">
            <v>116.5</v>
          </cell>
          <cell r="AL286">
            <v>126</v>
          </cell>
          <cell r="AM286">
            <v>0.44190476190476197</v>
          </cell>
          <cell r="AN286">
            <v>134</v>
          </cell>
          <cell r="AO286">
            <v>142</v>
          </cell>
          <cell r="AP286">
            <v>150</v>
          </cell>
          <cell r="AQ286">
            <v>0</v>
          </cell>
          <cell r="AS286">
            <v>158</v>
          </cell>
        </row>
        <row r="287">
          <cell r="B287" t="str">
            <v>AC</v>
          </cell>
          <cell r="C287" t="str">
            <v>IMP</v>
          </cell>
          <cell r="D287" t="str">
            <v>BT</v>
          </cell>
          <cell r="E287" t="str">
            <v>P3</v>
          </cell>
          <cell r="F287">
            <v>39924</v>
          </cell>
          <cell r="G287">
            <v>40001</v>
          </cell>
          <cell r="H287" t="str">
            <v>4348011</v>
          </cell>
          <cell r="I287" t="str">
            <v>6KMDK501DSD_N</v>
          </cell>
          <cell r="J287">
            <v>0</v>
          </cell>
          <cell r="K287" t="str">
            <v>DK-501 Desk/Storage Drawer</v>
          </cell>
          <cell r="L287">
            <v>209</v>
          </cell>
          <cell r="M287">
            <v>82</v>
          </cell>
          <cell r="N287">
            <v>85.28</v>
          </cell>
          <cell r="O287">
            <v>-0.17647058823529413</v>
          </cell>
          <cell r="P287">
            <v>72.488</v>
          </cell>
          <cell r="Q287">
            <v>86.92</v>
          </cell>
          <cell r="R287">
            <v>98.22</v>
          </cell>
          <cell r="S287">
            <v>125.5</v>
          </cell>
          <cell r="T287">
            <v>0.32047808764940239</v>
          </cell>
          <cell r="U287">
            <v>97.18719999999999</v>
          </cell>
          <cell r="V287">
            <v>0.12251819169602571</v>
          </cell>
          <cell r="W287">
            <v>72.488</v>
          </cell>
          <cell r="X287">
            <v>0.57759362549800797</v>
          </cell>
          <cell r="Y287">
            <v>0</v>
          </cell>
          <cell r="Z287">
            <v>0</v>
          </cell>
          <cell r="AA287">
            <v>88</v>
          </cell>
          <cell r="AB287">
            <v>73</v>
          </cell>
          <cell r="AC287">
            <v>81</v>
          </cell>
          <cell r="AD287">
            <v>86</v>
          </cell>
          <cell r="AE287">
            <v>89.49</v>
          </cell>
          <cell r="AF287">
            <v>0.18998770812381269</v>
          </cell>
          <cell r="AG287">
            <v>4.704436249860313E-2</v>
          </cell>
          <cell r="AH287">
            <v>92</v>
          </cell>
          <cell r="AI287">
            <v>94</v>
          </cell>
          <cell r="AJ287">
            <v>0.22885106382978723</v>
          </cell>
          <cell r="AK287">
            <v>95.5</v>
          </cell>
          <cell r="AL287">
            <v>97</v>
          </cell>
          <cell r="AM287">
            <v>0.25270103092783508</v>
          </cell>
          <cell r="AN287">
            <v>110.5</v>
          </cell>
          <cell r="AO287">
            <v>124</v>
          </cell>
          <cell r="AP287">
            <v>137.5</v>
          </cell>
          <cell r="AQ287">
            <v>0</v>
          </cell>
          <cell r="AS287">
            <v>209</v>
          </cell>
        </row>
        <row r="288">
          <cell r="B288" t="str">
            <v>AC</v>
          </cell>
          <cell r="C288" t="str">
            <v>IMP</v>
          </cell>
          <cell r="D288" t="str">
            <v>BT</v>
          </cell>
          <cell r="E288" t="str">
            <v>P3</v>
          </cell>
          <cell r="F288">
            <v>39924</v>
          </cell>
          <cell r="G288">
            <v>40001</v>
          </cell>
          <cell r="H288" t="str">
            <v>4349712</v>
          </cell>
          <cell r="I288" t="str">
            <v>6KMFS508BF_N</v>
          </cell>
          <cell r="J288">
            <v>0</v>
          </cell>
          <cell r="K288" t="str">
            <v>FS-508 Base Finisher</v>
          </cell>
          <cell r="L288">
            <v>1575</v>
          </cell>
          <cell r="M288">
            <v>541</v>
          </cell>
          <cell r="N288">
            <v>562.64</v>
          </cell>
          <cell r="O288">
            <v>-0.17647058823529416</v>
          </cell>
          <cell r="P288">
            <v>478.24399999999997</v>
          </cell>
          <cell r="Q288">
            <v>573.46</v>
          </cell>
          <cell r="R288">
            <v>648.01</v>
          </cell>
          <cell r="S288">
            <v>878.9</v>
          </cell>
          <cell r="T288">
            <v>0.35983615883490727</v>
          </cell>
          <cell r="U288">
            <v>680.62015999999994</v>
          </cell>
          <cell r="V288">
            <v>0.17334214725582028</v>
          </cell>
          <cell r="W288">
            <v>478.24399999999997</v>
          </cell>
          <cell r="X288">
            <v>0.54413926499032883</v>
          </cell>
          <cell r="Y288">
            <v>0</v>
          </cell>
          <cell r="Z288">
            <v>0</v>
          </cell>
          <cell r="AA288">
            <v>579</v>
          </cell>
          <cell r="AB288">
            <v>479</v>
          </cell>
          <cell r="AC288">
            <v>532</v>
          </cell>
          <cell r="AD288">
            <v>562</v>
          </cell>
          <cell r="AE288">
            <v>590.41999999999996</v>
          </cell>
          <cell r="AF288">
            <v>0.18999356390366179</v>
          </cell>
          <cell r="AG288">
            <v>4.7051251651366782E-2</v>
          </cell>
          <cell r="AH288">
            <v>603</v>
          </cell>
          <cell r="AI288">
            <v>615</v>
          </cell>
          <cell r="AJ288">
            <v>0.22236747967479678</v>
          </cell>
          <cell r="AK288">
            <v>626.5</v>
          </cell>
          <cell r="AL288">
            <v>638</v>
          </cell>
          <cell r="AM288">
            <v>0.25040125391849533</v>
          </cell>
          <cell r="AN288">
            <v>727.59</v>
          </cell>
          <cell r="AO288">
            <v>817.18</v>
          </cell>
          <cell r="AP288">
            <v>906.77</v>
          </cell>
          <cell r="AQ288">
            <v>0</v>
          </cell>
          <cell r="AS288">
            <v>1575</v>
          </cell>
        </row>
        <row r="289">
          <cell r="B289" t="str">
            <v>AC</v>
          </cell>
          <cell r="C289" t="str">
            <v>IMP</v>
          </cell>
          <cell r="D289" t="str">
            <v>BT</v>
          </cell>
          <cell r="E289" t="str">
            <v>P3</v>
          </cell>
          <cell r="F289">
            <v>39924</v>
          </cell>
          <cell r="G289">
            <v>40001</v>
          </cell>
          <cell r="H289" t="str">
            <v>4349812</v>
          </cell>
          <cell r="I289" t="str">
            <v>6KMFS510BF_N</v>
          </cell>
          <cell r="J289">
            <v>0</v>
          </cell>
          <cell r="K289" t="str">
            <v>FS-510 Embedded Finisher (50 sheets)</v>
          </cell>
          <cell r="L289">
            <v>1575</v>
          </cell>
          <cell r="M289">
            <v>541</v>
          </cell>
          <cell r="N289">
            <v>562.64</v>
          </cell>
          <cell r="O289">
            <v>-0.17647058823529416</v>
          </cell>
          <cell r="P289">
            <v>478.24399999999997</v>
          </cell>
          <cell r="Q289">
            <v>573.46</v>
          </cell>
          <cell r="R289">
            <v>648.01</v>
          </cell>
          <cell r="S289">
            <v>897.8</v>
          </cell>
          <cell r="T289">
            <v>0.3733125417687681</v>
          </cell>
          <cell r="U289">
            <v>695.25631999999996</v>
          </cell>
          <cell r="V289">
            <v>0.19074450125099185</v>
          </cell>
          <cell r="W289">
            <v>478.24399999999997</v>
          </cell>
          <cell r="X289">
            <v>0.53268433949654714</v>
          </cell>
          <cell r="Y289">
            <v>0</v>
          </cell>
          <cell r="Z289">
            <v>0</v>
          </cell>
          <cell r="AA289">
            <v>579</v>
          </cell>
          <cell r="AB289">
            <v>479</v>
          </cell>
          <cell r="AC289">
            <v>532</v>
          </cell>
          <cell r="AD289">
            <v>562</v>
          </cell>
          <cell r="AE289">
            <v>590.41999999999996</v>
          </cell>
          <cell r="AF289">
            <v>0.18999356390366179</v>
          </cell>
          <cell r="AG289">
            <v>4.7051251651366782E-2</v>
          </cell>
          <cell r="AH289">
            <v>603</v>
          </cell>
          <cell r="AI289">
            <v>615</v>
          </cell>
          <cell r="AJ289">
            <v>0.22236747967479678</v>
          </cell>
          <cell r="AK289">
            <v>626.5</v>
          </cell>
          <cell r="AL289">
            <v>638</v>
          </cell>
          <cell r="AM289">
            <v>0.25040125391849533</v>
          </cell>
          <cell r="AN289">
            <v>727.59</v>
          </cell>
          <cell r="AO289">
            <v>817.18</v>
          </cell>
          <cell r="AP289">
            <v>906.77</v>
          </cell>
          <cell r="AQ289">
            <v>0</v>
          </cell>
          <cell r="AS289">
            <v>1575</v>
          </cell>
        </row>
        <row r="290">
          <cell r="B290" t="str">
            <v>AC</v>
          </cell>
          <cell r="C290" t="str">
            <v>IMP</v>
          </cell>
          <cell r="D290" t="str">
            <v>BT</v>
          </cell>
          <cell r="E290" t="str">
            <v>P3</v>
          </cell>
          <cell r="F290">
            <v>39924</v>
          </cell>
          <cell r="G290">
            <v>40001</v>
          </cell>
          <cell r="H290" t="str">
            <v>4510712</v>
          </cell>
          <cell r="I290" t="str">
            <v>3KMH7640006665_</v>
          </cell>
          <cell r="J290" t="str">
            <v>x</v>
          </cell>
          <cell r="K290" t="str">
            <v xml:space="preserve">MT-501 Mailbin Kit  </v>
          </cell>
          <cell r="L290">
            <v>1050</v>
          </cell>
          <cell r="M290">
            <v>357</v>
          </cell>
          <cell r="N290">
            <v>371.28000000000003</v>
          </cell>
          <cell r="O290">
            <v>-0.17647058823529413</v>
          </cell>
          <cell r="P290">
            <v>315.58800000000002</v>
          </cell>
          <cell r="Q290">
            <v>378.42</v>
          </cell>
          <cell r="R290">
            <v>427.61</v>
          </cell>
          <cell r="S290">
            <v>585.9</v>
          </cell>
          <cell r="T290">
            <v>0.36630824372759851</v>
          </cell>
          <cell r="U290">
            <v>453.72095999999999</v>
          </cell>
          <cell r="V290">
            <v>0.18169969489617574</v>
          </cell>
          <cell r="W290">
            <v>315.58800000000002</v>
          </cell>
          <cell r="X290">
            <v>0.53863799283154123</v>
          </cell>
          <cell r="Y290">
            <v>0</v>
          </cell>
          <cell r="Z290">
            <v>0</v>
          </cell>
          <cell r="AA290">
            <v>382</v>
          </cell>
          <cell r="AB290">
            <v>316</v>
          </cell>
          <cell r="AC290">
            <v>351</v>
          </cell>
          <cell r="AD290">
            <v>371</v>
          </cell>
          <cell r="AE290">
            <v>389.61</v>
          </cell>
          <cell r="AF290">
            <v>0.18998998998998995</v>
          </cell>
          <cell r="AG290">
            <v>4.7047047047047007E-2</v>
          </cell>
          <cell r="AH290">
            <v>398</v>
          </cell>
          <cell r="AI290">
            <v>406</v>
          </cell>
          <cell r="AJ290">
            <v>0.22268965517241374</v>
          </cell>
          <cell r="AK290">
            <v>413.5</v>
          </cell>
          <cell r="AL290">
            <v>421</v>
          </cell>
          <cell r="AM290">
            <v>0.25038479809976244</v>
          </cell>
          <cell r="AN290">
            <v>480.12</v>
          </cell>
          <cell r="AO290">
            <v>539.24</v>
          </cell>
          <cell r="AP290">
            <v>598.36</v>
          </cell>
          <cell r="AQ290">
            <v>0</v>
          </cell>
          <cell r="AS290">
            <v>1050</v>
          </cell>
        </row>
        <row r="291">
          <cell r="B291" t="str">
            <v>AC</v>
          </cell>
          <cell r="C291" t="str">
            <v>IMP</v>
          </cell>
          <cell r="D291" t="str">
            <v>BT</v>
          </cell>
          <cell r="E291" t="str">
            <v>P3</v>
          </cell>
          <cell r="F291">
            <v>39924</v>
          </cell>
          <cell r="G291">
            <v>40001</v>
          </cell>
          <cell r="H291" t="str">
            <v>4510716</v>
          </cell>
          <cell r="I291" t="str">
            <v>6KMMT501MBK_N</v>
          </cell>
          <cell r="K291" t="str">
            <v xml:space="preserve">MT-501 Mailbin Kit  </v>
          </cell>
          <cell r="L291">
            <v>1050</v>
          </cell>
          <cell r="M291">
            <v>357</v>
          </cell>
          <cell r="N291">
            <v>371.28000000000003</v>
          </cell>
          <cell r="O291">
            <v>-0.17647058823529413</v>
          </cell>
          <cell r="P291">
            <v>315.58800000000002</v>
          </cell>
          <cell r="Q291">
            <v>378.42</v>
          </cell>
          <cell r="R291">
            <v>427.61</v>
          </cell>
          <cell r="S291">
            <v>585.9</v>
          </cell>
          <cell r="T291">
            <v>0.36630824372759851</v>
          </cell>
          <cell r="U291">
            <v>453.72095999999999</v>
          </cell>
          <cell r="V291">
            <v>0.18169969489617574</v>
          </cell>
          <cell r="W291">
            <v>315.58800000000002</v>
          </cell>
          <cell r="X291">
            <v>0.53863799283154123</v>
          </cell>
          <cell r="AA291">
            <v>382</v>
          </cell>
          <cell r="AB291">
            <v>316</v>
          </cell>
          <cell r="AC291">
            <v>351</v>
          </cell>
          <cell r="AD291">
            <v>371</v>
          </cell>
          <cell r="AE291">
            <v>389.61</v>
          </cell>
          <cell r="AF291">
            <v>0.18998998998998995</v>
          </cell>
          <cell r="AG291">
            <v>4.7047047047047007E-2</v>
          </cell>
          <cell r="AH291">
            <v>398</v>
          </cell>
          <cell r="AI291">
            <v>406</v>
          </cell>
          <cell r="AJ291">
            <v>0.22268965517241374</v>
          </cell>
          <cell r="AK291">
            <v>413.5</v>
          </cell>
          <cell r="AL291">
            <v>421</v>
          </cell>
          <cell r="AM291">
            <v>0.25038479809976244</v>
          </cell>
          <cell r="AN291">
            <v>480.12</v>
          </cell>
          <cell r="AO291">
            <v>539.24</v>
          </cell>
          <cell r="AP291">
            <v>598.36</v>
          </cell>
          <cell r="AQ291">
            <v>0</v>
          </cell>
          <cell r="AS291">
            <v>1050</v>
          </cell>
        </row>
        <row r="292">
          <cell r="B292" t="str">
            <v>AC</v>
          </cell>
          <cell r="C292" t="str">
            <v>IMP</v>
          </cell>
          <cell r="D292" t="str">
            <v>BT</v>
          </cell>
          <cell r="E292" t="str">
            <v>08</v>
          </cell>
          <cell r="F292">
            <v>39924</v>
          </cell>
          <cell r="G292">
            <v>40001</v>
          </cell>
          <cell r="H292" t="str">
            <v>4510761</v>
          </cell>
          <cell r="I292" t="str">
            <v>3KMKMT502MBK</v>
          </cell>
          <cell r="K292" t="str">
            <v>MT-502 Maibin Kit for FS-519/522/530</v>
          </cell>
          <cell r="L292">
            <v>1050</v>
          </cell>
          <cell r="M292">
            <v>357</v>
          </cell>
          <cell r="N292">
            <v>371.28000000000003</v>
          </cell>
          <cell r="O292">
            <v>0.2078853046594982</v>
          </cell>
          <cell r="P292">
            <v>468.72</v>
          </cell>
          <cell r="Q292">
            <v>378.42</v>
          </cell>
          <cell r="R292">
            <v>427.61</v>
          </cell>
          <cell r="S292">
            <v>585.9</v>
          </cell>
          <cell r="T292">
            <v>0.36630824372759851</v>
          </cell>
          <cell r="U292">
            <v>453.72095999999999</v>
          </cell>
          <cell r="V292">
            <v>0.18169969489617574</v>
          </cell>
          <cell r="W292">
            <v>468.72</v>
          </cell>
          <cell r="X292">
            <v>0.8</v>
          </cell>
          <cell r="AA292">
            <v>567</v>
          </cell>
          <cell r="AB292">
            <v>469</v>
          </cell>
          <cell r="AC292">
            <v>521</v>
          </cell>
          <cell r="AD292">
            <v>550</v>
          </cell>
          <cell r="AE292">
            <v>578.66999999999996</v>
          </cell>
          <cell r="AF292">
            <v>0.19000466587174025</v>
          </cell>
          <cell r="AG292">
            <v>0.35839079267976559</v>
          </cell>
          <cell r="AH292">
            <v>644</v>
          </cell>
          <cell r="AI292">
            <v>708</v>
          </cell>
          <cell r="AJ292">
            <v>0.3379661016949152</v>
          </cell>
          <cell r="AK292">
            <v>772.5</v>
          </cell>
          <cell r="AL292">
            <v>837</v>
          </cell>
          <cell r="AM292">
            <v>0.43999999999999995</v>
          </cell>
          <cell r="AN292">
            <v>890.25</v>
          </cell>
          <cell r="AO292">
            <v>943.5</v>
          </cell>
          <cell r="AP292">
            <v>996.75</v>
          </cell>
          <cell r="AQ292">
            <v>0</v>
          </cell>
          <cell r="AS292">
            <v>1050</v>
          </cell>
        </row>
        <row r="293">
          <cell r="B293" t="str">
            <v>AC</v>
          </cell>
          <cell r="C293" t="str">
            <v>IMP</v>
          </cell>
          <cell r="D293" t="str">
            <v>BT</v>
          </cell>
          <cell r="E293" t="str">
            <v>08</v>
          </cell>
          <cell r="F293">
            <v>39924</v>
          </cell>
          <cell r="G293">
            <v>40232</v>
          </cell>
          <cell r="H293" t="str">
            <v>4511761</v>
          </cell>
          <cell r="I293" t="str">
            <v>3KMKSD505SSK</v>
          </cell>
          <cell r="J293" t="str">
            <v>changed to 08</v>
          </cell>
          <cell r="K293" t="str">
            <v>SD-505 Saddle Kit for FS-519</v>
          </cell>
          <cell r="L293">
            <v>1428</v>
          </cell>
          <cell r="M293">
            <v>479</v>
          </cell>
          <cell r="N293">
            <v>498.16</v>
          </cell>
          <cell r="O293">
            <v>0.17730215352094061</v>
          </cell>
          <cell r="P293">
            <v>605.52</v>
          </cell>
          <cell r="Q293">
            <v>507.74</v>
          </cell>
          <cell r="R293">
            <v>573.75</v>
          </cell>
          <cell r="S293">
            <v>756.9</v>
          </cell>
          <cell r="T293">
            <v>0.34184172281675251</v>
          </cell>
          <cell r="U293">
            <v>586.14335999999992</v>
          </cell>
          <cell r="V293">
            <v>0.15010553049683939</v>
          </cell>
          <cell r="W293">
            <v>605.52</v>
          </cell>
          <cell r="X293">
            <v>0.8</v>
          </cell>
          <cell r="AA293">
            <v>733</v>
          </cell>
          <cell r="AB293">
            <v>606</v>
          </cell>
          <cell r="AC293">
            <v>673</v>
          </cell>
          <cell r="AD293">
            <v>711</v>
          </cell>
          <cell r="AE293">
            <v>747.56</v>
          </cell>
          <cell r="AF293">
            <v>0.19000481566696983</v>
          </cell>
          <cell r="AG293">
            <v>0.33361870619080736</v>
          </cell>
          <cell r="AH293">
            <v>832</v>
          </cell>
          <cell r="AI293">
            <v>915</v>
          </cell>
          <cell r="AJ293">
            <v>0.33822950819672132</v>
          </cell>
          <cell r="AK293">
            <v>998.5</v>
          </cell>
          <cell r="AL293">
            <v>1082</v>
          </cell>
          <cell r="AM293">
            <v>0.44036968576709801</v>
          </cell>
          <cell r="AN293">
            <v>1168.5</v>
          </cell>
          <cell r="AO293">
            <v>1255</v>
          </cell>
          <cell r="AP293">
            <v>1341.5</v>
          </cell>
          <cell r="AQ293">
            <v>0</v>
          </cell>
          <cell r="AS293">
            <v>1428</v>
          </cell>
        </row>
        <row r="294">
          <cell r="B294" t="str">
            <v>AC</v>
          </cell>
          <cell r="C294" t="str">
            <v>IMP</v>
          </cell>
          <cell r="D294" t="str">
            <v>BT</v>
          </cell>
          <cell r="E294" t="str">
            <v>P3</v>
          </cell>
          <cell r="F294">
            <v>39924</v>
          </cell>
          <cell r="G294">
            <v>40001</v>
          </cell>
          <cell r="H294" t="str">
            <v>4511811</v>
          </cell>
          <cell r="I294" t="str">
            <v>6KMSD502SSK_N</v>
          </cell>
          <cell r="K294" t="str">
            <v>SD-502 Saddle Kit</v>
          </cell>
          <cell r="L294">
            <v>1355</v>
          </cell>
          <cell r="M294">
            <v>459</v>
          </cell>
          <cell r="N294">
            <v>477.36</v>
          </cell>
          <cell r="O294">
            <v>-0.17647058823529407</v>
          </cell>
          <cell r="P294">
            <v>405.75600000000003</v>
          </cell>
          <cell r="Q294">
            <v>486.54</v>
          </cell>
          <cell r="R294">
            <v>549.79</v>
          </cell>
          <cell r="S294">
            <v>756.9</v>
          </cell>
          <cell r="T294">
            <v>0.36932223543400711</v>
          </cell>
          <cell r="U294">
            <v>586.14335999999992</v>
          </cell>
          <cell r="V294">
            <v>0.18559172964102147</v>
          </cell>
          <cell r="W294">
            <v>405.75600000000003</v>
          </cell>
          <cell r="X294">
            <v>0.53607609988109395</v>
          </cell>
          <cell r="AA294">
            <v>491</v>
          </cell>
          <cell r="AB294">
            <v>406</v>
          </cell>
          <cell r="AC294">
            <v>451</v>
          </cell>
          <cell r="AD294">
            <v>476</v>
          </cell>
          <cell r="AE294">
            <v>500.93</v>
          </cell>
          <cell r="AF294">
            <v>0.18999461002535281</v>
          </cell>
          <cell r="AG294">
            <v>4.7052482382768039E-2</v>
          </cell>
          <cell r="AH294">
            <v>512</v>
          </cell>
          <cell r="AI294">
            <v>522</v>
          </cell>
          <cell r="AJ294">
            <v>0.22268965517241374</v>
          </cell>
          <cell r="AK294">
            <v>532</v>
          </cell>
          <cell r="AL294">
            <v>542</v>
          </cell>
          <cell r="AM294">
            <v>0.25137269372693721</v>
          </cell>
          <cell r="AN294">
            <v>617.83000000000004</v>
          </cell>
          <cell r="AO294">
            <v>693.66</v>
          </cell>
          <cell r="AP294">
            <v>769.49</v>
          </cell>
          <cell r="AQ294">
            <v>0</v>
          </cell>
          <cell r="AS294">
            <v>1355</v>
          </cell>
        </row>
        <row r="295">
          <cell r="B295" t="str">
            <v>AC</v>
          </cell>
          <cell r="C295" t="str">
            <v>IMP</v>
          </cell>
          <cell r="D295" t="str">
            <v>BT</v>
          </cell>
          <cell r="E295" t="str">
            <v>08</v>
          </cell>
          <cell r="F295">
            <v>39924</v>
          </cell>
          <cell r="G295">
            <v>40001</v>
          </cell>
          <cell r="H295" t="str">
            <v>4512812</v>
          </cell>
          <cell r="I295" t="str">
            <v>6KMPU501PU_N</v>
          </cell>
          <cell r="K295" t="str">
            <v>PU-501 Punch Kit for FS-522/FS-530</v>
          </cell>
          <cell r="L295">
            <v>525</v>
          </cell>
          <cell r="M295">
            <v>179</v>
          </cell>
          <cell r="N295">
            <v>186.16</v>
          </cell>
          <cell r="O295">
            <v>0.20580204778156999</v>
          </cell>
          <cell r="P295">
            <v>234.4</v>
          </cell>
          <cell r="Q295">
            <v>189.74</v>
          </cell>
          <cell r="R295">
            <v>214.41</v>
          </cell>
          <cell r="S295">
            <v>293</v>
          </cell>
          <cell r="T295">
            <v>0.36464163822525597</v>
          </cell>
          <cell r="U295">
            <v>226.89920000000001</v>
          </cell>
          <cell r="V295">
            <v>0.17954757002228305</v>
          </cell>
          <cell r="W295">
            <v>234.4</v>
          </cell>
          <cell r="X295">
            <v>0.8</v>
          </cell>
          <cell r="AA295">
            <v>284</v>
          </cell>
          <cell r="AB295">
            <v>235</v>
          </cell>
          <cell r="AC295">
            <v>261</v>
          </cell>
          <cell r="AD295">
            <v>276</v>
          </cell>
          <cell r="AE295">
            <v>289.38</v>
          </cell>
          <cell r="AF295">
            <v>0.18999239753956731</v>
          </cell>
          <cell r="AG295">
            <v>0.35669362084456424</v>
          </cell>
          <cell r="AH295">
            <v>323</v>
          </cell>
          <cell r="AI295">
            <v>355</v>
          </cell>
          <cell r="AJ295">
            <v>0.33971830985915491</v>
          </cell>
          <cell r="AK295">
            <v>387</v>
          </cell>
          <cell r="AL295">
            <v>419</v>
          </cell>
          <cell r="AM295">
            <v>0.44057279236276847</v>
          </cell>
          <cell r="AN295">
            <v>445.5</v>
          </cell>
          <cell r="AO295">
            <v>472</v>
          </cell>
          <cell r="AP295">
            <v>498.5</v>
          </cell>
          <cell r="AQ295">
            <v>0</v>
          </cell>
          <cell r="AS295">
            <v>525</v>
          </cell>
        </row>
        <row r="296">
          <cell r="B296" t="str">
            <v>AC</v>
          </cell>
          <cell r="C296" t="str">
            <v>IMP</v>
          </cell>
          <cell r="D296" t="str">
            <v>BT</v>
          </cell>
          <cell r="E296" t="str">
            <v>08</v>
          </cell>
          <cell r="F296">
            <v>39924</v>
          </cell>
          <cell r="G296">
            <v>40001</v>
          </cell>
          <cell r="H296" t="str">
            <v>4516711</v>
          </cell>
          <cell r="I296" t="str">
            <v>6KMPF501_N</v>
          </cell>
          <cell r="K296" t="str">
            <v>PF-501 500 x1 paper feed unit</v>
          </cell>
          <cell r="L296">
            <v>209</v>
          </cell>
          <cell r="M296">
            <v>51</v>
          </cell>
          <cell r="N296">
            <v>53.04</v>
          </cell>
          <cell r="O296">
            <v>0.43430034129692835</v>
          </cell>
          <cell r="P296">
            <v>93.76</v>
          </cell>
          <cell r="Q296">
            <v>54.06</v>
          </cell>
          <cell r="R296">
            <v>61.09</v>
          </cell>
          <cell r="S296">
            <v>117.2</v>
          </cell>
          <cell r="T296">
            <v>0.54744027303754261</v>
          </cell>
          <cell r="U296">
            <v>90.759680000000003</v>
          </cell>
          <cell r="V296">
            <v>0.41559952613319046</v>
          </cell>
          <cell r="W296">
            <v>93.76</v>
          </cell>
          <cell r="X296">
            <v>0.8</v>
          </cell>
          <cell r="AA296">
            <v>113</v>
          </cell>
          <cell r="AB296">
            <v>94</v>
          </cell>
          <cell r="AC296">
            <v>105</v>
          </cell>
          <cell r="AD296">
            <v>111</v>
          </cell>
          <cell r="AE296">
            <v>115.75</v>
          </cell>
          <cell r="AF296">
            <v>0.18997840172786173</v>
          </cell>
          <cell r="AG296">
            <v>0.54177105831533479</v>
          </cell>
          <cell r="AH296">
            <v>129</v>
          </cell>
          <cell r="AI296">
            <v>142</v>
          </cell>
          <cell r="AJ296">
            <v>0.33971830985915491</v>
          </cell>
          <cell r="AK296">
            <v>155</v>
          </cell>
          <cell r="AL296">
            <v>168</v>
          </cell>
          <cell r="AM296">
            <v>0.44190476190476186</v>
          </cell>
          <cell r="AN296">
            <v>178.25</v>
          </cell>
          <cell r="AO296">
            <v>188.5</v>
          </cell>
          <cell r="AP296">
            <v>198.75</v>
          </cell>
          <cell r="AQ296">
            <v>0</v>
          </cell>
          <cell r="AS296">
            <v>209</v>
          </cell>
        </row>
        <row r="297">
          <cell r="B297" t="str">
            <v>AC</v>
          </cell>
          <cell r="C297" t="str">
            <v>IMP</v>
          </cell>
          <cell r="D297" t="str">
            <v>BT</v>
          </cell>
          <cell r="E297" t="str">
            <v>P3</v>
          </cell>
          <cell r="F297">
            <v>39924</v>
          </cell>
          <cell r="G297">
            <v>40001</v>
          </cell>
          <cell r="H297" t="str">
            <v>4521812</v>
          </cell>
          <cell r="I297" t="str">
            <v>6KMFS511_N</v>
          </cell>
          <cell r="J297">
            <v>0</v>
          </cell>
          <cell r="K297" t="str">
            <v>FS-511</v>
          </cell>
          <cell r="L297">
            <v>2993</v>
          </cell>
          <cell r="M297">
            <v>918</v>
          </cell>
          <cell r="N297">
            <v>954.72</v>
          </cell>
          <cell r="O297">
            <v>-0.17647058823529407</v>
          </cell>
          <cell r="P297">
            <v>811.51200000000006</v>
          </cell>
          <cell r="Q297">
            <v>973.08</v>
          </cell>
          <cell r="R297">
            <v>1099.58</v>
          </cell>
          <cell r="S297">
            <v>1507.3</v>
          </cell>
          <cell r="T297">
            <v>0.36660253433291312</v>
          </cell>
          <cell r="U297">
            <v>1167.2531199999999</v>
          </cell>
          <cell r="V297">
            <v>0.1820797189216336</v>
          </cell>
          <cell r="W297">
            <v>811.51200000000006</v>
          </cell>
          <cell r="X297">
            <v>0.53838784581702392</v>
          </cell>
          <cell r="Y297">
            <v>0</v>
          </cell>
          <cell r="Z297">
            <v>0</v>
          </cell>
          <cell r="AA297">
            <v>982</v>
          </cell>
          <cell r="AB297">
            <v>812</v>
          </cell>
          <cell r="AC297">
            <v>902</v>
          </cell>
          <cell r="AD297">
            <v>952</v>
          </cell>
          <cell r="AE297">
            <v>1001.87</v>
          </cell>
          <cell r="AF297">
            <v>0.19000269496042396</v>
          </cell>
          <cell r="AG297">
            <v>4.7061994071087042E-2</v>
          </cell>
          <cell r="AH297">
            <v>1023</v>
          </cell>
          <cell r="AI297">
            <v>1043</v>
          </cell>
          <cell r="AJ297">
            <v>0.22194439117929046</v>
          </cell>
          <cell r="AK297">
            <v>1063</v>
          </cell>
          <cell r="AL297">
            <v>1083</v>
          </cell>
          <cell r="AM297">
            <v>0.25068144044321322</v>
          </cell>
          <cell r="AN297">
            <v>1234.9100000000001</v>
          </cell>
          <cell r="AO297">
            <v>1386.82</v>
          </cell>
          <cell r="AP297">
            <v>1538.73</v>
          </cell>
          <cell r="AQ297">
            <v>0</v>
          </cell>
          <cell r="AS297">
            <v>2993</v>
          </cell>
        </row>
        <row r="298">
          <cell r="B298" t="str">
            <v>AC</v>
          </cell>
          <cell r="C298" t="str">
            <v>IMP</v>
          </cell>
          <cell r="D298" t="str">
            <v>BT</v>
          </cell>
          <cell r="E298" t="str">
            <v>08</v>
          </cell>
          <cell r="F298">
            <v>39924</v>
          </cell>
          <cell r="G298">
            <v>40001</v>
          </cell>
          <cell r="H298" t="str">
            <v>4532621</v>
          </cell>
          <cell r="I298" t="str">
            <v>7KMADU504_N</v>
          </cell>
          <cell r="J298">
            <v>0</v>
          </cell>
          <cell r="K298" t="str">
            <v>AD-504 Duplex Unit</v>
          </cell>
          <cell r="L298">
            <v>210</v>
          </cell>
          <cell r="M298">
            <v>71</v>
          </cell>
          <cell r="N298">
            <v>73.84</v>
          </cell>
          <cell r="O298">
            <v>0.21245733788395904</v>
          </cell>
          <cell r="P298">
            <v>93.76</v>
          </cell>
          <cell r="Q298">
            <v>75.260000000000005</v>
          </cell>
          <cell r="R298">
            <v>85.04</v>
          </cell>
          <cell r="S298">
            <v>117.2</v>
          </cell>
          <cell r="T298">
            <v>0.36996587030716721</v>
          </cell>
          <cell r="U298">
            <v>90.759680000000003</v>
          </cell>
          <cell r="V298">
            <v>0.18642286971483371</v>
          </cell>
          <cell r="W298">
            <v>93.76</v>
          </cell>
          <cell r="X298">
            <v>0.8</v>
          </cell>
          <cell r="Y298">
            <v>0</v>
          </cell>
          <cell r="Z298">
            <v>0</v>
          </cell>
          <cell r="AA298">
            <v>113</v>
          </cell>
          <cell r="AB298">
            <v>94</v>
          </cell>
          <cell r="AC298">
            <v>105</v>
          </cell>
          <cell r="AD298">
            <v>111</v>
          </cell>
          <cell r="AE298">
            <v>115.75</v>
          </cell>
          <cell r="AF298">
            <v>0.18997840172786173</v>
          </cell>
          <cell r="AG298">
            <v>0.36207343412526993</v>
          </cell>
          <cell r="AH298">
            <v>129</v>
          </cell>
          <cell r="AI298">
            <v>142</v>
          </cell>
          <cell r="AJ298">
            <v>0.33971830985915491</v>
          </cell>
          <cell r="AK298">
            <v>155</v>
          </cell>
          <cell r="AL298">
            <v>168</v>
          </cell>
          <cell r="AM298">
            <v>0.44190476190476186</v>
          </cell>
          <cell r="AN298">
            <v>178.5</v>
          </cell>
          <cell r="AO298">
            <v>189</v>
          </cell>
          <cell r="AP298">
            <v>199.5</v>
          </cell>
          <cell r="AQ298">
            <v>0</v>
          </cell>
          <cell r="AS298">
            <v>210</v>
          </cell>
        </row>
        <row r="299">
          <cell r="B299" t="str">
            <v>AC</v>
          </cell>
          <cell r="C299" t="str">
            <v>IMP</v>
          </cell>
          <cell r="D299" t="str">
            <v>BT</v>
          </cell>
          <cell r="E299" t="str">
            <v>08</v>
          </cell>
          <cell r="F299">
            <v>39924</v>
          </cell>
          <cell r="G299">
            <v>40001</v>
          </cell>
          <cell r="H299" t="str">
            <v>4551613</v>
          </cell>
          <cell r="I299" t="str">
            <v>3KMKFK503FAXKIT</v>
          </cell>
          <cell r="J299">
            <v>0</v>
          </cell>
          <cell r="K299" t="str">
            <v>FK-503 Fax Kit</v>
          </cell>
          <cell r="L299">
            <v>1150</v>
          </cell>
          <cell r="M299">
            <v>357</v>
          </cell>
          <cell r="N299">
            <v>371.28000000000003</v>
          </cell>
          <cell r="O299">
            <v>0.26890359168241956</v>
          </cell>
          <cell r="P299">
            <v>507.84</v>
          </cell>
          <cell r="Q299">
            <v>378.42</v>
          </cell>
          <cell r="R299">
            <v>427.61</v>
          </cell>
          <cell r="S299">
            <v>634.79999999999995</v>
          </cell>
          <cell r="T299">
            <v>0.41512287334593562</v>
          </cell>
          <cell r="U299">
            <v>491.58911999999992</v>
          </cell>
          <cell r="V299">
            <v>0.24473511537440029</v>
          </cell>
          <cell r="W299">
            <v>507.84</v>
          </cell>
          <cell r="X299">
            <v>0.8</v>
          </cell>
          <cell r="Y299">
            <v>0</v>
          </cell>
          <cell r="Z299">
            <v>200</v>
          </cell>
          <cell r="AA299">
            <v>614</v>
          </cell>
          <cell r="AB299">
            <v>508</v>
          </cell>
          <cell r="AC299">
            <v>565</v>
          </cell>
          <cell r="AD299">
            <v>596</v>
          </cell>
          <cell r="AE299">
            <v>626.96</v>
          </cell>
          <cell r="AF299">
            <v>0.18999617200459368</v>
          </cell>
          <cell r="AG299">
            <v>0.40780911062906722</v>
          </cell>
          <cell r="AH299">
            <v>697</v>
          </cell>
          <cell r="AI299">
            <v>767</v>
          </cell>
          <cell r="AJ299">
            <v>0.33788787483702742</v>
          </cell>
          <cell r="AK299">
            <v>837</v>
          </cell>
          <cell r="AL299">
            <v>907</v>
          </cell>
          <cell r="AM299">
            <v>0.44008820286659317</v>
          </cell>
          <cell r="AN299">
            <v>967.75</v>
          </cell>
          <cell r="AO299">
            <v>1028.5</v>
          </cell>
          <cell r="AP299">
            <v>1089.25</v>
          </cell>
          <cell r="AQ299">
            <v>0</v>
          </cell>
          <cell r="AS299">
            <v>1150</v>
          </cell>
        </row>
        <row r="300">
          <cell r="B300" t="str">
            <v>AC</v>
          </cell>
          <cell r="C300" t="str">
            <v>IMP</v>
          </cell>
          <cell r="D300" t="str">
            <v>BT</v>
          </cell>
          <cell r="E300" t="str">
            <v>08</v>
          </cell>
          <cell r="F300">
            <v>39924</v>
          </cell>
          <cell r="G300">
            <v>40001</v>
          </cell>
          <cell r="H300" t="str">
            <v>4551621</v>
          </cell>
          <cell r="I300" t="str">
            <v>3KMHML502FAXML</v>
          </cell>
          <cell r="J300">
            <v>0</v>
          </cell>
          <cell r="K300" t="str">
            <v>ML-502 Fax Multi-Line</v>
          </cell>
          <cell r="L300">
            <v>1103</v>
          </cell>
          <cell r="M300">
            <v>408</v>
          </cell>
          <cell r="N300">
            <v>424.32</v>
          </cell>
          <cell r="O300">
            <v>0.15608591885441531</v>
          </cell>
          <cell r="P300">
            <v>502.8</v>
          </cell>
          <cell r="Q300">
            <v>432.48</v>
          </cell>
          <cell r="R300">
            <v>488.7</v>
          </cell>
          <cell r="S300">
            <v>628.5</v>
          </cell>
          <cell r="T300">
            <v>0.32486873508353226</v>
          </cell>
          <cell r="U300">
            <v>486.71039999999999</v>
          </cell>
          <cell r="V300">
            <v>0.12818793270084222</v>
          </cell>
          <cell r="W300">
            <v>502.8</v>
          </cell>
          <cell r="X300">
            <v>0.8</v>
          </cell>
          <cell r="Y300">
            <v>0</v>
          </cell>
          <cell r="Z300">
            <v>600</v>
          </cell>
          <cell r="AA300">
            <v>608</v>
          </cell>
          <cell r="AB300">
            <v>503</v>
          </cell>
          <cell r="AC300">
            <v>559</v>
          </cell>
          <cell r="AD300">
            <v>590</v>
          </cell>
          <cell r="AE300">
            <v>620.74</v>
          </cell>
          <cell r="AF300">
            <v>0.18999903341173438</v>
          </cell>
          <cell r="AG300">
            <v>0.31642877855462836</v>
          </cell>
          <cell r="AH300">
            <v>691</v>
          </cell>
          <cell r="AI300">
            <v>760</v>
          </cell>
          <cell r="AJ300">
            <v>0.33842105263157896</v>
          </cell>
          <cell r="AK300">
            <v>829</v>
          </cell>
          <cell r="AL300">
            <v>898</v>
          </cell>
          <cell r="AM300">
            <v>0.44008908685968817</v>
          </cell>
          <cell r="AN300">
            <v>949.25</v>
          </cell>
          <cell r="AO300">
            <v>1000.5</v>
          </cell>
          <cell r="AP300">
            <v>1051.75</v>
          </cell>
          <cell r="AQ300">
            <v>0</v>
          </cell>
          <cell r="AS300">
            <v>1103</v>
          </cell>
        </row>
        <row r="301">
          <cell r="B301" t="str">
            <v>AC</v>
          </cell>
          <cell r="C301" t="str">
            <v>IMP</v>
          </cell>
          <cell r="D301" t="str">
            <v>BT</v>
          </cell>
          <cell r="E301" t="str">
            <v>08</v>
          </cell>
          <cell r="F301">
            <v>39924</v>
          </cell>
          <cell r="G301">
            <v>40001</v>
          </cell>
          <cell r="H301" t="str">
            <v>4551641</v>
          </cell>
          <cell r="I301" t="str">
            <v>3KMMEM303EMU32MB</v>
          </cell>
          <cell r="J301">
            <v>0</v>
          </cell>
          <cell r="K301" t="str">
            <v>EM-303 Expanded Memory Unit 32MB</v>
          </cell>
          <cell r="L301">
            <v>153</v>
          </cell>
          <cell r="M301">
            <v>46</v>
          </cell>
          <cell r="N301">
            <v>47.84</v>
          </cell>
          <cell r="O301">
            <v>0.21522309711286083</v>
          </cell>
          <cell r="P301">
            <v>60.96</v>
          </cell>
          <cell r="Q301">
            <v>48.76</v>
          </cell>
          <cell r="R301">
            <v>55.1</v>
          </cell>
          <cell r="S301">
            <v>76.2</v>
          </cell>
          <cell r="T301">
            <v>0.37217847769028867</v>
          </cell>
          <cell r="U301">
            <v>59.009280000000004</v>
          </cell>
          <cell r="V301">
            <v>0.18928005900088934</v>
          </cell>
          <cell r="W301">
            <v>60.96</v>
          </cell>
          <cell r="X301">
            <v>0.79999999999999993</v>
          </cell>
          <cell r="Y301">
            <v>0</v>
          </cell>
          <cell r="Z301">
            <v>200</v>
          </cell>
          <cell r="AA301">
            <v>74</v>
          </cell>
          <cell r="AB301">
            <v>61</v>
          </cell>
          <cell r="AC301">
            <v>68</v>
          </cell>
          <cell r="AD301">
            <v>72</v>
          </cell>
          <cell r="AE301">
            <v>75.260000000000005</v>
          </cell>
          <cell r="AF301">
            <v>0.1900079723624768</v>
          </cell>
          <cell r="AG301">
            <v>0.36433696518735054</v>
          </cell>
          <cell r="AH301">
            <v>85</v>
          </cell>
          <cell r="AI301">
            <v>93</v>
          </cell>
          <cell r="AJ301">
            <v>0.34451612903225803</v>
          </cell>
          <cell r="AK301">
            <v>101</v>
          </cell>
          <cell r="AL301">
            <v>109</v>
          </cell>
          <cell r="AM301">
            <v>0.44073394495412843</v>
          </cell>
          <cell r="AN301">
            <v>120</v>
          </cell>
          <cell r="AO301">
            <v>131</v>
          </cell>
          <cell r="AP301">
            <v>142</v>
          </cell>
          <cell r="AQ301">
            <v>0</v>
          </cell>
          <cell r="AS301">
            <v>153</v>
          </cell>
        </row>
        <row r="302">
          <cell r="B302" t="str">
            <v>AC</v>
          </cell>
          <cell r="C302" t="str">
            <v>IMP</v>
          </cell>
          <cell r="D302" t="str">
            <v>BT</v>
          </cell>
          <cell r="E302" t="str">
            <v>08</v>
          </cell>
          <cell r="F302">
            <v>39924</v>
          </cell>
          <cell r="G302">
            <v>40001</v>
          </cell>
          <cell r="H302" t="str">
            <v>4551651</v>
          </cell>
          <cell r="I302" t="str">
            <v>3KMMEM304EMU64MB</v>
          </cell>
          <cell r="J302">
            <v>0</v>
          </cell>
          <cell r="K302" t="str">
            <v>EM-304 Expanded Memory Unit 64MB</v>
          </cell>
          <cell r="L302">
            <v>305</v>
          </cell>
          <cell r="M302">
            <v>92</v>
          </cell>
          <cell r="N302">
            <v>95.68</v>
          </cell>
          <cell r="O302">
            <v>0.21522309711286083</v>
          </cell>
          <cell r="P302">
            <v>121.92</v>
          </cell>
          <cell r="Q302">
            <v>97.52</v>
          </cell>
          <cell r="R302">
            <v>110.2</v>
          </cell>
          <cell r="S302">
            <v>152.4</v>
          </cell>
          <cell r="T302">
            <v>0.37217847769028867</v>
          </cell>
          <cell r="U302">
            <v>118.01856000000001</v>
          </cell>
          <cell r="V302">
            <v>0.18928005900088934</v>
          </cell>
          <cell r="W302">
            <v>121.92</v>
          </cell>
          <cell r="X302">
            <v>0.79999999999999993</v>
          </cell>
          <cell r="Y302">
            <v>0</v>
          </cell>
          <cell r="Z302">
            <v>0</v>
          </cell>
          <cell r="AA302">
            <v>148</v>
          </cell>
          <cell r="AB302">
            <v>122</v>
          </cell>
          <cell r="AC302">
            <v>136</v>
          </cell>
          <cell r="AD302">
            <v>144</v>
          </cell>
          <cell r="AE302">
            <v>150.52000000000001</v>
          </cell>
          <cell r="AF302">
            <v>0.1900079723624768</v>
          </cell>
          <cell r="AG302">
            <v>0.36433696518735054</v>
          </cell>
          <cell r="AH302">
            <v>168</v>
          </cell>
          <cell r="AI302">
            <v>185</v>
          </cell>
          <cell r="AJ302">
            <v>0.34097297297297297</v>
          </cell>
          <cell r="AK302">
            <v>201.5</v>
          </cell>
          <cell r="AL302">
            <v>218</v>
          </cell>
          <cell r="AM302">
            <v>0.44073394495412843</v>
          </cell>
          <cell r="AN302">
            <v>239.75</v>
          </cell>
          <cell r="AO302">
            <v>261.5</v>
          </cell>
          <cell r="AP302">
            <v>283.25</v>
          </cell>
          <cell r="AQ302">
            <v>0</v>
          </cell>
          <cell r="AS302">
            <v>305</v>
          </cell>
        </row>
        <row r="303">
          <cell r="B303" t="str">
            <v>AC</v>
          </cell>
          <cell r="C303" t="str">
            <v>IMP</v>
          </cell>
          <cell r="D303" t="str">
            <v>BT</v>
          </cell>
          <cell r="E303" t="str">
            <v>08</v>
          </cell>
          <cell r="F303">
            <v>39924</v>
          </cell>
          <cell r="G303">
            <v>40001</v>
          </cell>
          <cell r="H303" t="str">
            <v>4551661</v>
          </cell>
          <cell r="I303" t="str">
            <v>3KMMEM305EMU128MB</v>
          </cell>
          <cell r="J303">
            <v>0</v>
          </cell>
          <cell r="K303" t="str">
            <v>EM-305 Expanded Memory Unit 128MB</v>
          </cell>
          <cell r="L303">
            <v>609</v>
          </cell>
          <cell r="M303">
            <v>184</v>
          </cell>
          <cell r="N303">
            <v>191.36</v>
          </cell>
          <cell r="O303">
            <v>0.21522309711286083</v>
          </cell>
          <cell r="P303">
            <v>243.84</v>
          </cell>
          <cell r="Q303">
            <v>195.04</v>
          </cell>
          <cell r="R303">
            <v>220.4</v>
          </cell>
          <cell r="S303">
            <v>304.8</v>
          </cell>
          <cell r="T303">
            <v>0.37217847769028867</v>
          </cell>
          <cell r="U303">
            <v>236.03712000000002</v>
          </cell>
          <cell r="V303">
            <v>0.18928005900088934</v>
          </cell>
          <cell r="W303">
            <v>243.84</v>
          </cell>
          <cell r="X303">
            <v>0.79999999999999993</v>
          </cell>
          <cell r="Y303">
            <v>0</v>
          </cell>
          <cell r="Z303">
            <v>0</v>
          </cell>
          <cell r="AA303">
            <v>295</v>
          </cell>
          <cell r="AB303">
            <v>244</v>
          </cell>
          <cell r="AC303">
            <v>271</v>
          </cell>
          <cell r="AD303">
            <v>287</v>
          </cell>
          <cell r="AE303">
            <v>301.04000000000002</v>
          </cell>
          <cell r="AF303">
            <v>0.1900079723624768</v>
          </cell>
          <cell r="AG303">
            <v>0.36433696518735054</v>
          </cell>
          <cell r="AH303">
            <v>336</v>
          </cell>
          <cell r="AI303">
            <v>369</v>
          </cell>
          <cell r="AJ303">
            <v>0.33918699186991869</v>
          </cell>
          <cell r="AK303">
            <v>402.5</v>
          </cell>
          <cell r="AL303">
            <v>436</v>
          </cell>
          <cell r="AM303">
            <v>0.44073394495412843</v>
          </cell>
          <cell r="AN303">
            <v>479.25</v>
          </cell>
          <cell r="AO303">
            <v>522.5</v>
          </cell>
          <cell r="AP303">
            <v>565.75</v>
          </cell>
          <cell r="AQ303">
            <v>0</v>
          </cell>
          <cell r="AS303">
            <v>609</v>
          </cell>
        </row>
        <row r="304">
          <cell r="B304" t="str">
            <v>AC</v>
          </cell>
          <cell r="C304" t="str">
            <v>IMP</v>
          </cell>
          <cell r="D304" t="str">
            <v>BT</v>
          </cell>
          <cell r="E304" t="str">
            <v>P3</v>
          </cell>
          <cell r="F304">
            <v>39924</v>
          </cell>
          <cell r="G304">
            <v>40001</v>
          </cell>
          <cell r="H304" t="str">
            <v>4599225</v>
          </cell>
          <cell r="I304" t="str">
            <v>3KMHOC502OC</v>
          </cell>
          <cell r="J304">
            <v>0</v>
          </cell>
          <cell r="K304" t="str">
            <v xml:space="preserve">OC-502 Original Cover </v>
          </cell>
          <cell r="L304">
            <v>95</v>
          </cell>
          <cell r="M304">
            <v>26</v>
          </cell>
          <cell r="N304">
            <v>27.04</v>
          </cell>
          <cell r="O304">
            <v>-0.17647058823529418</v>
          </cell>
          <cell r="P304">
            <v>22.983999999999998</v>
          </cell>
          <cell r="Q304">
            <v>27.56</v>
          </cell>
          <cell r="R304">
            <v>31.14</v>
          </cell>
          <cell r="S304">
            <v>46.9</v>
          </cell>
          <cell r="T304">
            <v>0.42345415778251599</v>
          </cell>
          <cell r="U304">
            <v>36.319359999999996</v>
          </cell>
          <cell r="V304">
            <v>0.25549348887205053</v>
          </cell>
          <cell r="W304">
            <v>22.983999999999998</v>
          </cell>
          <cell r="X304">
            <v>0.4900639658848614</v>
          </cell>
          <cell r="Y304">
            <v>0</v>
          </cell>
          <cell r="Z304">
            <v>0</v>
          </cell>
          <cell r="AA304">
            <v>28</v>
          </cell>
          <cell r="AB304">
            <v>23</v>
          </cell>
          <cell r="AC304">
            <v>26</v>
          </cell>
          <cell r="AD304">
            <v>28</v>
          </cell>
          <cell r="AE304">
            <v>28.38</v>
          </cell>
          <cell r="AF304">
            <v>0.19013389711064133</v>
          </cell>
          <cell r="AG304">
            <v>4.7216349541930935E-2</v>
          </cell>
          <cell r="AH304">
            <v>30</v>
          </cell>
          <cell r="AI304">
            <v>30</v>
          </cell>
          <cell r="AJ304">
            <v>0.23386666666666672</v>
          </cell>
          <cell r="AK304">
            <v>30.5</v>
          </cell>
          <cell r="AL304">
            <v>31</v>
          </cell>
          <cell r="AM304">
            <v>0.25858064516129037</v>
          </cell>
          <cell r="AN304">
            <v>35.22</v>
          </cell>
          <cell r="AO304">
            <v>39.44</v>
          </cell>
          <cell r="AP304">
            <v>43.66</v>
          </cell>
          <cell r="AQ304">
            <v>0</v>
          </cell>
          <cell r="AS304">
            <v>95</v>
          </cell>
        </row>
        <row r="305">
          <cell r="B305" t="str">
            <v>AC</v>
          </cell>
          <cell r="C305" t="str">
            <v>IMP</v>
          </cell>
          <cell r="D305" t="str">
            <v>BT</v>
          </cell>
          <cell r="E305" t="str">
            <v>08</v>
          </cell>
          <cell r="F305">
            <v>39924</v>
          </cell>
          <cell r="G305">
            <v>40001</v>
          </cell>
          <cell r="H305" t="str">
            <v>4599226</v>
          </cell>
          <cell r="I305" t="str">
            <v>3KMHOC510_</v>
          </cell>
          <cell r="J305">
            <v>0</v>
          </cell>
          <cell r="K305" t="str">
            <v>OC-510 Original Cover</v>
          </cell>
          <cell r="L305">
            <v>95</v>
          </cell>
          <cell r="M305">
            <v>26</v>
          </cell>
          <cell r="N305">
            <v>27.04</v>
          </cell>
          <cell r="O305">
            <v>0.27931769722814509</v>
          </cell>
          <cell r="P305">
            <v>37.520000000000003</v>
          </cell>
          <cell r="Q305">
            <v>27.56</v>
          </cell>
          <cell r="R305">
            <v>31.14</v>
          </cell>
          <cell r="S305">
            <v>46.9</v>
          </cell>
          <cell r="T305">
            <v>0.42345415778251599</v>
          </cell>
          <cell r="U305">
            <v>36.319359999999996</v>
          </cell>
          <cell r="V305">
            <v>0.25549348887205053</v>
          </cell>
          <cell r="W305">
            <v>37.520000000000003</v>
          </cell>
          <cell r="X305">
            <v>0.8</v>
          </cell>
          <cell r="Y305">
            <v>0</v>
          </cell>
          <cell r="Z305">
            <v>0</v>
          </cell>
          <cell r="AA305">
            <v>45</v>
          </cell>
          <cell r="AB305">
            <v>38</v>
          </cell>
          <cell r="AC305">
            <v>42</v>
          </cell>
          <cell r="AD305">
            <v>45</v>
          </cell>
          <cell r="AE305">
            <v>46.32</v>
          </cell>
          <cell r="AF305">
            <v>0.1899827288428324</v>
          </cell>
          <cell r="AG305">
            <v>0.41623488773747841</v>
          </cell>
          <cell r="AH305">
            <v>52</v>
          </cell>
          <cell r="AI305">
            <v>57</v>
          </cell>
          <cell r="AJ305">
            <v>0.3417543859649122</v>
          </cell>
          <cell r="AK305">
            <v>62</v>
          </cell>
          <cell r="AL305">
            <v>67</v>
          </cell>
          <cell r="AM305">
            <v>0.43999999999999995</v>
          </cell>
          <cell r="AN305">
            <v>74</v>
          </cell>
          <cell r="AO305">
            <v>81</v>
          </cell>
          <cell r="AP305">
            <v>88</v>
          </cell>
          <cell r="AQ305">
            <v>0</v>
          </cell>
          <cell r="AS305">
            <v>95</v>
          </cell>
        </row>
        <row r="306">
          <cell r="B306" t="str">
            <v>AC</v>
          </cell>
          <cell r="C306" t="str">
            <v>IMP</v>
          </cell>
          <cell r="D306" t="str">
            <v>BT</v>
          </cell>
          <cell r="E306" t="str">
            <v>08</v>
          </cell>
          <cell r="F306">
            <v>39924</v>
          </cell>
          <cell r="G306">
            <v>40001</v>
          </cell>
          <cell r="H306" t="str">
            <v>4599234</v>
          </cell>
          <cell r="I306" t="str">
            <v>3KMKVK501</v>
          </cell>
          <cell r="J306">
            <v>0</v>
          </cell>
          <cell r="K306" t="str">
            <v>VK-501 Copy Vendor Kit</v>
          </cell>
          <cell r="L306">
            <v>42</v>
          </cell>
          <cell r="M306">
            <v>17</v>
          </cell>
          <cell r="N306">
            <v>17.68</v>
          </cell>
          <cell r="O306">
            <v>0.12301587301587304</v>
          </cell>
          <cell r="P306">
            <v>20.16</v>
          </cell>
          <cell r="Q306">
            <v>18.02</v>
          </cell>
          <cell r="R306">
            <v>20.36</v>
          </cell>
          <cell r="S306">
            <v>25.2</v>
          </cell>
          <cell r="T306">
            <v>0.29841269841269841</v>
          </cell>
          <cell r="U306">
            <v>19.514879999999998</v>
          </cell>
          <cell r="V306">
            <v>9.4024662206480314E-2</v>
          </cell>
          <cell r="W306">
            <v>20.16</v>
          </cell>
          <cell r="X306">
            <v>0.8</v>
          </cell>
          <cell r="Y306">
            <v>0</v>
          </cell>
          <cell r="Z306">
            <v>0</v>
          </cell>
          <cell r="AA306">
            <v>24</v>
          </cell>
          <cell r="AB306">
            <v>21</v>
          </cell>
          <cell r="AC306">
            <v>23</v>
          </cell>
          <cell r="AD306">
            <v>24</v>
          </cell>
          <cell r="AE306">
            <v>24.89</v>
          </cell>
          <cell r="AF306">
            <v>0.19003615910004018</v>
          </cell>
          <cell r="AG306">
            <v>0.28967456809963843</v>
          </cell>
          <cell r="AH306">
            <v>28</v>
          </cell>
          <cell r="AI306">
            <v>31</v>
          </cell>
          <cell r="AJ306">
            <v>0.3496774193548387</v>
          </cell>
          <cell r="AK306">
            <v>33.5</v>
          </cell>
          <cell r="AL306">
            <v>36</v>
          </cell>
          <cell r="AM306">
            <v>0.44</v>
          </cell>
          <cell r="AN306">
            <v>37.5</v>
          </cell>
          <cell r="AO306">
            <v>39</v>
          </cell>
          <cell r="AP306">
            <v>40.5</v>
          </cell>
          <cell r="AQ306">
            <v>0</v>
          </cell>
          <cell r="AS306">
            <v>42</v>
          </cell>
        </row>
        <row r="307">
          <cell r="B307" t="str">
            <v>AC</v>
          </cell>
          <cell r="C307" t="str">
            <v>IMP</v>
          </cell>
          <cell r="D307" t="str">
            <v>BT</v>
          </cell>
          <cell r="E307" t="str">
            <v>08</v>
          </cell>
          <cell r="F307">
            <v>39924</v>
          </cell>
          <cell r="G307">
            <v>40001</v>
          </cell>
          <cell r="H307" t="str">
            <v>4599273</v>
          </cell>
          <cell r="I307" t="str">
            <v>3KMHMC502</v>
          </cell>
          <cell r="J307">
            <v>0</v>
          </cell>
          <cell r="K307" t="str">
            <v>MC-502 Mechanical counter</v>
          </cell>
          <cell r="L307">
            <v>42</v>
          </cell>
          <cell r="M307">
            <v>11</v>
          </cell>
          <cell r="N307">
            <v>11.440000000000001</v>
          </cell>
          <cell r="O307">
            <v>0.27040816326530603</v>
          </cell>
          <cell r="P307">
            <v>15.68</v>
          </cell>
          <cell r="Q307">
            <v>11.66</v>
          </cell>
          <cell r="R307">
            <v>13.18</v>
          </cell>
          <cell r="S307">
            <v>19.600000000000001</v>
          </cell>
          <cell r="T307">
            <v>0.41632653061224489</v>
          </cell>
          <cell r="U307">
            <v>15.178240000000001</v>
          </cell>
          <cell r="V307">
            <v>0.24628942486085337</v>
          </cell>
          <cell r="W307">
            <v>15.68</v>
          </cell>
          <cell r="X307">
            <v>0.79999999999999993</v>
          </cell>
          <cell r="Y307">
            <v>0</v>
          </cell>
          <cell r="Z307">
            <v>0</v>
          </cell>
          <cell r="AA307">
            <v>19</v>
          </cell>
          <cell r="AB307">
            <v>16</v>
          </cell>
          <cell r="AC307">
            <v>18</v>
          </cell>
          <cell r="AD307">
            <v>19</v>
          </cell>
          <cell r="AE307">
            <v>19.36</v>
          </cell>
          <cell r="AF307">
            <v>0.19008264462809915</v>
          </cell>
          <cell r="AG307">
            <v>0.40909090909090901</v>
          </cell>
          <cell r="AH307">
            <v>22</v>
          </cell>
          <cell r="AI307">
            <v>24</v>
          </cell>
          <cell r="AJ307">
            <v>0.34666666666666668</v>
          </cell>
          <cell r="AK307">
            <v>26</v>
          </cell>
          <cell r="AL307">
            <v>28</v>
          </cell>
          <cell r="AM307">
            <v>0.44</v>
          </cell>
          <cell r="AN307">
            <v>31.5</v>
          </cell>
          <cell r="AO307">
            <v>35</v>
          </cell>
          <cell r="AP307">
            <v>38.5</v>
          </cell>
          <cell r="AQ307">
            <v>0</v>
          </cell>
          <cell r="AS307">
            <v>42</v>
          </cell>
        </row>
        <row r="308">
          <cell r="B308" t="str">
            <v>AC</v>
          </cell>
          <cell r="C308" t="str">
            <v>IMP</v>
          </cell>
          <cell r="D308" t="str">
            <v>BT</v>
          </cell>
          <cell r="E308" t="str">
            <v>P3</v>
          </cell>
          <cell r="F308">
            <v>39924</v>
          </cell>
          <cell r="G308">
            <v>40001</v>
          </cell>
          <cell r="H308" t="str">
            <v>4599386</v>
          </cell>
          <cell r="I308" t="str">
            <v>3KMKSA501SAK</v>
          </cell>
          <cell r="J308" t="str">
            <v>x</v>
          </cell>
          <cell r="K308" t="str">
            <v>SA-501 Scan Accelerator Kit</v>
          </cell>
          <cell r="L308">
            <v>420</v>
          </cell>
          <cell r="M308">
            <v>173</v>
          </cell>
          <cell r="N308">
            <v>179.92000000000002</v>
          </cell>
          <cell r="O308">
            <v>-0.1764705882352941</v>
          </cell>
          <cell r="P308">
            <v>152.93200000000002</v>
          </cell>
          <cell r="Q308">
            <v>183.38</v>
          </cell>
          <cell r="R308">
            <v>207.22</v>
          </cell>
          <cell r="S308">
            <v>252</v>
          </cell>
          <cell r="T308">
            <v>0.28603174603174597</v>
          </cell>
          <cell r="U308">
            <v>195.14879999999999</v>
          </cell>
          <cell r="V308">
            <v>7.8036862127771112E-2</v>
          </cell>
          <cell r="W308">
            <v>152.93200000000002</v>
          </cell>
          <cell r="X308">
            <v>0.6068730158730159</v>
          </cell>
          <cell r="Y308">
            <v>0</v>
          </cell>
          <cell r="Z308">
            <v>0</v>
          </cell>
          <cell r="AA308">
            <v>185</v>
          </cell>
          <cell r="AB308">
            <v>153</v>
          </cell>
          <cell r="AC308">
            <v>170</v>
          </cell>
          <cell r="AD308">
            <v>180</v>
          </cell>
          <cell r="AE308">
            <v>188.8</v>
          </cell>
          <cell r="AF308">
            <v>0.189978813559322</v>
          </cell>
          <cell r="AG308">
            <v>4.7033898305084719E-2</v>
          </cell>
          <cell r="AH308">
            <v>193</v>
          </cell>
          <cell r="AI308">
            <v>197</v>
          </cell>
          <cell r="AJ308">
            <v>0.22369543147208112</v>
          </cell>
          <cell r="AK308">
            <v>200.5</v>
          </cell>
          <cell r="AL308">
            <v>204</v>
          </cell>
          <cell r="AM308">
            <v>0.25033333333333324</v>
          </cell>
          <cell r="AN308">
            <v>232.65</v>
          </cell>
          <cell r="AO308">
            <v>261.3</v>
          </cell>
          <cell r="AP308">
            <v>289.95</v>
          </cell>
          <cell r="AQ308">
            <v>0</v>
          </cell>
          <cell r="AS308">
            <v>420</v>
          </cell>
        </row>
        <row r="309">
          <cell r="B309" t="str">
            <v>AC</v>
          </cell>
          <cell r="C309" t="str">
            <v>IMP</v>
          </cell>
          <cell r="D309" t="str">
            <v>BT</v>
          </cell>
          <cell r="E309" t="str">
            <v>P3</v>
          </cell>
          <cell r="F309">
            <v>39924</v>
          </cell>
          <cell r="G309">
            <v>40001</v>
          </cell>
          <cell r="H309" t="str">
            <v>4599414</v>
          </cell>
          <cell r="I309" t="str">
            <v>3KMKML501</v>
          </cell>
          <cell r="J309" t="str">
            <v>x</v>
          </cell>
          <cell r="K309" t="str">
            <v>ML-501 Multi-Line Kit</v>
          </cell>
          <cell r="L309">
            <v>315</v>
          </cell>
          <cell r="M309">
            <v>133</v>
          </cell>
          <cell r="N309">
            <v>138.32</v>
          </cell>
          <cell r="O309">
            <v>-0.17647058823529418</v>
          </cell>
          <cell r="P309">
            <v>117.57199999999999</v>
          </cell>
          <cell r="Q309">
            <v>140.97999999999999</v>
          </cell>
          <cell r="R309">
            <v>159.31</v>
          </cell>
          <cell r="S309">
            <v>194.3</v>
          </cell>
          <cell r="T309">
            <v>0.28811116829644889</v>
          </cell>
          <cell r="U309">
            <v>150.46592000000001</v>
          </cell>
          <cell r="V309">
            <v>8.0722066498513531E-2</v>
          </cell>
          <cell r="W309">
            <v>117.57199999999999</v>
          </cell>
          <cell r="X309">
            <v>0.60510550694801846</v>
          </cell>
          <cell r="Y309">
            <v>0</v>
          </cell>
          <cell r="Z309">
            <v>0</v>
          </cell>
          <cell r="AA309">
            <v>142</v>
          </cell>
          <cell r="AB309">
            <v>118</v>
          </cell>
          <cell r="AC309">
            <v>131</v>
          </cell>
          <cell r="AD309">
            <v>139</v>
          </cell>
          <cell r="AE309">
            <v>145.15</v>
          </cell>
          <cell r="AF309">
            <v>0.1899965552876336</v>
          </cell>
          <cell r="AG309">
            <v>4.7054770926627708E-2</v>
          </cell>
          <cell r="AH309">
            <v>149</v>
          </cell>
          <cell r="AI309">
            <v>152</v>
          </cell>
          <cell r="AJ309">
            <v>0.22650000000000006</v>
          </cell>
          <cell r="AK309">
            <v>154.5</v>
          </cell>
          <cell r="AL309">
            <v>157</v>
          </cell>
          <cell r="AM309">
            <v>0.2511337579617835</v>
          </cell>
          <cell r="AN309">
            <v>178.99</v>
          </cell>
          <cell r="AO309">
            <v>200.98</v>
          </cell>
          <cell r="AP309">
            <v>222.97</v>
          </cell>
          <cell r="AQ309">
            <v>0</v>
          </cell>
          <cell r="AS309">
            <v>315</v>
          </cell>
        </row>
        <row r="310">
          <cell r="B310" t="str">
            <v>AC</v>
          </cell>
          <cell r="C310" t="str">
            <v>IMP</v>
          </cell>
          <cell r="D310" t="str">
            <v>BT</v>
          </cell>
          <cell r="E310" t="str">
            <v>08</v>
          </cell>
          <cell r="F310">
            <v>39924</v>
          </cell>
          <cell r="G310">
            <v>40231</v>
          </cell>
          <cell r="H310" t="str">
            <v>4599441</v>
          </cell>
          <cell r="I310" t="str">
            <v>3KMKSC503HDDEK</v>
          </cell>
          <cell r="J310" t="str">
            <v>changed to 08</v>
          </cell>
          <cell r="K310" t="str">
            <v>SC-503 Security Kit</v>
          </cell>
          <cell r="L310">
            <v>452</v>
          </cell>
          <cell r="M310">
            <v>133</v>
          </cell>
          <cell r="N310">
            <v>138.32</v>
          </cell>
          <cell r="O310">
            <v>0.29197379197379209</v>
          </cell>
          <cell r="P310">
            <v>195.36</v>
          </cell>
          <cell r="Q310">
            <v>140.97999999999999</v>
          </cell>
          <cell r="R310">
            <v>159.31</v>
          </cell>
          <cell r="S310">
            <v>244.2</v>
          </cell>
          <cell r="T310">
            <v>0.4335790335790336</v>
          </cell>
          <cell r="U310">
            <v>189.10847999999999</v>
          </cell>
          <cell r="V310">
            <v>0.26856796691507434</v>
          </cell>
          <cell r="W310">
            <v>195.36</v>
          </cell>
          <cell r="X310">
            <v>0.8</v>
          </cell>
          <cell r="Y310">
            <v>0</v>
          </cell>
          <cell r="Z310">
            <v>0</v>
          </cell>
          <cell r="AA310">
            <v>236</v>
          </cell>
          <cell r="AB310">
            <v>196</v>
          </cell>
          <cell r="AC310">
            <v>218</v>
          </cell>
          <cell r="AD310">
            <v>230</v>
          </cell>
          <cell r="AE310">
            <v>241.19</v>
          </cell>
          <cell r="AF310">
            <v>0.19001616982461952</v>
          </cell>
          <cell r="AG310">
            <v>0.42651022015838136</v>
          </cell>
          <cell r="AH310">
            <v>269</v>
          </cell>
          <cell r="AI310">
            <v>296</v>
          </cell>
          <cell r="AJ310">
            <v>0.33999999999999997</v>
          </cell>
          <cell r="AK310">
            <v>322.5</v>
          </cell>
          <cell r="AL310">
            <v>349</v>
          </cell>
          <cell r="AM310">
            <v>0.44022922636103146</v>
          </cell>
          <cell r="AN310">
            <v>374.75</v>
          </cell>
          <cell r="AO310">
            <v>400.5</v>
          </cell>
          <cell r="AP310">
            <v>426.25</v>
          </cell>
          <cell r="AQ310">
            <v>0</v>
          </cell>
          <cell r="AS310">
            <v>452</v>
          </cell>
        </row>
        <row r="311">
          <cell r="B311" t="str">
            <v>AC</v>
          </cell>
          <cell r="C311" t="str">
            <v>IMP</v>
          </cell>
          <cell r="D311" t="str">
            <v>BT</v>
          </cell>
          <cell r="E311" t="str">
            <v>08</v>
          </cell>
          <cell r="F311">
            <v>39924</v>
          </cell>
          <cell r="G311">
            <v>40001</v>
          </cell>
          <cell r="H311" t="str">
            <v>4599444</v>
          </cell>
          <cell r="I311" t="str">
            <v>3KMKSC504HDDEK</v>
          </cell>
          <cell r="J311">
            <v>0</v>
          </cell>
          <cell r="K311" t="str">
            <v>SC-504 HDD Encryption Kit</v>
          </cell>
          <cell r="L311">
            <v>452</v>
          </cell>
          <cell r="M311">
            <v>133</v>
          </cell>
          <cell r="N311">
            <v>138.32</v>
          </cell>
          <cell r="O311">
            <v>0.29197379197379209</v>
          </cell>
          <cell r="P311">
            <v>195.36</v>
          </cell>
          <cell r="Q311">
            <v>140.97999999999999</v>
          </cell>
          <cell r="R311">
            <v>159.31</v>
          </cell>
          <cell r="S311">
            <v>244.2</v>
          </cell>
          <cell r="T311">
            <v>0.4335790335790336</v>
          </cell>
          <cell r="U311">
            <v>189.10847999999999</v>
          </cell>
          <cell r="V311">
            <v>0.26856796691507434</v>
          </cell>
          <cell r="W311">
            <v>195.36</v>
          </cell>
          <cell r="X311">
            <v>0.8</v>
          </cell>
          <cell r="Y311">
            <v>0</v>
          </cell>
          <cell r="Z311">
            <v>0</v>
          </cell>
          <cell r="AA311">
            <v>236</v>
          </cell>
          <cell r="AB311">
            <v>196</v>
          </cell>
          <cell r="AC311">
            <v>218</v>
          </cell>
          <cell r="AD311">
            <v>230</v>
          </cell>
          <cell r="AE311">
            <v>241.19</v>
          </cell>
          <cell r="AF311">
            <v>0.19001616982461952</v>
          </cell>
          <cell r="AG311">
            <v>0.42651022015838136</v>
          </cell>
          <cell r="AH311">
            <v>269</v>
          </cell>
          <cell r="AI311">
            <v>296</v>
          </cell>
          <cell r="AJ311">
            <v>0.33999999999999997</v>
          </cell>
          <cell r="AK311">
            <v>322.5</v>
          </cell>
          <cell r="AL311">
            <v>349</v>
          </cell>
          <cell r="AM311">
            <v>0.44022922636103146</v>
          </cell>
          <cell r="AN311">
            <v>374.75</v>
          </cell>
          <cell r="AO311">
            <v>400.5</v>
          </cell>
          <cell r="AP311">
            <v>426.25</v>
          </cell>
          <cell r="AQ311">
            <v>0</v>
          </cell>
          <cell r="AS311">
            <v>452</v>
          </cell>
        </row>
        <row r="312">
          <cell r="B312" t="str">
            <v>AC</v>
          </cell>
          <cell r="C312" t="str">
            <v>IMP</v>
          </cell>
          <cell r="D312" t="str">
            <v>BT</v>
          </cell>
          <cell r="E312" t="str">
            <v>P3</v>
          </cell>
          <cell r="F312">
            <v>39924</v>
          </cell>
          <cell r="G312">
            <v>40001</v>
          </cell>
          <cell r="H312" t="str">
            <v>4599461</v>
          </cell>
          <cell r="I312" t="str">
            <v>3KMHHD50440GHDD</v>
          </cell>
          <cell r="J312">
            <v>0</v>
          </cell>
          <cell r="K312" t="str">
            <v>HD-504 Hard Disk Drive</v>
          </cell>
          <cell r="L312">
            <v>567</v>
          </cell>
          <cell r="M312">
            <v>214</v>
          </cell>
          <cell r="N312">
            <v>222.56</v>
          </cell>
          <cell r="O312">
            <v>-0.17647058823529421</v>
          </cell>
          <cell r="P312">
            <v>189.17599999999999</v>
          </cell>
          <cell r="Q312">
            <v>226.84</v>
          </cell>
          <cell r="R312">
            <v>256.33</v>
          </cell>
          <cell r="S312">
            <v>319.2</v>
          </cell>
          <cell r="T312">
            <v>0.30275689223057639</v>
          </cell>
          <cell r="U312">
            <v>247.18847999999997</v>
          </cell>
          <cell r="V312">
            <v>9.9634416620062435E-2</v>
          </cell>
          <cell r="W312">
            <v>189.17599999999999</v>
          </cell>
          <cell r="X312">
            <v>0.59265664160400999</v>
          </cell>
          <cell r="Y312">
            <v>0</v>
          </cell>
          <cell r="Z312">
            <v>0</v>
          </cell>
          <cell r="AA312">
            <v>229</v>
          </cell>
          <cell r="AB312">
            <v>190</v>
          </cell>
          <cell r="AC312">
            <v>211</v>
          </cell>
          <cell r="AD312">
            <v>223</v>
          </cell>
          <cell r="AE312">
            <v>233.55</v>
          </cell>
          <cell r="AF312">
            <v>0.18999785913080719</v>
          </cell>
          <cell r="AG312">
            <v>4.7056304859773107E-2</v>
          </cell>
          <cell r="AH312">
            <v>239</v>
          </cell>
          <cell r="AI312">
            <v>244</v>
          </cell>
          <cell r="AJ312">
            <v>0.22468852459016397</v>
          </cell>
          <cell r="AK312">
            <v>248.5</v>
          </cell>
          <cell r="AL312">
            <v>253</v>
          </cell>
          <cell r="AM312">
            <v>0.25226877470355735</v>
          </cell>
          <cell r="AN312">
            <v>288.27999999999997</v>
          </cell>
          <cell r="AO312">
            <v>323.56</v>
          </cell>
          <cell r="AP312">
            <v>358.84</v>
          </cell>
          <cell r="AQ312">
            <v>0</v>
          </cell>
          <cell r="AS312">
            <v>567</v>
          </cell>
        </row>
        <row r="313">
          <cell r="B313" t="str">
            <v>AC</v>
          </cell>
          <cell r="C313" t="str">
            <v>IMP</v>
          </cell>
          <cell r="D313" t="str">
            <v>BT</v>
          </cell>
          <cell r="E313" t="str">
            <v>08</v>
          </cell>
          <cell r="F313">
            <v>39924</v>
          </cell>
          <cell r="G313">
            <v>40001</v>
          </cell>
          <cell r="H313" t="str">
            <v>4599481</v>
          </cell>
          <cell r="I313" t="str">
            <v>3KMKEK502LIFK</v>
          </cell>
          <cell r="J313">
            <v>0</v>
          </cell>
          <cell r="K313" t="str">
            <v>EK-502 Local Interface Kit</v>
          </cell>
          <cell r="L313">
            <v>158</v>
          </cell>
          <cell r="M313">
            <v>51</v>
          </cell>
          <cell r="N313">
            <v>53.04</v>
          </cell>
          <cell r="O313">
            <v>0.26169265033407579</v>
          </cell>
          <cell r="P313">
            <v>71.84</v>
          </cell>
          <cell r="Q313">
            <v>54.06</v>
          </cell>
          <cell r="R313">
            <v>61.09</v>
          </cell>
          <cell r="S313">
            <v>89.8</v>
          </cell>
          <cell r="T313">
            <v>0.40935412026726059</v>
          </cell>
          <cell r="U313">
            <v>69.541119999999992</v>
          </cell>
          <cell r="V313">
            <v>0.23728579579966494</v>
          </cell>
          <cell r="W313">
            <v>71.84</v>
          </cell>
          <cell r="X313">
            <v>0.8</v>
          </cell>
          <cell r="Y313">
            <v>0</v>
          </cell>
          <cell r="Z313">
            <v>0</v>
          </cell>
          <cell r="AA313">
            <v>87</v>
          </cell>
          <cell r="AB313">
            <v>72</v>
          </cell>
          <cell r="AC313">
            <v>80</v>
          </cell>
          <cell r="AD313">
            <v>85</v>
          </cell>
          <cell r="AE313">
            <v>88.69</v>
          </cell>
          <cell r="AF313">
            <v>0.18998759724884423</v>
          </cell>
          <cell r="AG313">
            <v>0.40196188972826702</v>
          </cell>
          <cell r="AH313">
            <v>99</v>
          </cell>
          <cell r="AI313">
            <v>109</v>
          </cell>
          <cell r="AJ313">
            <v>0.34091743119266049</v>
          </cell>
          <cell r="AK313">
            <v>119</v>
          </cell>
          <cell r="AL313">
            <v>129</v>
          </cell>
          <cell r="AM313">
            <v>0.44310077519379842</v>
          </cell>
          <cell r="AN313">
            <v>136.25</v>
          </cell>
          <cell r="AO313">
            <v>143.5</v>
          </cell>
          <cell r="AP313">
            <v>150.75</v>
          </cell>
          <cell r="AQ313">
            <v>0</v>
          </cell>
          <cell r="AS313">
            <v>158</v>
          </cell>
        </row>
        <row r="314">
          <cell r="B314" t="str">
            <v>AC</v>
          </cell>
          <cell r="C314" t="str">
            <v>IMP</v>
          </cell>
          <cell r="D314" t="str">
            <v>BT</v>
          </cell>
          <cell r="E314" t="str">
            <v>08</v>
          </cell>
          <cell r="F314">
            <v>39924</v>
          </cell>
          <cell r="G314">
            <v>40231</v>
          </cell>
          <cell r="H314" t="str">
            <v>4614452</v>
          </cell>
          <cell r="I314" t="str">
            <v>6KMPK501PUNKT_N</v>
          </cell>
          <cell r="J314" t="str">
            <v>changed to 08</v>
          </cell>
          <cell r="K314" t="str">
            <v>PK-501 Punch Kit</v>
          </cell>
          <cell r="L314">
            <v>552</v>
          </cell>
          <cell r="M314">
            <v>181</v>
          </cell>
          <cell r="N314">
            <v>188.24</v>
          </cell>
          <cell r="O314">
            <v>0.28869407496977018</v>
          </cell>
          <cell r="P314">
            <v>264.64</v>
          </cell>
          <cell r="Q314">
            <v>191.86</v>
          </cell>
          <cell r="R314">
            <v>216.8</v>
          </cell>
          <cell r="S314">
            <v>330.8</v>
          </cell>
          <cell r="T314">
            <v>0.43095525997581619</v>
          </cell>
          <cell r="U314">
            <v>256.17151999999999</v>
          </cell>
          <cell r="V314">
            <v>0.26517982951422542</v>
          </cell>
          <cell r="W314">
            <v>264.64</v>
          </cell>
          <cell r="X314">
            <v>0.79999999999999993</v>
          </cell>
          <cell r="Y314">
            <v>0</v>
          </cell>
          <cell r="Z314">
            <v>0</v>
          </cell>
          <cell r="AA314">
            <v>320</v>
          </cell>
          <cell r="AB314">
            <v>265</v>
          </cell>
          <cell r="AC314">
            <v>295</v>
          </cell>
          <cell r="AD314">
            <v>311</v>
          </cell>
          <cell r="AE314">
            <v>326.72000000000003</v>
          </cell>
          <cell r="AF314">
            <v>0.19000979431929491</v>
          </cell>
          <cell r="AG314">
            <v>0.42384916748285995</v>
          </cell>
          <cell r="AH314">
            <v>364</v>
          </cell>
          <cell r="AI314">
            <v>400</v>
          </cell>
          <cell r="AJ314">
            <v>0.33840000000000003</v>
          </cell>
          <cell r="AK314">
            <v>436.5</v>
          </cell>
          <cell r="AL314">
            <v>473</v>
          </cell>
          <cell r="AM314">
            <v>0.44050739957716706</v>
          </cell>
          <cell r="AN314">
            <v>492.75</v>
          </cell>
          <cell r="AO314">
            <v>512.5</v>
          </cell>
          <cell r="AP314">
            <v>532.25</v>
          </cell>
          <cell r="AQ314">
            <v>0</v>
          </cell>
          <cell r="AS314">
            <v>552</v>
          </cell>
        </row>
        <row r="315">
          <cell r="B315" t="str">
            <v>AC</v>
          </cell>
          <cell r="C315" t="str">
            <v>IMP</v>
          </cell>
          <cell r="D315" t="str">
            <v>BT</v>
          </cell>
          <cell r="E315" t="str">
            <v>08</v>
          </cell>
          <cell r="F315">
            <v>39924</v>
          </cell>
          <cell r="G315">
            <v>40056</v>
          </cell>
          <cell r="H315" t="str">
            <v>4614506</v>
          </cell>
          <cell r="I315" t="str">
            <v>3KMHSP501FSU</v>
          </cell>
          <cell r="J315">
            <v>0</v>
          </cell>
          <cell r="K315" t="str">
            <v>SP-501 Fax Stamp Unit</v>
          </cell>
          <cell r="L315">
            <v>45</v>
          </cell>
          <cell r="M315">
            <v>12</v>
          </cell>
          <cell r="N315">
            <v>12.48</v>
          </cell>
          <cell r="O315">
            <v>0.32173913043478253</v>
          </cell>
          <cell r="P315">
            <v>18.399999999999999</v>
          </cell>
          <cell r="Q315">
            <v>12.72</v>
          </cell>
          <cell r="R315">
            <v>14.37</v>
          </cell>
          <cell r="S315">
            <v>23</v>
          </cell>
          <cell r="T315">
            <v>0.45739130434782604</v>
          </cell>
          <cell r="U315">
            <v>17.811199999999999</v>
          </cell>
          <cell r="V315">
            <v>0.29931728350700676</v>
          </cell>
          <cell r="W315">
            <v>18.399999999999999</v>
          </cell>
          <cell r="X315">
            <v>0.79999999999999993</v>
          </cell>
          <cell r="Y315">
            <v>0</v>
          </cell>
          <cell r="Z315">
            <v>0</v>
          </cell>
          <cell r="AA315">
            <v>22</v>
          </cell>
          <cell r="AB315">
            <v>19</v>
          </cell>
          <cell r="AC315">
            <v>21</v>
          </cell>
          <cell r="AD315">
            <v>22</v>
          </cell>
          <cell r="AE315">
            <v>22.72</v>
          </cell>
          <cell r="AF315">
            <v>0.19014084507042256</v>
          </cell>
          <cell r="AG315">
            <v>0.45070422535211263</v>
          </cell>
          <cell r="AH315">
            <v>26</v>
          </cell>
          <cell r="AI315">
            <v>28</v>
          </cell>
          <cell r="AJ315">
            <v>0.34285714285714292</v>
          </cell>
          <cell r="AK315">
            <v>30.5</v>
          </cell>
          <cell r="AL315">
            <v>33</v>
          </cell>
          <cell r="AM315">
            <v>0.44242424242424244</v>
          </cell>
          <cell r="AN315">
            <v>36</v>
          </cell>
          <cell r="AO315">
            <v>39</v>
          </cell>
          <cell r="AP315">
            <v>42</v>
          </cell>
          <cell r="AQ315">
            <v>0</v>
          </cell>
          <cell r="AS315">
            <v>45</v>
          </cell>
        </row>
        <row r="316">
          <cell r="B316" t="str">
            <v>AC</v>
          </cell>
          <cell r="C316" t="str">
            <v>IMP</v>
          </cell>
          <cell r="D316" t="str">
            <v>BT</v>
          </cell>
          <cell r="E316" t="str">
            <v>08</v>
          </cell>
          <cell r="F316">
            <v>39924</v>
          </cell>
          <cell r="G316">
            <v>40056</v>
          </cell>
          <cell r="H316" t="str">
            <v>4614511</v>
          </cell>
          <cell r="I316" t="str">
            <v>3KMH4614511STMS2</v>
          </cell>
          <cell r="J316">
            <v>0</v>
          </cell>
          <cell r="K316" t="str">
            <v>Spare TX Marker Stamp 2</v>
          </cell>
          <cell r="L316">
            <v>25</v>
          </cell>
          <cell r="M316">
            <v>7</v>
          </cell>
          <cell r="N316">
            <v>7.28</v>
          </cell>
          <cell r="O316">
            <v>0.33576642335766427</v>
          </cell>
          <cell r="P316">
            <v>10.96</v>
          </cell>
          <cell r="Q316">
            <v>7.42</v>
          </cell>
          <cell r="R316">
            <v>8.3800000000000008</v>
          </cell>
          <cell r="S316">
            <v>13.7</v>
          </cell>
          <cell r="T316">
            <v>0.46861313868613136</v>
          </cell>
          <cell r="U316">
            <v>10.609279999999998</v>
          </cell>
          <cell r="V316">
            <v>0.31380828859262822</v>
          </cell>
          <cell r="W316">
            <v>10.96</v>
          </cell>
          <cell r="X316">
            <v>0.80000000000000016</v>
          </cell>
          <cell r="Y316">
            <v>0</v>
          </cell>
          <cell r="Z316">
            <v>0</v>
          </cell>
          <cell r="AA316">
            <v>13</v>
          </cell>
          <cell r="AB316">
            <v>11</v>
          </cell>
          <cell r="AC316">
            <v>13</v>
          </cell>
          <cell r="AD316">
            <v>14</v>
          </cell>
          <cell r="AE316">
            <v>13.53</v>
          </cell>
          <cell r="AF316">
            <v>0.18994826311899474</v>
          </cell>
          <cell r="AG316">
            <v>0.46193643754619362</v>
          </cell>
          <cell r="AH316">
            <v>16</v>
          </cell>
          <cell r="AI316">
            <v>17</v>
          </cell>
          <cell r="AJ316">
            <v>0.35529411764705876</v>
          </cell>
          <cell r="AK316">
            <v>18.5</v>
          </cell>
          <cell r="AL316">
            <v>20</v>
          </cell>
          <cell r="AM316">
            <v>0.45199999999999996</v>
          </cell>
          <cell r="AN316">
            <v>21.25</v>
          </cell>
          <cell r="AO316">
            <v>22.5</v>
          </cell>
          <cell r="AP316">
            <v>23.75</v>
          </cell>
          <cell r="AQ316">
            <v>0</v>
          </cell>
          <cell r="AS316">
            <v>25</v>
          </cell>
        </row>
        <row r="317">
          <cell r="B317" t="str">
            <v>AC</v>
          </cell>
          <cell r="C317" t="str">
            <v>IMP</v>
          </cell>
          <cell r="D317" t="str">
            <v>BT</v>
          </cell>
          <cell r="E317" t="str">
            <v>08</v>
          </cell>
          <cell r="F317">
            <v>39924</v>
          </cell>
          <cell r="G317">
            <v>40001</v>
          </cell>
          <cell r="H317" t="str">
            <v>4623471</v>
          </cell>
          <cell r="I317" t="str">
            <v>3KMKKCMKIT2</v>
          </cell>
          <cell r="J317">
            <v>0</v>
          </cell>
          <cell r="K317" t="str">
            <v>Key Counter Mount Kit 2</v>
          </cell>
          <cell r="L317">
            <v>86</v>
          </cell>
          <cell r="M317">
            <v>6</v>
          </cell>
          <cell r="N317">
            <v>6.24</v>
          </cell>
          <cell r="O317">
            <v>0.86978297161936557</v>
          </cell>
          <cell r="P317">
            <v>47.92</v>
          </cell>
          <cell r="Q317">
            <v>6.36</v>
          </cell>
          <cell r="R317">
            <v>7.19</v>
          </cell>
          <cell r="S317">
            <v>59.9</v>
          </cell>
          <cell r="T317">
            <v>0.89582637729549242</v>
          </cell>
          <cell r="U317">
            <v>46.386559999999996</v>
          </cell>
          <cell r="V317">
            <v>0.86547827646628672</v>
          </cell>
          <cell r="W317">
            <v>47.92</v>
          </cell>
          <cell r="X317">
            <v>0.8</v>
          </cell>
          <cell r="Y317">
            <v>0</v>
          </cell>
          <cell r="Z317">
            <v>0</v>
          </cell>
          <cell r="AA317">
            <v>58</v>
          </cell>
          <cell r="AB317">
            <v>48</v>
          </cell>
          <cell r="AC317">
            <v>54</v>
          </cell>
          <cell r="AD317">
            <v>57</v>
          </cell>
          <cell r="AE317">
            <v>59.16</v>
          </cell>
          <cell r="AF317">
            <v>0.18999323867478018</v>
          </cell>
          <cell r="AG317">
            <v>0.89452332657200806</v>
          </cell>
          <cell r="AH317">
            <v>67</v>
          </cell>
          <cell r="AI317">
            <v>73</v>
          </cell>
          <cell r="AJ317">
            <v>0.34356164383561644</v>
          </cell>
          <cell r="AK317">
            <v>79.5</v>
          </cell>
          <cell r="AL317">
            <v>86</v>
          </cell>
          <cell r="AM317">
            <v>0.44279069767441859</v>
          </cell>
          <cell r="AN317">
            <v>86</v>
          </cell>
          <cell r="AO317">
            <v>86</v>
          </cell>
          <cell r="AP317">
            <v>86</v>
          </cell>
          <cell r="AQ317">
            <v>0</v>
          </cell>
          <cell r="AS317">
            <v>86</v>
          </cell>
        </row>
        <row r="318">
          <cell r="B318" t="str">
            <v>AC</v>
          </cell>
          <cell r="C318" t="str">
            <v>IMP</v>
          </cell>
          <cell r="D318" t="str">
            <v>BT</v>
          </cell>
          <cell r="E318" t="str">
            <v>08</v>
          </cell>
          <cell r="F318">
            <v>39924</v>
          </cell>
          <cell r="G318">
            <v>40001</v>
          </cell>
          <cell r="H318" t="str">
            <v>4623472</v>
          </cell>
          <cell r="I318" t="str">
            <v>3KMKKCMKIT1</v>
          </cell>
          <cell r="J318" t="str">
            <v>639-00214A</v>
          </cell>
          <cell r="K318" t="str">
            <v>Key Counter Mount Kit for Hecon Conventional Key Counter</v>
          </cell>
          <cell r="L318">
            <v>86</v>
          </cell>
          <cell r="M318">
            <v>26</v>
          </cell>
          <cell r="N318">
            <v>27.04</v>
          </cell>
          <cell r="O318">
            <v>0.43572621035058434</v>
          </cell>
          <cell r="P318">
            <v>47.92</v>
          </cell>
          <cell r="Q318">
            <v>27.56</v>
          </cell>
          <cell r="R318">
            <v>31.14</v>
          </cell>
          <cell r="S318">
            <v>59.9</v>
          </cell>
          <cell r="T318">
            <v>0.54858096828046743</v>
          </cell>
          <cell r="U318">
            <v>46.386559999999996</v>
          </cell>
          <cell r="V318">
            <v>0.41707253135390937</v>
          </cell>
          <cell r="W318">
            <v>47.92</v>
          </cell>
          <cell r="X318">
            <v>0.8</v>
          </cell>
          <cell r="AA318">
            <v>58</v>
          </cell>
          <cell r="AB318">
            <v>48</v>
          </cell>
          <cell r="AC318">
            <v>54</v>
          </cell>
          <cell r="AD318">
            <v>57</v>
          </cell>
          <cell r="AE318">
            <v>59.16</v>
          </cell>
          <cell r="AF318">
            <v>0.18999323867478018</v>
          </cell>
          <cell r="AG318">
            <v>0.54293441514536844</v>
          </cell>
          <cell r="AH318">
            <v>67</v>
          </cell>
          <cell r="AI318">
            <v>73</v>
          </cell>
          <cell r="AJ318">
            <v>0.34356164383561644</v>
          </cell>
          <cell r="AK318">
            <v>79.5</v>
          </cell>
          <cell r="AL318">
            <v>86</v>
          </cell>
          <cell r="AM318">
            <v>0.44279069767441859</v>
          </cell>
          <cell r="AN318">
            <v>86</v>
          </cell>
          <cell r="AO318">
            <v>86</v>
          </cell>
          <cell r="AP318">
            <v>86</v>
          </cell>
          <cell r="AQ318">
            <v>0</v>
          </cell>
          <cell r="AS318">
            <v>86</v>
          </cell>
        </row>
        <row r="319">
          <cell r="B319" t="str">
            <v>AC</v>
          </cell>
          <cell r="C319" t="str">
            <v>IMP</v>
          </cell>
          <cell r="D319" t="str">
            <v>BT</v>
          </cell>
          <cell r="E319" t="str">
            <v>08</v>
          </cell>
          <cell r="F319">
            <v>39924</v>
          </cell>
          <cell r="G319">
            <v>40001</v>
          </cell>
          <cell r="H319" t="str">
            <v>4623481</v>
          </cell>
          <cell r="I319" t="str">
            <v>3KMK4623481KCMK</v>
          </cell>
          <cell r="J319" t="str">
            <v>639-00215A</v>
          </cell>
          <cell r="K319" t="str">
            <v>Key Counter Attachment Kit (legacy Minolta)</v>
          </cell>
          <cell r="L319">
            <v>86</v>
          </cell>
          <cell r="M319">
            <v>41</v>
          </cell>
          <cell r="N319">
            <v>42.64</v>
          </cell>
          <cell r="O319">
            <v>0.11018363939899835</v>
          </cell>
          <cell r="P319">
            <v>47.92</v>
          </cell>
          <cell r="Q319">
            <v>43.46</v>
          </cell>
          <cell r="R319">
            <v>49.11</v>
          </cell>
          <cell r="S319">
            <v>59.9</v>
          </cell>
          <cell r="T319">
            <v>0.28814691151919863</v>
          </cell>
          <cell r="U319">
            <v>46.386559999999996</v>
          </cell>
          <cell r="V319">
            <v>8.0768222519626273E-2</v>
          </cell>
          <cell r="W319">
            <v>47.92</v>
          </cell>
          <cell r="X319">
            <v>0.8</v>
          </cell>
          <cell r="AA319">
            <v>58</v>
          </cell>
          <cell r="AB319">
            <v>48</v>
          </cell>
          <cell r="AC319">
            <v>54</v>
          </cell>
          <cell r="AD319">
            <v>57</v>
          </cell>
          <cell r="AE319">
            <v>59.16</v>
          </cell>
          <cell r="AF319">
            <v>0.18999323867478018</v>
          </cell>
          <cell r="AG319">
            <v>0.2792427315753887</v>
          </cell>
          <cell r="AH319">
            <v>67</v>
          </cell>
          <cell r="AI319">
            <v>73</v>
          </cell>
          <cell r="AJ319">
            <v>0.34356164383561644</v>
          </cell>
          <cell r="AK319">
            <v>79.5</v>
          </cell>
          <cell r="AL319">
            <v>86</v>
          </cell>
          <cell r="AM319">
            <v>0.44279069767441859</v>
          </cell>
          <cell r="AN319">
            <v>86</v>
          </cell>
          <cell r="AO319">
            <v>86</v>
          </cell>
          <cell r="AP319">
            <v>86</v>
          </cell>
          <cell r="AQ319">
            <v>0</v>
          </cell>
          <cell r="AS319">
            <v>86</v>
          </cell>
        </row>
        <row r="320">
          <cell r="B320" t="str">
            <v>AC</v>
          </cell>
          <cell r="C320" t="str">
            <v>IMP</v>
          </cell>
          <cell r="D320" t="str">
            <v>BT</v>
          </cell>
          <cell r="E320" t="str">
            <v>08</v>
          </cell>
          <cell r="F320">
            <v>39924</v>
          </cell>
          <cell r="G320">
            <v>40001</v>
          </cell>
          <cell r="H320" t="str">
            <v>4625187</v>
          </cell>
          <cell r="I320" t="str">
            <v>3KMHOC504</v>
          </cell>
          <cell r="J320" t="str">
            <v>639-00228A</v>
          </cell>
          <cell r="K320" t="str">
            <v>OC-504 Original Cover</v>
          </cell>
          <cell r="L320">
            <v>87</v>
          </cell>
          <cell r="M320">
            <v>34</v>
          </cell>
          <cell r="N320">
            <v>35.36</v>
          </cell>
          <cell r="O320">
            <v>9.7959183673469466E-2</v>
          </cell>
          <cell r="P320">
            <v>39.200000000000003</v>
          </cell>
          <cell r="Q320">
            <v>36.04</v>
          </cell>
          <cell r="R320">
            <v>40.729999999999997</v>
          </cell>
          <cell r="S320">
            <v>49</v>
          </cell>
          <cell r="T320">
            <v>0.27836734693877552</v>
          </cell>
          <cell r="U320">
            <v>37.945599999999999</v>
          </cell>
          <cell r="V320">
            <v>6.8139652555236963E-2</v>
          </cell>
          <cell r="W320">
            <v>39.200000000000003</v>
          </cell>
          <cell r="X320">
            <v>0.8</v>
          </cell>
          <cell r="AA320">
            <v>47</v>
          </cell>
          <cell r="AB320">
            <v>40</v>
          </cell>
          <cell r="AC320">
            <v>44</v>
          </cell>
          <cell r="AD320">
            <v>47</v>
          </cell>
          <cell r="AE320">
            <v>48.4</v>
          </cell>
          <cell r="AF320">
            <v>0.1900826446280991</v>
          </cell>
          <cell r="AG320">
            <v>0.26942148760330575</v>
          </cell>
          <cell r="AH320">
            <v>55</v>
          </cell>
          <cell r="AI320">
            <v>60</v>
          </cell>
          <cell r="AJ320">
            <v>0.34666666666666662</v>
          </cell>
          <cell r="AK320">
            <v>65</v>
          </cell>
          <cell r="AL320">
            <v>70</v>
          </cell>
          <cell r="AM320">
            <v>0.43999999999999995</v>
          </cell>
          <cell r="AN320">
            <v>74.25</v>
          </cell>
          <cell r="AO320">
            <v>78.5</v>
          </cell>
          <cell r="AP320">
            <v>82.75</v>
          </cell>
          <cell r="AQ320">
            <v>0</v>
          </cell>
          <cell r="AS320">
            <v>87</v>
          </cell>
        </row>
        <row r="321">
          <cell r="B321" t="str">
            <v>AC</v>
          </cell>
          <cell r="C321" t="str">
            <v>IMP</v>
          </cell>
          <cell r="D321" t="str">
            <v>BT</v>
          </cell>
          <cell r="E321" t="str">
            <v>P3</v>
          </cell>
          <cell r="F321">
            <v>39924</v>
          </cell>
          <cell r="G321">
            <v>40001</v>
          </cell>
          <cell r="H321" t="str">
            <v>4625241</v>
          </cell>
          <cell r="I321" t="str">
            <v>3KMCOT601OPT</v>
          </cell>
          <cell r="J321" t="str">
            <v>639-00231A</v>
          </cell>
          <cell r="K321" t="str">
            <v xml:space="preserve">OT-601 Output Tray  </v>
          </cell>
          <cell r="L321">
            <v>53</v>
          </cell>
          <cell r="M321">
            <v>15</v>
          </cell>
          <cell r="N321">
            <v>15.600000000000001</v>
          </cell>
          <cell r="O321">
            <v>-0.17647058823529407</v>
          </cell>
          <cell r="P321">
            <v>13.260000000000002</v>
          </cell>
          <cell r="Q321">
            <v>15.9</v>
          </cell>
          <cell r="R321">
            <v>17.97</v>
          </cell>
          <cell r="S321">
            <v>29.3</v>
          </cell>
          <cell r="T321">
            <v>0.46757679180887368</v>
          </cell>
          <cell r="U321">
            <v>22.689920000000001</v>
          </cell>
          <cell r="V321">
            <v>0.31247003074492985</v>
          </cell>
          <cell r="W321">
            <v>13.260000000000002</v>
          </cell>
          <cell r="X321">
            <v>0.45255972696245739</v>
          </cell>
          <cell r="AA321">
            <v>16</v>
          </cell>
          <cell r="AB321">
            <v>14</v>
          </cell>
          <cell r="AC321">
            <v>15</v>
          </cell>
          <cell r="AD321">
            <v>16</v>
          </cell>
          <cell r="AE321">
            <v>16.37</v>
          </cell>
          <cell r="AF321">
            <v>0.18998167379352471</v>
          </cell>
          <cell r="AG321">
            <v>4.7037263286499667E-2</v>
          </cell>
          <cell r="AH321">
            <v>18</v>
          </cell>
          <cell r="AI321">
            <v>18</v>
          </cell>
          <cell r="AJ321">
            <v>0.26333333333333325</v>
          </cell>
          <cell r="AK321">
            <v>18</v>
          </cell>
          <cell r="AL321">
            <v>18</v>
          </cell>
          <cell r="AM321">
            <v>0.26333333333333325</v>
          </cell>
          <cell r="AN321">
            <v>20.41</v>
          </cell>
          <cell r="AO321">
            <v>22.82</v>
          </cell>
          <cell r="AP321">
            <v>25.23</v>
          </cell>
          <cell r="AQ321">
            <v>0</v>
          </cell>
          <cell r="AS321">
            <v>53</v>
          </cell>
        </row>
        <row r="322">
          <cell r="B322" t="str">
            <v>AC</v>
          </cell>
          <cell r="C322" t="str">
            <v>IMP</v>
          </cell>
          <cell r="D322" t="str">
            <v>BT</v>
          </cell>
          <cell r="E322" t="str">
            <v>08</v>
          </cell>
          <cell r="F322">
            <v>39924</v>
          </cell>
          <cell r="G322">
            <v>40001</v>
          </cell>
          <cell r="H322" t="str">
            <v>4625246</v>
          </cell>
          <cell r="I322" t="str">
            <v>3KMCOT602OPT</v>
          </cell>
          <cell r="J322">
            <v>0</v>
          </cell>
          <cell r="K322" t="str">
            <v>OT-602 Additional Tray for FS-519/522/530</v>
          </cell>
          <cell r="L322">
            <v>53</v>
          </cell>
          <cell r="M322">
            <v>15</v>
          </cell>
          <cell r="N322">
            <v>15.600000000000001</v>
          </cell>
          <cell r="O322">
            <v>0.33447098976109213</v>
          </cell>
          <cell r="P322">
            <v>23.44</v>
          </cell>
          <cell r="Q322">
            <v>15.9</v>
          </cell>
          <cell r="R322">
            <v>17.97</v>
          </cell>
          <cell r="S322">
            <v>29.3</v>
          </cell>
          <cell r="T322">
            <v>0.46757679180887368</v>
          </cell>
          <cell r="U322">
            <v>22.689920000000001</v>
          </cell>
          <cell r="V322">
            <v>0.31247003074492985</v>
          </cell>
          <cell r="W322">
            <v>23.44</v>
          </cell>
          <cell r="X322">
            <v>0.8</v>
          </cell>
          <cell r="Y322">
            <v>0</v>
          </cell>
          <cell r="Z322">
            <v>0</v>
          </cell>
          <cell r="AA322">
            <v>28</v>
          </cell>
          <cell r="AB322">
            <v>24</v>
          </cell>
          <cell r="AC322">
            <v>27</v>
          </cell>
          <cell r="AD322">
            <v>28</v>
          </cell>
          <cell r="AE322">
            <v>28.94</v>
          </cell>
          <cell r="AF322">
            <v>0.19004837595024188</v>
          </cell>
          <cell r="AG322">
            <v>0.46095369730476848</v>
          </cell>
          <cell r="AH322">
            <v>33</v>
          </cell>
          <cell r="AI322">
            <v>36</v>
          </cell>
          <cell r="AJ322">
            <v>0.34888888888888886</v>
          </cell>
          <cell r="AK322">
            <v>39</v>
          </cell>
          <cell r="AL322">
            <v>42</v>
          </cell>
          <cell r="AM322">
            <v>0.44190476190476186</v>
          </cell>
          <cell r="AN322">
            <v>44.75</v>
          </cell>
          <cell r="AO322">
            <v>47.5</v>
          </cell>
          <cell r="AP322">
            <v>50.25</v>
          </cell>
          <cell r="AQ322">
            <v>0</v>
          </cell>
          <cell r="AS322">
            <v>53</v>
          </cell>
        </row>
        <row r="323">
          <cell r="B323" t="str">
            <v>AC</v>
          </cell>
          <cell r="C323" t="str">
            <v>IMP</v>
          </cell>
          <cell r="D323" t="str">
            <v>BT</v>
          </cell>
          <cell r="E323" t="str">
            <v>08</v>
          </cell>
          <cell r="F323">
            <v>39924</v>
          </cell>
          <cell r="G323">
            <v>40001</v>
          </cell>
          <cell r="H323" t="str">
            <v>4682730</v>
          </cell>
          <cell r="I323" t="str">
            <v>3KMHDK701</v>
          </cell>
          <cell r="J323">
            <v>0</v>
          </cell>
          <cell r="K323" t="str">
            <v>DK-701 Desk 3-Drawer Height</v>
          </cell>
          <cell r="L323">
            <v>218</v>
          </cell>
          <cell r="M323">
            <v>122</v>
          </cell>
          <cell r="N323">
            <v>126.88000000000001</v>
          </cell>
          <cell r="O323">
            <v>-1.1200232278690104E-16</v>
          </cell>
          <cell r="P323">
            <v>126.88</v>
          </cell>
          <cell r="Q323">
            <v>129.32</v>
          </cell>
          <cell r="R323">
            <v>146.13</v>
          </cell>
          <cell r="S323">
            <v>131.30000000000001</v>
          </cell>
          <cell r="T323">
            <v>3.3663366336633672E-2</v>
          </cell>
          <cell r="U323">
            <v>126.88000000000001</v>
          </cell>
          <cell r="V323">
            <v>0</v>
          </cell>
          <cell r="W323">
            <v>126.88</v>
          </cell>
          <cell r="X323">
            <v>0.9663366336633662</v>
          </cell>
          <cell r="Y323">
            <v>0</v>
          </cell>
          <cell r="Z323">
            <v>0</v>
          </cell>
          <cell r="AA323">
            <v>154</v>
          </cell>
          <cell r="AB323">
            <v>127</v>
          </cell>
          <cell r="AC323">
            <v>141</v>
          </cell>
          <cell r="AD323">
            <v>149</v>
          </cell>
          <cell r="AE323">
            <v>156.63999999999999</v>
          </cell>
          <cell r="AF323">
            <v>0.18998978549540343</v>
          </cell>
          <cell r="AG323">
            <v>0.18998978549540335</v>
          </cell>
          <cell r="AH323">
            <v>175</v>
          </cell>
          <cell r="AI323">
            <v>192</v>
          </cell>
          <cell r="AJ323">
            <v>0.33916666666666667</v>
          </cell>
          <cell r="AK323">
            <v>209.5</v>
          </cell>
          <cell r="AL323">
            <v>227</v>
          </cell>
          <cell r="AM323">
            <v>0.44105726872246698</v>
          </cell>
          <cell r="AN323">
            <v>224.75</v>
          </cell>
          <cell r="AO323">
            <v>222.5</v>
          </cell>
          <cell r="AP323">
            <v>220.25</v>
          </cell>
          <cell r="AQ323">
            <v>0</v>
          </cell>
          <cell r="AS323">
            <v>218</v>
          </cell>
        </row>
        <row r="324">
          <cell r="B324" t="str">
            <v>AC</v>
          </cell>
          <cell r="C324" t="str">
            <v>IMP</v>
          </cell>
          <cell r="D324" t="str">
            <v>BT</v>
          </cell>
          <cell r="E324" t="str">
            <v>08</v>
          </cell>
          <cell r="F324">
            <v>39924</v>
          </cell>
          <cell r="G324">
            <v>40001</v>
          </cell>
          <cell r="H324" t="str">
            <v>4686621</v>
          </cell>
          <cell r="I324" t="str">
            <v>6KMPF502_N</v>
          </cell>
          <cell r="J324">
            <v>0</v>
          </cell>
          <cell r="K324" t="str">
            <v>PF-502 Paper Feed Cabinet (275 sheets), Up to 4 PF-502s can be equipped</v>
          </cell>
          <cell r="L324">
            <v>226</v>
          </cell>
          <cell r="M324">
            <v>82</v>
          </cell>
          <cell r="N324">
            <v>85.28</v>
          </cell>
          <cell r="O324">
            <v>0.15396825396825392</v>
          </cell>
          <cell r="P324">
            <v>100.8</v>
          </cell>
          <cell r="Q324">
            <v>86.92</v>
          </cell>
          <cell r="R324">
            <v>98.22</v>
          </cell>
          <cell r="S324">
            <v>126</v>
          </cell>
          <cell r="T324">
            <v>0.32317460317460317</v>
          </cell>
          <cell r="U324">
            <v>97.574399999999997</v>
          </cell>
          <cell r="V324">
            <v>0.12600026236389869</v>
          </cell>
          <cell r="W324">
            <v>100.8</v>
          </cell>
          <cell r="X324">
            <v>0.79999999999999993</v>
          </cell>
          <cell r="Y324">
            <v>0</v>
          </cell>
          <cell r="Z324">
            <v>0</v>
          </cell>
          <cell r="AA324">
            <v>122</v>
          </cell>
          <cell r="AB324">
            <v>101</v>
          </cell>
          <cell r="AC324">
            <v>112</v>
          </cell>
          <cell r="AD324">
            <v>119</v>
          </cell>
          <cell r="AE324">
            <v>124.44</v>
          </cell>
          <cell r="AF324">
            <v>0.18997107039537128</v>
          </cell>
          <cell r="AG324">
            <v>0.31468981035036964</v>
          </cell>
          <cell r="AH324">
            <v>139</v>
          </cell>
          <cell r="AI324">
            <v>153</v>
          </cell>
          <cell r="AJ324">
            <v>0.3411764705882353</v>
          </cell>
          <cell r="AK324">
            <v>166.5</v>
          </cell>
          <cell r="AL324">
            <v>180</v>
          </cell>
          <cell r="AM324">
            <v>0.44</v>
          </cell>
          <cell r="AN324">
            <v>191.5</v>
          </cell>
          <cell r="AO324">
            <v>203</v>
          </cell>
          <cell r="AP324">
            <v>214.5</v>
          </cell>
          <cell r="AQ324">
            <v>0</v>
          </cell>
          <cell r="AS324">
            <v>226</v>
          </cell>
        </row>
        <row r="325">
          <cell r="B325" t="str">
            <v>AC</v>
          </cell>
          <cell r="C325" t="str">
            <v>IMP</v>
          </cell>
          <cell r="D325" t="str">
            <v>BT</v>
          </cell>
          <cell r="E325" t="str">
            <v>08</v>
          </cell>
          <cell r="F325">
            <v>39924</v>
          </cell>
          <cell r="G325">
            <v>40001</v>
          </cell>
          <cell r="H325" t="str">
            <v>4687621</v>
          </cell>
          <cell r="I325" t="str">
            <v>3KMCMB501</v>
          </cell>
          <cell r="J325">
            <v>0</v>
          </cell>
          <cell r="K325" t="str">
            <v>MB-501 Multi Bypass Tray</v>
          </cell>
          <cell r="L325">
            <v>153</v>
          </cell>
          <cell r="M325">
            <v>51</v>
          </cell>
          <cell r="N325">
            <v>53.04</v>
          </cell>
          <cell r="O325">
            <v>0.22</v>
          </cell>
          <cell r="P325">
            <v>68</v>
          </cell>
          <cell r="Q325">
            <v>54.06</v>
          </cell>
          <cell r="R325">
            <v>61.09</v>
          </cell>
          <cell r="S325">
            <v>85</v>
          </cell>
          <cell r="T325">
            <v>0.376</v>
          </cell>
          <cell r="U325">
            <v>65.823999999999998</v>
          </cell>
          <cell r="V325">
            <v>0.19421487603305784</v>
          </cell>
          <cell r="W325">
            <v>68</v>
          </cell>
          <cell r="X325">
            <v>0.8</v>
          </cell>
          <cell r="Y325">
            <v>0</v>
          </cell>
          <cell r="Z325">
            <v>0</v>
          </cell>
          <cell r="AA325">
            <v>82</v>
          </cell>
          <cell r="AB325">
            <v>68</v>
          </cell>
          <cell r="AC325">
            <v>76</v>
          </cell>
          <cell r="AD325">
            <v>80</v>
          </cell>
          <cell r="AE325">
            <v>83.95</v>
          </cell>
          <cell r="AF325">
            <v>0.18999404407385351</v>
          </cell>
          <cell r="AG325">
            <v>0.36819535437760575</v>
          </cell>
          <cell r="AH325">
            <v>94</v>
          </cell>
          <cell r="AI325">
            <v>103</v>
          </cell>
          <cell r="AJ325">
            <v>0.33980582524271846</v>
          </cell>
          <cell r="AK325">
            <v>112.5</v>
          </cell>
          <cell r="AL325">
            <v>122</v>
          </cell>
          <cell r="AM325">
            <v>0.44262295081967212</v>
          </cell>
          <cell r="AN325">
            <v>129.75</v>
          </cell>
          <cell r="AO325">
            <v>137.5</v>
          </cell>
          <cell r="AP325">
            <v>145.25</v>
          </cell>
          <cell r="AQ325">
            <v>0</v>
          </cell>
          <cell r="AS325">
            <v>153</v>
          </cell>
        </row>
        <row r="326">
          <cell r="B326" t="str">
            <v>AC</v>
          </cell>
          <cell r="C326" t="str">
            <v>IMP</v>
          </cell>
          <cell r="D326" t="str">
            <v>BT</v>
          </cell>
          <cell r="E326" t="str">
            <v>08</v>
          </cell>
          <cell r="F326">
            <v>39924</v>
          </cell>
          <cell r="G326">
            <v>40001</v>
          </cell>
          <cell r="H326" t="str">
            <v>4688621</v>
          </cell>
          <cell r="I326" t="str">
            <v>7KMADF502_N</v>
          </cell>
          <cell r="J326">
            <v>0</v>
          </cell>
          <cell r="K326" t="str">
            <v>DF-502 Automatic Document Feeder</v>
          </cell>
          <cell r="L326">
            <v>525</v>
          </cell>
          <cell r="M326">
            <v>168</v>
          </cell>
          <cell r="N326">
            <v>174.72</v>
          </cell>
          <cell r="O326">
            <v>0.18689501116902457</v>
          </cell>
          <cell r="P326">
            <v>214.88</v>
          </cell>
          <cell r="Q326">
            <v>178.08</v>
          </cell>
          <cell r="R326">
            <v>201.23</v>
          </cell>
          <cell r="S326">
            <v>268.60000000000002</v>
          </cell>
          <cell r="T326">
            <v>0.34951600893521972</v>
          </cell>
          <cell r="U326">
            <v>208.00384000000003</v>
          </cell>
          <cell r="V326">
            <v>0.16001550740601722</v>
          </cell>
          <cell r="W326">
            <v>214.88</v>
          </cell>
          <cell r="X326">
            <v>0.79999999999999993</v>
          </cell>
          <cell r="Y326">
            <v>0</v>
          </cell>
          <cell r="Z326">
            <v>0</v>
          </cell>
          <cell r="AA326">
            <v>260</v>
          </cell>
          <cell r="AB326">
            <v>215</v>
          </cell>
          <cell r="AC326">
            <v>239</v>
          </cell>
          <cell r="AD326">
            <v>253</v>
          </cell>
          <cell r="AE326">
            <v>265.27999999999997</v>
          </cell>
          <cell r="AF326">
            <v>0.18998793727382382</v>
          </cell>
          <cell r="AG326">
            <v>0.34137515078407715</v>
          </cell>
          <cell r="AH326">
            <v>296</v>
          </cell>
          <cell r="AI326">
            <v>325</v>
          </cell>
          <cell r="AJ326">
            <v>0.33883076923076927</v>
          </cell>
          <cell r="AK326">
            <v>354.5</v>
          </cell>
          <cell r="AL326">
            <v>384</v>
          </cell>
          <cell r="AM326">
            <v>0.44041666666666668</v>
          </cell>
          <cell r="AN326">
            <v>419.25</v>
          </cell>
          <cell r="AO326">
            <v>454.5</v>
          </cell>
          <cell r="AP326">
            <v>489.75</v>
          </cell>
          <cell r="AQ326">
            <v>0</v>
          </cell>
          <cell r="AS326">
            <v>525</v>
          </cell>
        </row>
        <row r="327">
          <cell r="B327" t="str">
            <v>AC</v>
          </cell>
          <cell r="C327" t="str">
            <v>IMP</v>
          </cell>
          <cell r="D327" t="str">
            <v>BT</v>
          </cell>
          <cell r="E327" t="str">
            <v>08</v>
          </cell>
          <cell r="F327">
            <v>39924</v>
          </cell>
          <cell r="G327">
            <v>40001</v>
          </cell>
          <cell r="H327" t="str">
            <v>4689621</v>
          </cell>
          <cell r="I327" t="str">
            <v>3KMCJS503</v>
          </cell>
          <cell r="J327">
            <v>0</v>
          </cell>
          <cell r="K327" t="str">
            <v>JS-503 Job Separator</v>
          </cell>
          <cell r="L327">
            <v>168</v>
          </cell>
          <cell r="M327">
            <v>51</v>
          </cell>
          <cell r="N327">
            <v>53.04</v>
          </cell>
          <cell r="O327">
            <v>0.25</v>
          </cell>
          <cell r="P327">
            <v>70.72</v>
          </cell>
          <cell r="Q327">
            <v>54.06</v>
          </cell>
          <cell r="R327">
            <v>61.09</v>
          </cell>
          <cell r="S327">
            <v>88.4</v>
          </cell>
          <cell r="T327">
            <v>0.4</v>
          </cell>
          <cell r="U327">
            <v>68.456960000000009</v>
          </cell>
          <cell r="V327">
            <v>0.22520661157024804</v>
          </cell>
          <cell r="W327">
            <v>70.72</v>
          </cell>
          <cell r="X327">
            <v>0.79999999999999993</v>
          </cell>
          <cell r="Y327">
            <v>0</v>
          </cell>
          <cell r="Z327">
            <v>0</v>
          </cell>
          <cell r="AA327">
            <v>86</v>
          </cell>
          <cell r="AB327">
            <v>71</v>
          </cell>
          <cell r="AC327">
            <v>79</v>
          </cell>
          <cell r="AD327">
            <v>84</v>
          </cell>
          <cell r="AE327">
            <v>87.31</v>
          </cell>
          <cell r="AF327">
            <v>0.19001259878593521</v>
          </cell>
          <cell r="AG327">
            <v>0.3925094490894514</v>
          </cell>
          <cell r="AH327">
            <v>98</v>
          </cell>
          <cell r="AI327">
            <v>108</v>
          </cell>
          <cell r="AJ327">
            <v>0.34518518518518521</v>
          </cell>
          <cell r="AK327">
            <v>117.5</v>
          </cell>
          <cell r="AL327">
            <v>127</v>
          </cell>
          <cell r="AM327">
            <v>0.44314960629921263</v>
          </cell>
          <cell r="AN327">
            <v>137.25</v>
          </cell>
          <cell r="AO327">
            <v>147.5</v>
          </cell>
          <cell r="AP327">
            <v>157.75</v>
          </cell>
          <cell r="AQ327">
            <v>0</v>
          </cell>
          <cell r="AS327">
            <v>168</v>
          </cell>
        </row>
        <row r="328">
          <cell r="B328" t="str">
            <v>AC</v>
          </cell>
          <cell r="C328" t="str">
            <v>IMP</v>
          </cell>
          <cell r="D328" t="str">
            <v>BT</v>
          </cell>
          <cell r="E328" t="str">
            <v>08</v>
          </cell>
          <cell r="F328">
            <v>39924</v>
          </cell>
          <cell r="G328">
            <v>40001</v>
          </cell>
          <cell r="H328" t="str">
            <v>4690621</v>
          </cell>
          <cell r="I328" t="str">
            <v>3KMCSF501</v>
          </cell>
          <cell r="J328">
            <v>0</v>
          </cell>
          <cell r="K328" t="str">
            <v>SF-501 Shift Tray</v>
          </cell>
          <cell r="L328">
            <v>252</v>
          </cell>
          <cell r="M328">
            <v>26</v>
          </cell>
          <cell r="N328">
            <v>27.04</v>
          </cell>
          <cell r="O328">
            <v>0.73939861218195835</v>
          </cell>
          <cell r="P328">
            <v>103.76</v>
          </cell>
          <cell r="Q328">
            <v>27.56</v>
          </cell>
          <cell r="R328">
            <v>31.14</v>
          </cell>
          <cell r="S328">
            <v>129.69999999999999</v>
          </cell>
          <cell r="T328">
            <v>0.79151888974556672</v>
          </cell>
          <cell r="U328">
            <v>100.43967999999998</v>
          </cell>
          <cell r="V328">
            <v>0.73078369027061818</v>
          </cell>
          <cell r="W328">
            <v>103.76</v>
          </cell>
          <cell r="X328">
            <v>0.80000000000000016</v>
          </cell>
          <cell r="Y328">
            <v>0</v>
          </cell>
          <cell r="Z328">
            <v>0</v>
          </cell>
          <cell r="AA328">
            <v>126</v>
          </cell>
          <cell r="AB328">
            <v>104</v>
          </cell>
          <cell r="AC328">
            <v>116</v>
          </cell>
          <cell r="AD328">
            <v>123</v>
          </cell>
          <cell r="AE328">
            <v>128.1</v>
          </cell>
          <cell r="AF328">
            <v>0.19000780640124895</v>
          </cell>
          <cell r="AG328">
            <v>0.78891491022638571</v>
          </cell>
          <cell r="AH328">
            <v>144</v>
          </cell>
          <cell r="AI328">
            <v>158</v>
          </cell>
          <cell r="AJ328">
            <v>0.3432911392405063</v>
          </cell>
          <cell r="AK328">
            <v>172</v>
          </cell>
          <cell r="AL328">
            <v>186</v>
          </cell>
          <cell r="AM328">
            <v>0.44215053763440859</v>
          </cell>
          <cell r="AN328">
            <v>202.5</v>
          </cell>
          <cell r="AO328">
            <v>219</v>
          </cell>
          <cell r="AP328">
            <v>235.5</v>
          </cell>
          <cell r="AQ328">
            <v>0</v>
          </cell>
          <cell r="AS328">
            <v>252</v>
          </cell>
        </row>
        <row r="329">
          <cell r="B329" t="str">
            <v>AC</v>
          </cell>
          <cell r="C329" t="str">
            <v>IMP</v>
          </cell>
          <cell r="D329" t="str">
            <v>BT</v>
          </cell>
          <cell r="E329" t="str">
            <v>08</v>
          </cell>
          <cell r="F329">
            <v>39924</v>
          </cell>
          <cell r="G329">
            <v>40001</v>
          </cell>
          <cell r="H329" t="str">
            <v>4968341</v>
          </cell>
          <cell r="I329" t="str">
            <v>3KMBUPBSW5U</v>
          </cell>
          <cell r="J329">
            <v>0</v>
          </cell>
          <cell r="K329" t="str">
            <v>Unimessage Pro</v>
          </cell>
          <cell r="L329">
            <v>420</v>
          </cell>
          <cell r="M329">
            <v>70.7</v>
          </cell>
          <cell r="N329">
            <v>73.528000000000006</v>
          </cell>
          <cell r="O329">
            <v>0.29408602150537627</v>
          </cell>
          <cell r="P329">
            <v>104.16</v>
          </cell>
          <cell r="Q329">
            <v>74.94</v>
          </cell>
          <cell r="R329">
            <v>84.68</v>
          </cell>
          <cell r="S329">
            <v>130.19999999999999</v>
          </cell>
          <cell r="T329">
            <v>0.435268817204301</v>
          </cell>
          <cell r="U329">
            <v>100.82687999999999</v>
          </cell>
          <cell r="V329">
            <v>0.27075002221629774</v>
          </cell>
          <cell r="W329">
            <v>104.16</v>
          </cell>
          <cell r="X329">
            <v>0.8</v>
          </cell>
          <cell r="Y329">
            <v>0</v>
          </cell>
          <cell r="Z329">
            <v>0</v>
          </cell>
          <cell r="AA329">
            <v>126</v>
          </cell>
          <cell r="AB329">
            <v>105</v>
          </cell>
          <cell r="AC329">
            <v>116</v>
          </cell>
          <cell r="AD329">
            <v>123</v>
          </cell>
          <cell r="AE329">
            <v>128.59</v>
          </cell>
          <cell r="AF329">
            <v>0.18998366902558525</v>
          </cell>
          <cell r="AG329">
            <v>0.42819814915623294</v>
          </cell>
          <cell r="AH329">
            <v>144</v>
          </cell>
          <cell r="AI329">
            <v>158</v>
          </cell>
          <cell r="AJ329">
            <v>0.34075949367088609</v>
          </cell>
          <cell r="AK329">
            <v>172</v>
          </cell>
          <cell r="AL329">
            <v>186</v>
          </cell>
          <cell r="AM329">
            <v>0.44</v>
          </cell>
          <cell r="AN329">
            <v>244.5</v>
          </cell>
          <cell r="AO329">
            <v>303</v>
          </cell>
          <cell r="AP329">
            <v>361.5</v>
          </cell>
          <cell r="AQ329">
            <v>0</v>
          </cell>
          <cell r="AS329">
            <v>420</v>
          </cell>
        </row>
        <row r="330">
          <cell r="B330" t="str">
            <v>AC</v>
          </cell>
          <cell r="C330" t="str">
            <v>IMP</v>
          </cell>
          <cell r="D330" t="str">
            <v>BT</v>
          </cell>
          <cell r="E330" t="str">
            <v>08</v>
          </cell>
          <cell r="F330">
            <v>39924</v>
          </cell>
          <cell r="G330">
            <v>40259</v>
          </cell>
          <cell r="H330" t="str">
            <v>7640001283</v>
          </cell>
          <cell r="I330" t="str">
            <v>DIS</v>
          </cell>
          <cell r="J330">
            <v>0</v>
          </cell>
          <cell r="K330" t="str">
            <v>DK-702 Desk 2-Drawer Height</v>
          </cell>
          <cell r="L330">
            <v>192</v>
          </cell>
          <cell r="M330">
            <v>107</v>
          </cell>
          <cell r="N330">
            <v>111.28</v>
          </cell>
          <cell r="O330">
            <v>0</v>
          </cell>
          <cell r="P330">
            <v>111.28</v>
          </cell>
          <cell r="Q330">
            <v>113.42</v>
          </cell>
          <cell r="R330">
            <v>128.16</v>
          </cell>
          <cell r="S330">
            <v>115.5</v>
          </cell>
          <cell r="T330">
            <v>3.6536796536796527E-2</v>
          </cell>
          <cell r="U330">
            <v>111.28</v>
          </cell>
          <cell r="V330">
            <v>0</v>
          </cell>
          <cell r="W330">
            <v>111.28</v>
          </cell>
          <cell r="X330">
            <v>0.96346320346320347</v>
          </cell>
          <cell r="Y330">
            <v>0</v>
          </cell>
          <cell r="Z330">
            <v>0</v>
          </cell>
          <cell r="AA330">
            <v>135</v>
          </cell>
          <cell r="AB330">
            <v>112</v>
          </cell>
          <cell r="AC330">
            <v>124</v>
          </cell>
          <cell r="AD330">
            <v>133</v>
          </cell>
          <cell r="AE330">
            <v>137.38</v>
          </cell>
          <cell r="AF330">
            <v>0.18998398602416652</v>
          </cell>
          <cell r="AG330">
            <v>0.18998398602416652</v>
          </cell>
          <cell r="AH330">
            <v>152</v>
          </cell>
          <cell r="AI330">
            <v>165</v>
          </cell>
          <cell r="AJ330">
            <v>0.32557575757575757</v>
          </cell>
          <cell r="AK330">
            <v>178.5</v>
          </cell>
          <cell r="AL330">
            <v>192</v>
          </cell>
          <cell r="AM330">
            <v>0.42041666666666666</v>
          </cell>
          <cell r="AN330">
            <v>192</v>
          </cell>
          <cell r="AO330">
            <v>192</v>
          </cell>
          <cell r="AP330">
            <v>192</v>
          </cell>
          <cell r="AQ330">
            <v>0</v>
          </cell>
          <cell r="AS330">
            <v>192</v>
          </cell>
        </row>
        <row r="331">
          <cell r="B331" t="str">
            <v>AC</v>
          </cell>
          <cell r="C331" t="str">
            <v>IMP</v>
          </cell>
          <cell r="D331" t="str">
            <v>BT</v>
          </cell>
          <cell r="E331" t="str">
            <v>08</v>
          </cell>
          <cell r="F331">
            <v>39924</v>
          </cell>
          <cell r="G331">
            <v>40001</v>
          </cell>
          <cell r="H331" t="str">
            <v>7640001821</v>
          </cell>
          <cell r="I331" t="str">
            <v>3KMHHD50440GHDD</v>
          </cell>
          <cell r="J331">
            <v>0</v>
          </cell>
          <cell r="K331" t="str">
            <v>HD-504 Hard Disk Drive</v>
          </cell>
          <cell r="L331">
            <v>567</v>
          </cell>
          <cell r="M331">
            <v>214</v>
          </cell>
          <cell r="N331">
            <v>222.56</v>
          </cell>
          <cell r="O331">
            <v>0.12844611528822059</v>
          </cell>
          <cell r="P331">
            <v>255.36</v>
          </cell>
          <cell r="Q331">
            <v>226.84</v>
          </cell>
          <cell r="R331">
            <v>256.33</v>
          </cell>
          <cell r="S331">
            <v>319.2</v>
          </cell>
          <cell r="T331">
            <v>0.30275689223057639</v>
          </cell>
          <cell r="U331">
            <v>247.18847999999997</v>
          </cell>
          <cell r="V331">
            <v>9.9634416620062435E-2</v>
          </cell>
          <cell r="W331">
            <v>255.36</v>
          </cell>
          <cell r="X331">
            <v>0.8</v>
          </cell>
          <cell r="Y331">
            <v>0</v>
          </cell>
          <cell r="Z331">
            <v>0</v>
          </cell>
          <cell r="AA331">
            <v>309</v>
          </cell>
          <cell r="AB331">
            <v>256</v>
          </cell>
          <cell r="AC331">
            <v>284</v>
          </cell>
          <cell r="AD331">
            <v>300</v>
          </cell>
          <cell r="AE331">
            <v>315.26</v>
          </cell>
          <cell r="AF331">
            <v>0.19000190319101687</v>
          </cell>
          <cell r="AG331">
            <v>0.2940430121169828</v>
          </cell>
          <cell r="AH331">
            <v>351</v>
          </cell>
          <cell r="AI331">
            <v>386</v>
          </cell>
          <cell r="AJ331">
            <v>0.33844559585492223</v>
          </cell>
          <cell r="AK331">
            <v>421</v>
          </cell>
          <cell r="AL331">
            <v>456</v>
          </cell>
          <cell r="AM331">
            <v>0.43999999999999995</v>
          </cell>
          <cell r="AN331">
            <v>483.75</v>
          </cell>
          <cell r="AO331">
            <v>511.5</v>
          </cell>
          <cell r="AP331">
            <v>539.25</v>
          </cell>
          <cell r="AQ331">
            <v>0</v>
          </cell>
          <cell r="AS331">
            <v>567</v>
          </cell>
        </row>
        <row r="332">
          <cell r="B332" t="str">
            <v>AC</v>
          </cell>
          <cell r="C332" t="str">
            <v>IMP</v>
          </cell>
          <cell r="D332" t="str">
            <v>BT</v>
          </cell>
          <cell r="E332" t="str">
            <v>DLR</v>
          </cell>
          <cell r="F332">
            <v>39924</v>
          </cell>
          <cell r="G332">
            <v>40001</v>
          </cell>
          <cell r="H332" t="str">
            <v>1418X002</v>
          </cell>
          <cell r="I332" t="str">
            <v>3KMBUPI5USER</v>
          </cell>
          <cell r="J332">
            <v>0</v>
          </cell>
          <cell r="K332" t="str">
            <v>Unimessage Pro I-netportal 5 user package</v>
          </cell>
          <cell r="L332">
            <v>725</v>
          </cell>
          <cell r="M332">
            <v>158.4</v>
          </cell>
          <cell r="N332">
            <v>164.73600000000002</v>
          </cell>
          <cell r="O332">
            <v>0.21940864291129633</v>
          </cell>
          <cell r="P332">
            <v>211.04</v>
          </cell>
          <cell r="Q332">
            <v>167.9</v>
          </cell>
          <cell r="R332">
            <v>189.73</v>
          </cell>
          <cell r="S332">
            <v>263.8</v>
          </cell>
          <cell r="T332">
            <v>0.37552691432903712</v>
          </cell>
          <cell r="U332">
            <v>204.28672</v>
          </cell>
          <cell r="V332">
            <v>0.19360396994968632</v>
          </cell>
          <cell r="W332">
            <v>211.04</v>
          </cell>
          <cell r="X332">
            <v>0.79999999999999993</v>
          </cell>
          <cell r="Y332">
            <v>0</v>
          </cell>
          <cell r="Z332">
            <v>0</v>
          </cell>
          <cell r="AA332">
            <v>255</v>
          </cell>
          <cell r="AB332">
            <v>212</v>
          </cell>
          <cell r="AC332">
            <v>235</v>
          </cell>
          <cell r="AD332">
            <v>248</v>
          </cell>
          <cell r="AE332">
            <v>260.54000000000002</v>
          </cell>
          <cell r="AF332">
            <v>0.18999002072618418</v>
          </cell>
          <cell r="AG332">
            <v>0.36771321102325938</v>
          </cell>
          <cell r="AH332">
            <v>290</v>
          </cell>
          <cell r="AI332">
            <v>319</v>
          </cell>
          <cell r="AJ332">
            <v>0.33843260188087776</v>
          </cell>
          <cell r="AK332">
            <v>348</v>
          </cell>
          <cell r="AL332">
            <v>377</v>
          </cell>
          <cell r="AM332">
            <v>0.44021220159151198</v>
          </cell>
          <cell r="AN332">
            <v>464</v>
          </cell>
          <cell r="AO332">
            <v>551</v>
          </cell>
          <cell r="AP332">
            <v>638</v>
          </cell>
          <cell r="AQ332">
            <v>0</v>
          </cell>
          <cell r="AS332">
            <v>725</v>
          </cell>
        </row>
        <row r="333">
          <cell r="B333" t="str">
            <v>AC</v>
          </cell>
          <cell r="C333" t="str">
            <v>IMP</v>
          </cell>
          <cell r="D333" t="str">
            <v>BT</v>
          </cell>
          <cell r="E333" t="str">
            <v>P3</v>
          </cell>
          <cell r="F333">
            <v>39924</v>
          </cell>
          <cell r="G333">
            <v>40001</v>
          </cell>
          <cell r="H333" t="str">
            <v>15AE</v>
          </cell>
          <cell r="I333" t="str">
            <v>6KMFS503STFIN_N</v>
          </cell>
          <cell r="J333" t="str">
            <v>x</v>
          </cell>
          <cell r="K333" t="str">
            <v>FS-503 100 Sheet Stapling Finisher</v>
          </cell>
          <cell r="L333">
            <v>7140</v>
          </cell>
          <cell r="M333">
            <v>2356</v>
          </cell>
          <cell r="N333">
            <v>2450.2400000000002</v>
          </cell>
          <cell r="O333">
            <v>-0.17647058823529413</v>
          </cell>
          <cell r="P333">
            <v>2082.7040000000002</v>
          </cell>
          <cell r="Q333">
            <v>2497.36</v>
          </cell>
          <cell r="R333">
            <v>2822.02</v>
          </cell>
          <cell r="S333">
            <v>3595.4</v>
          </cell>
          <cell r="T333">
            <v>0.31850698114257103</v>
          </cell>
          <cell r="U333">
            <v>2784.2777599999999</v>
          </cell>
          <cell r="V333">
            <v>0.11997285788038609</v>
          </cell>
          <cell r="W333">
            <v>2082.7040000000002</v>
          </cell>
          <cell r="X333">
            <v>0.57926906602881467</v>
          </cell>
          <cell r="Y333">
            <v>0</v>
          </cell>
          <cell r="Z333">
            <v>0</v>
          </cell>
          <cell r="AA333">
            <v>2520</v>
          </cell>
          <cell r="AB333">
            <v>2083</v>
          </cell>
          <cell r="AC333">
            <v>2315</v>
          </cell>
          <cell r="AD333">
            <v>2444</v>
          </cell>
          <cell r="AE333">
            <v>2571.2399999999998</v>
          </cell>
          <cell r="AF333">
            <v>0.19000015556696367</v>
          </cell>
          <cell r="AG333">
            <v>4.7059006549369002E-2</v>
          </cell>
          <cell r="AH333">
            <v>2624</v>
          </cell>
          <cell r="AI333">
            <v>2675</v>
          </cell>
          <cell r="AJ333">
            <v>0.22141906542056067</v>
          </cell>
          <cell r="AK333">
            <v>2726</v>
          </cell>
          <cell r="AL333">
            <v>2777</v>
          </cell>
          <cell r="AM333">
            <v>0.25001656463809863</v>
          </cell>
          <cell r="AN333">
            <v>3167.49</v>
          </cell>
          <cell r="AO333">
            <v>3557.98</v>
          </cell>
          <cell r="AP333">
            <v>3948.47</v>
          </cell>
          <cell r="AQ333">
            <v>0</v>
          </cell>
          <cell r="AS333">
            <v>7140</v>
          </cell>
        </row>
        <row r="334">
          <cell r="B334" t="str">
            <v>AC</v>
          </cell>
          <cell r="C334" t="str">
            <v>IMP</v>
          </cell>
          <cell r="D334" t="str">
            <v>BT</v>
          </cell>
          <cell r="E334" t="str">
            <v>P3</v>
          </cell>
          <cell r="F334">
            <v>39924</v>
          </cell>
          <cell r="G334">
            <v>40001</v>
          </cell>
          <cell r="H334" t="str">
            <v>15AM</v>
          </cell>
          <cell r="I334" t="str">
            <v>6KMLS5015KSTK_N</v>
          </cell>
          <cell r="J334" t="str">
            <v>x</v>
          </cell>
          <cell r="K334" t="str">
            <v>LS-501 5000 Sheet Stacker</v>
          </cell>
          <cell r="L334">
            <v>17325</v>
          </cell>
          <cell r="M334">
            <v>6732</v>
          </cell>
          <cell r="N334">
            <v>7001.2800000000007</v>
          </cell>
          <cell r="O334">
            <v>-0.1764705882352941</v>
          </cell>
          <cell r="P334">
            <v>5951.0880000000006</v>
          </cell>
          <cell r="Q334">
            <v>7135.92</v>
          </cell>
          <cell r="R334">
            <v>8063.59</v>
          </cell>
          <cell r="S334">
            <v>9360.1</v>
          </cell>
          <cell r="T334">
            <v>0.25200799136761354</v>
          </cell>
          <cell r="U334">
            <v>8049.6860000000006</v>
          </cell>
          <cell r="V334">
            <v>0.13024185042745764</v>
          </cell>
          <cell r="W334">
            <v>5951.0880000000006</v>
          </cell>
          <cell r="X334">
            <v>0.63579320733752853</v>
          </cell>
          <cell r="Y334">
            <v>0</v>
          </cell>
          <cell r="Z334">
            <v>0</v>
          </cell>
          <cell r="AA334">
            <v>7200</v>
          </cell>
          <cell r="AB334">
            <v>5952</v>
          </cell>
          <cell r="AC334">
            <v>6613</v>
          </cell>
          <cell r="AD334">
            <v>6981</v>
          </cell>
          <cell r="AE334">
            <v>7347.02</v>
          </cell>
          <cell r="AF334">
            <v>0.18999975500270855</v>
          </cell>
          <cell r="AG334">
            <v>4.705853529730418E-2</v>
          </cell>
          <cell r="AH334">
            <v>7495</v>
          </cell>
          <cell r="AI334">
            <v>7642</v>
          </cell>
          <cell r="AJ334">
            <v>0.22126563726773088</v>
          </cell>
          <cell r="AK334">
            <v>7788.5</v>
          </cell>
          <cell r="AL334">
            <v>7935</v>
          </cell>
          <cell r="AM334">
            <v>0.25002041587901691</v>
          </cell>
          <cell r="AN334">
            <v>9050.7800000000007</v>
          </cell>
          <cell r="AO334">
            <v>10166.56</v>
          </cell>
          <cell r="AP334">
            <v>11282.34</v>
          </cell>
          <cell r="AQ334">
            <v>0</v>
          </cell>
          <cell r="AS334">
            <v>17325</v>
          </cell>
        </row>
        <row r="335">
          <cell r="B335" t="str">
            <v>AC</v>
          </cell>
          <cell r="C335" t="str">
            <v>IMP</v>
          </cell>
          <cell r="D335" t="str">
            <v>BT</v>
          </cell>
          <cell r="E335" t="str">
            <v>P3</v>
          </cell>
          <cell r="F335">
            <v>39924</v>
          </cell>
          <cell r="G335">
            <v>40001</v>
          </cell>
          <cell r="H335" t="str">
            <v>15AQ</v>
          </cell>
          <cell r="I335" t="str">
            <v>6KMSD501SSBM_N</v>
          </cell>
          <cell r="J335" t="str">
            <v>x</v>
          </cell>
          <cell r="K335" t="str">
            <v>SD-501 Saddle-Stitch Booklet Maker</v>
          </cell>
          <cell r="L335">
            <v>26250</v>
          </cell>
          <cell r="M335">
            <v>9384</v>
          </cell>
          <cell r="N335">
            <v>9759.36</v>
          </cell>
          <cell r="O335">
            <v>-0.17647058823529416</v>
          </cell>
          <cell r="P335">
            <v>8295.4560000000001</v>
          </cell>
          <cell r="Q335">
            <v>9947.0400000000009</v>
          </cell>
          <cell r="R335">
            <v>11240.16</v>
          </cell>
          <cell r="S335">
            <v>13566.5</v>
          </cell>
          <cell r="T335">
            <v>0.28062801754321304</v>
          </cell>
          <cell r="U335">
            <v>10505.8976</v>
          </cell>
          <cell r="V335">
            <v>7.1058906951463108E-2</v>
          </cell>
          <cell r="W335">
            <v>8295.4560000000001</v>
          </cell>
          <cell r="X335">
            <v>0.61146618508826889</v>
          </cell>
          <cell r="Y335">
            <v>0</v>
          </cell>
          <cell r="Z335">
            <v>0</v>
          </cell>
          <cell r="AA335">
            <v>10036</v>
          </cell>
          <cell r="AB335">
            <v>8296</v>
          </cell>
          <cell r="AC335">
            <v>9218</v>
          </cell>
          <cell r="AD335">
            <v>9730</v>
          </cell>
          <cell r="AE335">
            <v>10241.299999999999</v>
          </cell>
          <cell r="AF335">
            <v>0.18999970706843849</v>
          </cell>
          <cell r="AG335">
            <v>4.7058478904045263E-2</v>
          </cell>
          <cell r="AH335">
            <v>10447</v>
          </cell>
          <cell r="AI335">
            <v>10652</v>
          </cell>
          <cell r="AJ335">
            <v>0.22123019151333082</v>
          </cell>
          <cell r="AK335">
            <v>10856.5</v>
          </cell>
          <cell r="AL335">
            <v>11061</v>
          </cell>
          <cell r="AM335">
            <v>0.2500265798752373</v>
          </cell>
          <cell r="AN335">
            <v>12616.3</v>
          </cell>
          <cell r="AO335">
            <v>14171.6</v>
          </cell>
          <cell r="AP335">
            <v>15726.9</v>
          </cell>
          <cell r="AQ335">
            <v>0</v>
          </cell>
          <cell r="AS335">
            <v>26250</v>
          </cell>
        </row>
        <row r="336">
          <cell r="B336" t="str">
            <v>AC</v>
          </cell>
          <cell r="C336" t="str">
            <v>IMP</v>
          </cell>
          <cell r="D336" t="str">
            <v>BT</v>
          </cell>
          <cell r="E336" t="str">
            <v>P3</v>
          </cell>
          <cell r="F336">
            <v>39924</v>
          </cell>
          <cell r="G336">
            <v>40001</v>
          </cell>
          <cell r="H336" t="str">
            <v>15AW</v>
          </cell>
          <cell r="I336" t="str">
            <v>6KMLS5025KSTK_N</v>
          </cell>
          <cell r="J336" t="str">
            <v>x</v>
          </cell>
          <cell r="K336" t="str">
            <v>LS-502 5000 Sheet Stacker</v>
          </cell>
          <cell r="L336">
            <v>17325</v>
          </cell>
          <cell r="M336">
            <v>6732</v>
          </cell>
          <cell r="N336">
            <v>7001.2800000000007</v>
          </cell>
          <cell r="O336">
            <v>-0.1764705882352941</v>
          </cell>
          <cell r="P336">
            <v>5951.0880000000006</v>
          </cell>
          <cell r="Q336">
            <v>7135.92</v>
          </cell>
          <cell r="R336">
            <v>8063.59</v>
          </cell>
          <cell r="S336">
            <v>9360.1</v>
          </cell>
          <cell r="T336">
            <v>0.25200799136761354</v>
          </cell>
          <cell r="U336">
            <v>8049.6860000000006</v>
          </cell>
          <cell r="V336">
            <v>0.13024185042745764</v>
          </cell>
          <cell r="W336">
            <v>5951.0880000000006</v>
          </cell>
          <cell r="X336">
            <v>0.63579320733752853</v>
          </cell>
          <cell r="Y336">
            <v>0</v>
          </cell>
          <cell r="Z336">
            <v>0</v>
          </cell>
          <cell r="AA336">
            <v>7200</v>
          </cell>
          <cell r="AB336">
            <v>5952</v>
          </cell>
          <cell r="AC336">
            <v>6613</v>
          </cell>
          <cell r="AD336">
            <v>6981</v>
          </cell>
          <cell r="AE336">
            <v>7347.02</v>
          </cell>
          <cell r="AF336">
            <v>0.18999975500270855</v>
          </cell>
          <cell r="AG336">
            <v>4.705853529730418E-2</v>
          </cell>
          <cell r="AH336">
            <v>7495</v>
          </cell>
          <cell r="AI336">
            <v>7642</v>
          </cell>
          <cell r="AJ336">
            <v>0.22126563726773088</v>
          </cell>
          <cell r="AK336">
            <v>7788.5</v>
          </cell>
          <cell r="AL336">
            <v>7935</v>
          </cell>
          <cell r="AM336">
            <v>0.25002041587901691</v>
          </cell>
          <cell r="AN336">
            <v>9050.7800000000007</v>
          </cell>
          <cell r="AO336">
            <v>10166.56</v>
          </cell>
          <cell r="AP336">
            <v>11282.34</v>
          </cell>
          <cell r="AQ336">
            <v>0</v>
          </cell>
          <cell r="AS336">
            <v>17325</v>
          </cell>
        </row>
        <row r="337">
          <cell r="B337" t="str">
            <v>AC</v>
          </cell>
          <cell r="C337" t="str">
            <v>IMP</v>
          </cell>
          <cell r="D337" t="str">
            <v>BT</v>
          </cell>
          <cell r="E337" t="str">
            <v>P3</v>
          </cell>
          <cell r="F337">
            <v>39924</v>
          </cell>
          <cell r="G337">
            <v>40001</v>
          </cell>
          <cell r="H337" t="str">
            <v>15AZ</v>
          </cell>
          <cell r="I337" t="str">
            <v>3KMSLC501ALSCO_</v>
          </cell>
          <cell r="J337">
            <v>0</v>
          </cell>
          <cell r="K337" t="str">
            <v>LC-501 Optional Cart for LS</v>
          </cell>
          <cell r="L337">
            <v>840</v>
          </cell>
          <cell r="M337">
            <v>408</v>
          </cell>
          <cell r="N337">
            <v>424.32</v>
          </cell>
          <cell r="O337">
            <v>-0.17647058823529421</v>
          </cell>
          <cell r="P337">
            <v>360.67199999999997</v>
          </cell>
          <cell r="Q337">
            <v>432.48</v>
          </cell>
          <cell r="R337">
            <v>488.7</v>
          </cell>
          <cell r="S337">
            <v>586.70000000000005</v>
          </cell>
          <cell r="T337">
            <v>0.27676836543378225</v>
          </cell>
          <cell r="U337">
            <v>454.34048000000001</v>
          </cell>
          <cell r="V337">
            <v>6.6074852058086525E-2</v>
          </cell>
          <cell r="W337">
            <v>360.67199999999997</v>
          </cell>
          <cell r="X337">
            <v>0.61474688938128508</v>
          </cell>
          <cell r="Y337">
            <v>0</v>
          </cell>
          <cell r="Z337">
            <v>0</v>
          </cell>
          <cell r="AA337">
            <v>436</v>
          </cell>
          <cell r="AB337">
            <v>361</v>
          </cell>
          <cell r="AC337">
            <v>401</v>
          </cell>
          <cell r="AD337">
            <v>424</v>
          </cell>
          <cell r="AE337">
            <v>445.27</v>
          </cell>
          <cell r="AF337">
            <v>0.18999258876636652</v>
          </cell>
          <cell r="AG337">
            <v>4.7050104431019354E-2</v>
          </cell>
          <cell r="AH337">
            <v>455</v>
          </cell>
          <cell r="AI337">
            <v>464</v>
          </cell>
          <cell r="AJ337">
            <v>0.22268965517241385</v>
          </cell>
          <cell r="AK337">
            <v>472.5</v>
          </cell>
          <cell r="AL337">
            <v>481</v>
          </cell>
          <cell r="AM337">
            <v>0.25016216216216225</v>
          </cell>
          <cell r="AN337">
            <v>548.6</v>
          </cell>
          <cell r="AO337">
            <v>616.20000000000005</v>
          </cell>
          <cell r="AP337">
            <v>683.8</v>
          </cell>
          <cell r="AQ337">
            <v>0</v>
          </cell>
          <cell r="AS337">
            <v>840</v>
          </cell>
        </row>
        <row r="338">
          <cell r="B338" t="str">
            <v>AC</v>
          </cell>
          <cell r="C338" t="str">
            <v>IMP</v>
          </cell>
          <cell r="D338" t="str">
            <v>BT</v>
          </cell>
          <cell r="E338" t="str">
            <v>P3</v>
          </cell>
          <cell r="F338">
            <v>39924</v>
          </cell>
          <cell r="G338">
            <v>40001</v>
          </cell>
          <cell r="H338" t="str">
            <v>15BN</v>
          </cell>
          <cell r="I338" t="str">
            <v>6KMFD501MPP_N</v>
          </cell>
          <cell r="J338" t="str">
            <v>x</v>
          </cell>
          <cell r="K338" t="str">
            <v>FD-501 Multi-Folding/Punch/Post Inserter Unit</v>
          </cell>
          <cell r="L338">
            <v>17850</v>
          </cell>
          <cell r="M338">
            <v>5049</v>
          </cell>
          <cell r="N338">
            <v>5250.96</v>
          </cell>
          <cell r="O338">
            <v>-0.17647058823529418</v>
          </cell>
          <cell r="P338">
            <v>4463.3159999999998</v>
          </cell>
          <cell r="Q338">
            <v>5351.94</v>
          </cell>
          <cell r="R338">
            <v>6047.69</v>
          </cell>
          <cell r="S338">
            <v>8412.9</v>
          </cell>
          <cell r="T338">
            <v>0.37584423920407944</v>
          </cell>
          <cell r="U338">
            <v>6514.9497599999995</v>
          </cell>
          <cell r="V338">
            <v>0.19401373864163146</v>
          </cell>
          <cell r="W338">
            <v>4463.3159999999998</v>
          </cell>
          <cell r="X338">
            <v>0.53053239667653251</v>
          </cell>
          <cell r="AA338">
            <v>5400</v>
          </cell>
          <cell r="AB338">
            <v>4464</v>
          </cell>
          <cell r="AC338">
            <v>4960</v>
          </cell>
          <cell r="AD338">
            <v>5236</v>
          </cell>
          <cell r="AE338">
            <v>5510.27</v>
          </cell>
          <cell r="AF338">
            <v>0.19000048999413832</v>
          </cell>
          <cell r="AG338">
            <v>4.7059399993103858E-2</v>
          </cell>
          <cell r="AH338">
            <v>5622</v>
          </cell>
          <cell r="AI338">
            <v>5732</v>
          </cell>
          <cell r="AJ338">
            <v>0.22133356594556877</v>
          </cell>
          <cell r="AK338">
            <v>5842</v>
          </cell>
          <cell r="AL338">
            <v>5952</v>
          </cell>
          <cell r="AM338">
            <v>0.25011491935483876</v>
          </cell>
          <cell r="AN338">
            <v>6788.64</v>
          </cell>
          <cell r="AO338">
            <v>7625.28</v>
          </cell>
          <cell r="AP338">
            <v>8461.92</v>
          </cell>
          <cell r="AQ338">
            <v>0</v>
          </cell>
          <cell r="AS338">
            <v>17850</v>
          </cell>
        </row>
        <row r="339">
          <cell r="B339" t="str">
            <v>AC</v>
          </cell>
          <cell r="C339" t="str">
            <v>IMP</v>
          </cell>
          <cell r="D339" t="str">
            <v>BT</v>
          </cell>
          <cell r="E339" t="str">
            <v>P3</v>
          </cell>
          <cell r="F339">
            <v>39924</v>
          </cell>
          <cell r="G339">
            <v>40001</v>
          </cell>
          <cell r="H339" t="str">
            <v>15BY</v>
          </cell>
          <cell r="I339" t="str">
            <v>6KMPF701PFU_N</v>
          </cell>
          <cell r="J339" t="str">
            <v>x</v>
          </cell>
          <cell r="K339" t="str">
            <v>PF-701 Paper Feed Unit (2K x 3)</v>
          </cell>
          <cell r="L339">
            <v>6090</v>
          </cell>
          <cell r="M339">
            <v>1958</v>
          </cell>
          <cell r="N339">
            <v>2036.3200000000002</v>
          </cell>
          <cell r="O339">
            <v>-0.17647058823529416</v>
          </cell>
          <cell r="P339">
            <v>1730.8720000000001</v>
          </cell>
          <cell r="Q339">
            <v>2075.48</v>
          </cell>
          <cell r="R339">
            <v>2345.29</v>
          </cell>
          <cell r="S339">
            <v>3432.4</v>
          </cell>
          <cell r="T339">
            <v>0.40673581167696071</v>
          </cell>
          <cell r="U339">
            <v>2658.0505600000001</v>
          </cell>
          <cell r="V339">
            <v>0.23390471549194305</v>
          </cell>
          <cell r="W339">
            <v>1730.8720000000001</v>
          </cell>
          <cell r="X339">
            <v>0.50427456007458338</v>
          </cell>
          <cell r="AA339">
            <v>2094</v>
          </cell>
          <cell r="AB339">
            <v>1731</v>
          </cell>
          <cell r="AC339">
            <v>1924</v>
          </cell>
          <cell r="AD339">
            <v>2031</v>
          </cell>
          <cell r="AE339">
            <v>2136.88</v>
          </cell>
          <cell r="AF339">
            <v>0.19000037437759726</v>
          </cell>
          <cell r="AG339">
            <v>4.7059263973643788E-2</v>
          </cell>
          <cell r="AH339">
            <v>2180</v>
          </cell>
          <cell r="AI339">
            <v>2223</v>
          </cell>
          <cell r="AJ339">
            <v>0.22138011695906429</v>
          </cell>
          <cell r="AK339">
            <v>2265.5</v>
          </cell>
          <cell r="AL339">
            <v>2308</v>
          </cell>
          <cell r="AM339">
            <v>0.25005545927209705</v>
          </cell>
          <cell r="AN339">
            <v>2632.5</v>
          </cell>
          <cell r="AO339">
            <v>2957</v>
          </cell>
          <cell r="AP339">
            <v>3281.5</v>
          </cell>
          <cell r="AQ339">
            <v>0</v>
          </cell>
          <cell r="AS339">
            <v>6090</v>
          </cell>
        </row>
        <row r="340">
          <cell r="B340" t="str">
            <v>AC</v>
          </cell>
          <cell r="C340" t="str">
            <v>IMP</v>
          </cell>
          <cell r="D340" t="str">
            <v>BT</v>
          </cell>
          <cell r="E340" t="str">
            <v>p3</v>
          </cell>
          <cell r="F340">
            <v>39924</v>
          </cell>
          <cell r="G340">
            <v>40001</v>
          </cell>
          <cell r="H340" t="str">
            <v>15HS</v>
          </cell>
          <cell r="I340" t="str">
            <v>6KMLC501ALSCO_N</v>
          </cell>
          <cell r="J340" t="str">
            <v>L217</v>
          </cell>
          <cell r="K340" t="str">
            <v>LC-501 Optional Cart for LS</v>
          </cell>
          <cell r="L340">
            <v>840</v>
          </cell>
          <cell r="M340">
            <v>408</v>
          </cell>
          <cell r="N340">
            <v>424.32</v>
          </cell>
          <cell r="O340">
            <v>-0.17647058823529421</v>
          </cell>
          <cell r="P340">
            <v>360.67199999999997</v>
          </cell>
          <cell r="Q340">
            <v>432.48</v>
          </cell>
          <cell r="R340">
            <v>488.7</v>
          </cell>
          <cell r="S340">
            <v>586.70000000000005</v>
          </cell>
          <cell r="T340">
            <v>0.27676836543378225</v>
          </cell>
          <cell r="U340">
            <v>454.34048000000001</v>
          </cell>
          <cell r="V340">
            <v>6.6074852058086525E-2</v>
          </cell>
          <cell r="W340">
            <v>360.67199999999997</v>
          </cell>
          <cell r="X340">
            <v>0.61474688938128508</v>
          </cell>
          <cell r="AA340">
            <v>436</v>
          </cell>
          <cell r="AB340">
            <v>361</v>
          </cell>
          <cell r="AC340">
            <v>401</v>
          </cell>
          <cell r="AD340">
            <v>424</v>
          </cell>
          <cell r="AE340">
            <v>445.27</v>
          </cell>
          <cell r="AF340">
            <v>0.18999258876636652</v>
          </cell>
          <cell r="AG340">
            <v>4.7050104431019354E-2</v>
          </cell>
          <cell r="AH340">
            <v>455</v>
          </cell>
          <cell r="AI340">
            <v>464</v>
          </cell>
          <cell r="AJ340">
            <v>0.22268965517241385</v>
          </cell>
          <cell r="AK340">
            <v>472.5</v>
          </cell>
          <cell r="AL340">
            <v>481</v>
          </cell>
          <cell r="AM340">
            <v>0.25016216216216225</v>
          </cell>
          <cell r="AN340">
            <v>548.6</v>
          </cell>
          <cell r="AO340">
            <v>616.20000000000005</v>
          </cell>
          <cell r="AP340">
            <v>683.8</v>
          </cell>
          <cell r="AQ340">
            <v>0</v>
          </cell>
          <cell r="AS340">
            <v>840</v>
          </cell>
        </row>
        <row r="341">
          <cell r="B341" t="str">
            <v>AC</v>
          </cell>
          <cell r="C341" t="str">
            <v>IMP</v>
          </cell>
          <cell r="D341" t="str">
            <v>BT</v>
          </cell>
          <cell r="E341" t="str">
            <v>P3</v>
          </cell>
          <cell r="F341">
            <v>39924</v>
          </cell>
          <cell r="G341">
            <v>40001</v>
          </cell>
          <cell r="H341" t="str">
            <v>15JF</v>
          </cell>
          <cell r="I341" t="str">
            <v>6KMPI501MPI_N</v>
          </cell>
          <cell r="J341" t="str">
            <v>Package</v>
          </cell>
          <cell r="K341" t="str">
            <v>PI-501 Multi-post inserter</v>
          </cell>
          <cell r="L341">
            <v>1050</v>
          </cell>
          <cell r="M341">
            <v>362</v>
          </cell>
          <cell r="N341">
            <v>376.48</v>
          </cell>
          <cell r="O341">
            <v>-0.17647058823529424</v>
          </cell>
          <cell r="P341">
            <v>320.00799999999998</v>
          </cell>
          <cell r="Q341">
            <v>383.72</v>
          </cell>
          <cell r="R341">
            <v>433.6</v>
          </cell>
          <cell r="S341">
            <v>568.6</v>
          </cell>
          <cell r="T341">
            <v>0.33788251846640871</v>
          </cell>
          <cell r="U341">
            <v>440.32384000000002</v>
          </cell>
          <cell r="V341">
            <v>0.14499292157335836</v>
          </cell>
          <cell r="W341">
            <v>320.00799999999998</v>
          </cell>
          <cell r="X341">
            <v>0.56279985930355259</v>
          </cell>
          <cell r="AA341">
            <v>387</v>
          </cell>
          <cell r="AB341">
            <v>321</v>
          </cell>
          <cell r="AC341">
            <v>356</v>
          </cell>
          <cell r="AD341">
            <v>376</v>
          </cell>
          <cell r="AE341">
            <v>395.07</v>
          </cell>
          <cell r="AF341">
            <v>0.18999670944389604</v>
          </cell>
          <cell r="AG341">
            <v>4.705495228693643E-2</v>
          </cell>
          <cell r="AH341">
            <v>404</v>
          </cell>
          <cell r="AI341">
            <v>412</v>
          </cell>
          <cell r="AJ341">
            <v>0.2232815533980583</v>
          </cell>
          <cell r="AK341">
            <v>419.5</v>
          </cell>
          <cell r="AL341">
            <v>427</v>
          </cell>
          <cell r="AM341">
            <v>0.25056674473067919</v>
          </cell>
          <cell r="AN341">
            <v>486.92</v>
          </cell>
          <cell r="AO341">
            <v>546.84</v>
          </cell>
          <cell r="AP341">
            <v>606.76</v>
          </cell>
          <cell r="AQ341">
            <v>0</v>
          </cell>
          <cell r="AS341">
            <v>1050</v>
          </cell>
        </row>
        <row r="342">
          <cell r="B342" t="str">
            <v>AC</v>
          </cell>
          <cell r="C342" t="str">
            <v>IMP</v>
          </cell>
          <cell r="D342" t="str">
            <v>BT</v>
          </cell>
          <cell r="E342" t="str">
            <v>P3</v>
          </cell>
          <cell r="F342">
            <v>39924</v>
          </cell>
          <cell r="G342">
            <v>40001</v>
          </cell>
          <cell r="H342" t="str">
            <v>15JK</v>
          </cell>
          <cell r="I342" t="str">
            <v>6KMFS504MPSF_N</v>
          </cell>
          <cell r="J342">
            <v>0</v>
          </cell>
          <cell r="K342" t="str">
            <v>FS-504 Multi-Stapling Finisher (50 sheets)</v>
          </cell>
          <cell r="L342">
            <v>2993</v>
          </cell>
          <cell r="M342">
            <v>918</v>
          </cell>
          <cell r="N342">
            <v>954.72</v>
          </cell>
          <cell r="O342">
            <v>-0.17647058823529407</v>
          </cell>
          <cell r="P342">
            <v>811.51200000000006</v>
          </cell>
          <cell r="Q342">
            <v>973.08</v>
          </cell>
          <cell r="R342">
            <v>1099.58</v>
          </cell>
          <cell r="S342">
            <v>1535.3</v>
          </cell>
          <cell r="T342">
            <v>0.37815410668924637</v>
          </cell>
          <cell r="U342">
            <v>1188.93632</v>
          </cell>
          <cell r="V342">
            <v>0.19699652206772519</v>
          </cell>
          <cell r="W342">
            <v>811.51200000000006</v>
          </cell>
          <cell r="X342">
            <v>0.52856900931414064</v>
          </cell>
          <cell r="Y342">
            <v>0</v>
          </cell>
          <cell r="Z342">
            <v>0</v>
          </cell>
          <cell r="AA342">
            <v>982</v>
          </cell>
          <cell r="AB342">
            <v>812</v>
          </cell>
          <cell r="AC342">
            <v>902</v>
          </cell>
          <cell r="AD342">
            <v>952</v>
          </cell>
          <cell r="AE342">
            <v>1001.87</v>
          </cell>
          <cell r="AF342">
            <v>0.19000269496042396</v>
          </cell>
          <cell r="AG342">
            <v>4.7061994071087042E-2</v>
          </cell>
          <cell r="AH342">
            <v>1023</v>
          </cell>
          <cell r="AI342">
            <v>1043</v>
          </cell>
          <cell r="AJ342">
            <v>0.22194439117929046</v>
          </cell>
          <cell r="AK342">
            <v>1063</v>
          </cell>
          <cell r="AL342">
            <v>1083</v>
          </cell>
          <cell r="AM342">
            <v>0.25068144044321322</v>
          </cell>
          <cell r="AN342">
            <v>1234.9100000000001</v>
          </cell>
          <cell r="AO342">
            <v>1386.82</v>
          </cell>
          <cell r="AP342">
            <v>1538.73</v>
          </cell>
          <cell r="AQ342">
            <v>0</v>
          </cell>
          <cell r="AR342">
            <v>0</v>
          </cell>
          <cell r="AS342">
            <v>2993</v>
          </cell>
        </row>
        <row r="343">
          <cell r="B343" t="str">
            <v>AC</v>
          </cell>
          <cell r="C343" t="str">
            <v>IMP</v>
          </cell>
          <cell r="D343" t="str">
            <v>BT</v>
          </cell>
          <cell r="E343" t="str">
            <v>P3</v>
          </cell>
          <cell r="F343">
            <v>39924</v>
          </cell>
          <cell r="G343">
            <v>40001</v>
          </cell>
          <cell r="H343" t="str">
            <v>15JL</v>
          </cell>
          <cell r="I343" t="str">
            <v>6KMFS505MPSF_N</v>
          </cell>
          <cell r="J343">
            <v>0</v>
          </cell>
          <cell r="K343" t="str">
            <v>FS-505 Multi-Stapling Finisher (100 sheets)</v>
          </cell>
          <cell r="L343">
            <v>4620</v>
          </cell>
          <cell r="M343">
            <v>1581</v>
          </cell>
          <cell r="N343">
            <v>1644.24</v>
          </cell>
          <cell r="O343">
            <v>-0.1764705882352941</v>
          </cell>
          <cell r="P343">
            <v>1397.604</v>
          </cell>
          <cell r="Q343">
            <v>1675.86</v>
          </cell>
          <cell r="R343">
            <v>1893.72</v>
          </cell>
          <cell r="S343">
            <v>2370.1</v>
          </cell>
          <cell r="T343">
            <v>0.30625711995274457</v>
          </cell>
          <cell r="U343">
            <v>1835.4054399999998</v>
          </cell>
          <cell r="V343">
            <v>0.10415433878195315</v>
          </cell>
          <cell r="W343">
            <v>1397.604</v>
          </cell>
          <cell r="X343">
            <v>0.58968144804016709</v>
          </cell>
          <cell r="Y343">
            <v>50</v>
          </cell>
          <cell r="Z343">
            <v>50</v>
          </cell>
          <cell r="AA343">
            <v>1691</v>
          </cell>
          <cell r="AB343">
            <v>1398</v>
          </cell>
          <cell r="AC343">
            <v>1553</v>
          </cell>
          <cell r="AD343">
            <v>1640</v>
          </cell>
          <cell r="AE343">
            <v>1725.44</v>
          </cell>
          <cell r="AF343">
            <v>0.1900013909495549</v>
          </cell>
          <cell r="AG343">
            <v>4.7060459940652846E-2</v>
          </cell>
          <cell r="AH343">
            <v>1761</v>
          </cell>
          <cell r="AI343">
            <v>1795</v>
          </cell>
          <cell r="AJ343">
            <v>0.22139052924791083</v>
          </cell>
          <cell r="AK343">
            <v>1829.5</v>
          </cell>
          <cell r="AL343">
            <v>1864</v>
          </cell>
          <cell r="AM343">
            <v>0.25021244635193129</v>
          </cell>
          <cell r="AN343">
            <v>2125.92</v>
          </cell>
          <cell r="AO343">
            <v>2387.84</v>
          </cell>
          <cell r="AP343">
            <v>2649.76</v>
          </cell>
          <cell r="AQ343">
            <v>0</v>
          </cell>
          <cell r="AR343">
            <v>180</v>
          </cell>
          <cell r="AS343">
            <v>4620</v>
          </cell>
        </row>
        <row r="344">
          <cell r="B344" t="str">
            <v>AC</v>
          </cell>
          <cell r="C344" t="str">
            <v>IMP</v>
          </cell>
          <cell r="D344" t="str">
            <v>BT</v>
          </cell>
          <cell r="E344" t="str">
            <v>P3</v>
          </cell>
          <cell r="F344">
            <v>39924</v>
          </cell>
          <cell r="G344">
            <v>40001</v>
          </cell>
          <cell r="H344" t="str">
            <v>15JM</v>
          </cell>
          <cell r="I344" t="str">
            <v>6KMFS602AFF_N</v>
          </cell>
          <cell r="J344">
            <v>0</v>
          </cell>
          <cell r="K344" t="str">
            <v>FS-602 Booklet Finisher</v>
          </cell>
          <cell r="L344">
            <v>4725</v>
          </cell>
          <cell r="M344">
            <v>1530</v>
          </cell>
          <cell r="N344">
            <v>1591.2</v>
          </cell>
          <cell r="O344">
            <v>-0.17647058823529416</v>
          </cell>
          <cell r="P344">
            <v>1352.52</v>
          </cell>
          <cell r="Q344">
            <v>1621.8</v>
          </cell>
          <cell r="R344">
            <v>1832.63</v>
          </cell>
          <cell r="S344">
            <v>2424</v>
          </cell>
          <cell r="T344">
            <v>0.34356435643564354</v>
          </cell>
          <cell r="U344">
            <v>1877.1455999999998</v>
          </cell>
          <cell r="V344">
            <v>0.15233000572784541</v>
          </cell>
          <cell r="W344">
            <v>1352.52</v>
          </cell>
          <cell r="X344">
            <v>0.55797029702970291</v>
          </cell>
          <cell r="Y344">
            <v>50</v>
          </cell>
          <cell r="Z344">
            <v>50</v>
          </cell>
          <cell r="AA344">
            <v>1636</v>
          </cell>
          <cell r="AB344">
            <v>1353</v>
          </cell>
          <cell r="AC344">
            <v>1503</v>
          </cell>
          <cell r="AD344">
            <v>1587</v>
          </cell>
          <cell r="AE344">
            <v>1669.78</v>
          </cell>
          <cell r="AF344">
            <v>0.19000107798632154</v>
          </cell>
          <cell r="AG344">
            <v>4.7060091748613544E-2</v>
          </cell>
          <cell r="AH344">
            <v>1704</v>
          </cell>
          <cell r="AI344">
            <v>1737</v>
          </cell>
          <cell r="AJ344">
            <v>0.22134715025906737</v>
          </cell>
          <cell r="AK344">
            <v>1770.5</v>
          </cell>
          <cell r="AL344">
            <v>1804</v>
          </cell>
          <cell r="AM344">
            <v>0.25026607538802664</v>
          </cell>
          <cell r="AN344">
            <v>2057.44</v>
          </cell>
          <cell r="AO344">
            <v>2310.88</v>
          </cell>
          <cell r="AP344">
            <v>2564.3200000000002</v>
          </cell>
          <cell r="AQ344">
            <v>0</v>
          </cell>
          <cell r="AR344">
            <v>180</v>
          </cell>
          <cell r="AS344">
            <v>4725</v>
          </cell>
        </row>
        <row r="345">
          <cell r="B345" t="str">
            <v>AC</v>
          </cell>
          <cell r="C345" t="str">
            <v>IMP</v>
          </cell>
          <cell r="D345" t="str">
            <v>BT</v>
          </cell>
          <cell r="E345" t="str">
            <v>P3</v>
          </cell>
          <cell r="F345">
            <v>39924</v>
          </cell>
          <cell r="G345">
            <v>40001</v>
          </cell>
          <cell r="H345" t="str">
            <v>15JP</v>
          </cell>
          <cell r="I345" t="str">
            <v>6KMSF601SHIFT_N</v>
          </cell>
          <cell r="J345">
            <v>0</v>
          </cell>
          <cell r="K345" t="str">
            <v>SF-601 Shift tray</v>
          </cell>
          <cell r="L345">
            <v>840</v>
          </cell>
          <cell r="M345">
            <v>306</v>
          </cell>
          <cell r="N345">
            <v>318.24</v>
          </cell>
          <cell r="O345">
            <v>-0.17647058823529407</v>
          </cell>
          <cell r="P345">
            <v>270.50400000000002</v>
          </cell>
          <cell r="Q345">
            <v>324.36</v>
          </cell>
          <cell r="R345">
            <v>366.53</v>
          </cell>
          <cell r="S345">
            <v>518.70000000000005</v>
          </cell>
          <cell r="T345">
            <v>0.38646616541353385</v>
          </cell>
          <cell r="U345">
            <v>401.68128000000002</v>
          </cell>
          <cell r="V345">
            <v>0.20773006897408813</v>
          </cell>
          <cell r="W345">
            <v>270.50400000000002</v>
          </cell>
          <cell r="X345">
            <v>0.52150375939849625</v>
          </cell>
          <cell r="Y345">
            <v>150</v>
          </cell>
          <cell r="Z345">
            <v>300</v>
          </cell>
          <cell r="AA345">
            <v>327</v>
          </cell>
          <cell r="AB345">
            <v>271</v>
          </cell>
          <cell r="AC345">
            <v>301</v>
          </cell>
          <cell r="AD345">
            <v>318</v>
          </cell>
          <cell r="AE345">
            <v>333.96</v>
          </cell>
          <cell r="AF345">
            <v>0.19001077973409977</v>
          </cell>
          <cell r="AG345">
            <v>4.7071505569529201E-2</v>
          </cell>
          <cell r="AH345">
            <v>341</v>
          </cell>
          <cell r="AI345">
            <v>348</v>
          </cell>
          <cell r="AJ345">
            <v>0.22268965517241374</v>
          </cell>
          <cell r="AK345">
            <v>354.5</v>
          </cell>
          <cell r="AL345">
            <v>361</v>
          </cell>
          <cell r="AM345">
            <v>0.25068144044321322</v>
          </cell>
          <cell r="AN345">
            <v>411.64</v>
          </cell>
          <cell r="AO345">
            <v>462.28</v>
          </cell>
          <cell r="AP345">
            <v>512.91999999999996</v>
          </cell>
          <cell r="AQ345">
            <v>0</v>
          </cell>
          <cell r="AR345">
            <v>295</v>
          </cell>
          <cell r="AS345">
            <v>840</v>
          </cell>
        </row>
        <row r="346">
          <cell r="B346" t="str">
            <v>AC</v>
          </cell>
          <cell r="C346" t="str">
            <v>IMP</v>
          </cell>
          <cell r="D346" t="str">
            <v>BT</v>
          </cell>
          <cell r="E346" t="str">
            <v>P3</v>
          </cell>
          <cell r="F346">
            <v>39924</v>
          </cell>
          <cell r="G346">
            <v>40001</v>
          </cell>
          <cell r="H346" t="str">
            <v>15JT</v>
          </cell>
          <cell r="I346" t="str">
            <v>6KMLU401LCC_N</v>
          </cell>
          <cell r="J346">
            <v>0</v>
          </cell>
          <cell r="K346" t="str">
            <v>LU-401 Large Capacity Tray - Letter</v>
          </cell>
          <cell r="L346">
            <v>2100</v>
          </cell>
          <cell r="M346">
            <v>612</v>
          </cell>
          <cell r="N346">
            <v>636.48</v>
          </cell>
          <cell r="O346">
            <v>-0.17647058823529407</v>
          </cell>
          <cell r="P346">
            <v>541.00800000000004</v>
          </cell>
          <cell r="Q346">
            <v>648.72</v>
          </cell>
          <cell r="R346">
            <v>733.05</v>
          </cell>
          <cell r="S346">
            <v>1137.2</v>
          </cell>
          <cell r="T346">
            <v>0.44030953218431235</v>
          </cell>
          <cell r="U346">
            <v>880.64768000000004</v>
          </cell>
          <cell r="V346">
            <v>0.27725920994875047</v>
          </cell>
          <cell r="W346">
            <v>541.00800000000004</v>
          </cell>
          <cell r="X346">
            <v>0.47573689764333454</v>
          </cell>
          <cell r="Y346">
            <v>150</v>
          </cell>
          <cell r="Z346">
            <v>175</v>
          </cell>
          <cell r="AA346">
            <v>655</v>
          </cell>
          <cell r="AB346">
            <v>542</v>
          </cell>
          <cell r="AC346">
            <v>602</v>
          </cell>
          <cell r="AD346">
            <v>635</v>
          </cell>
          <cell r="AE346">
            <v>667.91</v>
          </cell>
          <cell r="AF346">
            <v>0.18999865251306305</v>
          </cell>
          <cell r="AG346">
            <v>4.7057238250662443E-2</v>
          </cell>
          <cell r="AH346">
            <v>682</v>
          </cell>
          <cell r="AI346">
            <v>695</v>
          </cell>
          <cell r="AJ346">
            <v>0.22157122302158269</v>
          </cell>
          <cell r="AK346">
            <v>708.5</v>
          </cell>
          <cell r="AL346">
            <v>722</v>
          </cell>
          <cell r="AM346">
            <v>0.25068144044321322</v>
          </cell>
          <cell r="AN346">
            <v>823.28</v>
          </cell>
          <cell r="AO346">
            <v>924.56</v>
          </cell>
          <cell r="AP346">
            <v>1025.8399999999999</v>
          </cell>
          <cell r="AQ346">
            <v>0</v>
          </cell>
          <cell r="AR346">
            <v>295</v>
          </cell>
          <cell r="AS346">
            <v>2100</v>
          </cell>
        </row>
        <row r="347">
          <cell r="B347" t="str">
            <v>AC</v>
          </cell>
          <cell r="C347" t="str">
            <v>IMP</v>
          </cell>
          <cell r="D347" t="str">
            <v>BT</v>
          </cell>
          <cell r="E347" t="str">
            <v>P3</v>
          </cell>
          <cell r="F347">
            <v>39924</v>
          </cell>
          <cell r="G347">
            <v>40001</v>
          </cell>
          <cell r="H347" t="str">
            <v>15JX</v>
          </cell>
          <cell r="I347" t="str">
            <v>6KMLU402LCC_N</v>
          </cell>
          <cell r="J347">
            <v>0</v>
          </cell>
          <cell r="K347" t="str">
            <v>LU-402 Large Capacity Tray - 12x18</v>
          </cell>
          <cell r="L347">
            <v>3150</v>
          </cell>
          <cell r="M347">
            <v>979</v>
          </cell>
          <cell r="N347">
            <v>1018.1600000000001</v>
          </cell>
          <cell r="O347">
            <v>-0.17647058823529416</v>
          </cell>
          <cell r="P347">
            <v>865.43600000000004</v>
          </cell>
          <cell r="Q347">
            <v>1037.74</v>
          </cell>
          <cell r="R347">
            <v>1172.6500000000001</v>
          </cell>
          <cell r="S347">
            <v>1645.9</v>
          </cell>
          <cell r="T347">
            <v>0.38139619660975754</v>
          </cell>
          <cell r="U347">
            <v>1274.5849600000001</v>
          </cell>
          <cell r="V347">
            <v>0.20118310512623658</v>
          </cell>
          <cell r="W347">
            <v>865.43600000000004</v>
          </cell>
          <cell r="X347">
            <v>0.52581323288170601</v>
          </cell>
          <cell r="Y347">
            <v>150</v>
          </cell>
          <cell r="Z347">
            <v>175</v>
          </cell>
          <cell r="AA347">
            <v>1047</v>
          </cell>
          <cell r="AB347">
            <v>866</v>
          </cell>
          <cell r="AC347">
            <v>962</v>
          </cell>
          <cell r="AD347">
            <v>1016</v>
          </cell>
          <cell r="AE347">
            <v>1068.44</v>
          </cell>
          <cell r="AF347">
            <v>0.19000037437759726</v>
          </cell>
          <cell r="AG347">
            <v>4.7059263973643788E-2</v>
          </cell>
          <cell r="AH347">
            <v>1091</v>
          </cell>
          <cell r="AI347">
            <v>1112</v>
          </cell>
          <cell r="AJ347">
            <v>0.2217302158273381</v>
          </cell>
          <cell r="AK347">
            <v>1133</v>
          </cell>
          <cell r="AL347">
            <v>1154</v>
          </cell>
          <cell r="AM347">
            <v>0.25005545927209705</v>
          </cell>
          <cell r="AN347">
            <v>1316.25</v>
          </cell>
          <cell r="AO347">
            <v>1478.5</v>
          </cell>
          <cell r="AP347">
            <v>1640.75</v>
          </cell>
          <cell r="AQ347">
            <v>0</v>
          </cell>
          <cell r="AR347">
            <v>295</v>
          </cell>
          <cell r="AS347">
            <v>3150</v>
          </cell>
        </row>
        <row r="348">
          <cell r="B348" t="str">
            <v>AC</v>
          </cell>
          <cell r="C348" t="str">
            <v>IMP</v>
          </cell>
          <cell r="D348" t="str">
            <v>BT</v>
          </cell>
          <cell r="E348" t="str">
            <v>p3</v>
          </cell>
          <cell r="F348">
            <v>39924</v>
          </cell>
          <cell r="G348">
            <v>40115</v>
          </cell>
          <cell r="H348" t="str">
            <v>15KB</v>
          </cell>
          <cell r="I348" t="str">
            <v>6KMPK505HPK_N</v>
          </cell>
          <cell r="J348" t="str">
            <v>DNU</v>
          </cell>
          <cell r="K348" t="str">
            <v>PK-505 2/3 Hole Punch Kit</v>
          </cell>
          <cell r="L348">
            <v>788</v>
          </cell>
          <cell r="M348">
            <v>240</v>
          </cell>
          <cell r="N348">
            <v>249.60000000000002</v>
          </cell>
          <cell r="O348">
            <v>-0.17647058823529407</v>
          </cell>
          <cell r="P348">
            <v>212.16000000000003</v>
          </cell>
          <cell r="Q348">
            <v>254.4</v>
          </cell>
          <cell r="R348">
            <v>287.47000000000003</v>
          </cell>
          <cell r="S348">
            <v>424</v>
          </cell>
          <cell r="T348">
            <v>0.4113207547169811</v>
          </cell>
          <cell r="U348">
            <v>328.34559999999999</v>
          </cell>
          <cell r="V348">
            <v>0.23982535474816769</v>
          </cell>
          <cell r="W348">
            <v>212.16000000000003</v>
          </cell>
          <cell r="X348">
            <v>0.50037735849056608</v>
          </cell>
          <cell r="Y348">
            <v>150</v>
          </cell>
          <cell r="Z348">
            <v>300</v>
          </cell>
          <cell r="AA348">
            <v>257</v>
          </cell>
          <cell r="AB348">
            <v>213</v>
          </cell>
          <cell r="AC348">
            <v>236</v>
          </cell>
          <cell r="AD348">
            <v>249</v>
          </cell>
          <cell r="AE348">
            <v>261.93</v>
          </cell>
          <cell r="AF348">
            <v>0.1900125987859351</v>
          </cell>
          <cell r="AG348">
            <v>4.7073645630511904E-2</v>
          </cell>
          <cell r="AH348">
            <v>268</v>
          </cell>
          <cell r="AI348">
            <v>273</v>
          </cell>
          <cell r="AJ348">
            <v>0.22285714285714275</v>
          </cell>
          <cell r="AK348">
            <v>278</v>
          </cell>
          <cell r="AL348">
            <v>283</v>
          </cell>
          <cell r="AM348">
            <v>0.25031802120141333</v>
          </cell>
          <cell r="AN348">
            <v>322.75</v>
          </cell>
          <cell r="AO348">
            <v>362.5</v>
          </cell>
          <cell r="AP348">
            <v>402.25</v>
          </cell>
          <cell r="AQ348">
            <v>0</v>
          </cell>
          <cell r="AR348">
            <v>295</v>
          </cell>
          <cell r="AS348">
            <v>788</v>
          </cell>
        </row>
        <row r="349">
          <cell r="B349" t="str">
            <v>AC</v>
          </cell>
          <cell r="C349" t="str">
            <v>IMP</v>
          </cell>
          <cell r="D349" t="str">
            <v>BT</v>
          </cell>
          <cell r="E349" t="str">
            <v>P3</v>
          </cell>
          <cell r="F349">
            <v>39924</v>
          </cell>
          <cell r="G349">
            <v>40001</v>
          </cell>
          <cell r="H349" t="str">
            <v>15KW</v>
          </cell>
          <cell r="I349" t="str">
            <v>6KMZU602ZFPU_N</v>
          </cell>
          <cell r="J349">
            <v>0</v>
          </cell>
          <cell r="K349" t="str">
            <v>ZU-602 Z-fold/Punch unit</v>
          </cell>
          <cell r="L349">
            <v>5198</v>
          </cell>
          <cell r="M349">
            <v>1989</v>
          </cell>
          <cell r="N349">
            <v>2068.56</v>
          </cell>
          <cell r="O349">
            <v>-0.17647058823529418</v>
          </cell>
          <cell r="P349">
            <v>1758.2759999999998</v>
          </cell>
          <cell r="Q349">
            <v>2108.34</v>
          </cell>
          <cell r="R349">
            <v>2382.42</v>
          </cell>
          <cell r="S349">
            <v>3192</v>
          </cell>
          <cell r="T349">
            <v>0.35195488721804513</v>
          </cell>
          <cell r="U349">
            <v>2471.8847999999998</v>
          </cell>
          <cell r="V349">
            <v>0.16316488535388052</v>
          </cell>
          <cell r="W349">
            <v>1758.2759999999998</v>
          </cell>
          <cell r="X349">
            <v>0.55083834586466163</v>
          </cell>
          <cell r="Y349">
            <v>150</v>
          </cell>
          <cell r="Z349">
            <v>175</v>
          </cell>
          <cell r="AA349">
            <v>2127</v>
          </cell>
          <cell r="AB349">
            <v>1759</v>
          </cell>
          <cell r="AC349">
            <v>1954</v>
          </cell>
          <cell r="AD349">
            <v>2063</v>
          </cell>
          <cell r="AE349">
            <v>2170.71</v>
          </cell>
          <cell r="AF349">
            <v>0.18999958538911241</v>
          </cell>
          <cell r="AG349">
            <v>4.7058335751896885E-2</v>
          </cell>
          <cell r="AH349">
            <v>2215</v>
          </cell>
          <cell r="AI349">
            <v>2258</v>
          </cell>
          <cell r="AJ349">
            <v>0.22131266607617367</v>
          </cell>
          <cell r="AK349">
            <v>2301.5</v>
          </cell>
          <cell r="AL349">
            <v>2345</v>
          </cell>
          <cell r="AM349">
            <v>0.25020213219616211</v>
          </cell>
          <cell r="AN349">
            <v>2674.52</v>
          </cell>
          <cell r="AO349">
            <v>3004.04</v>
          </cell>
          <cell r="AP349">
            <v>3333.56</v>
          </cell>
          <cell r="AQ349">
            <v>0</v>
          </cell>
          <cell r="AR349">
            <v>295</v>
          </cell>
          <cell r="AS349">
            <v>5198</v>
          </cell>
        </row>
        <row r="350">
          <cell r="B350" t="str">
            <v>AC</v>
          </cell>
          <cell r="C350" t="str">
            <v>IMP</v>
          </cell>
          <cell r="D350" t="str">
            <v>BT</v>
          </cell>
          <cell r="E350" t="str">
            <v>08</v>
          </cell>
          <cell r="F350">
            <v>39924</v>
          </cell>
          <cell r="G350">
            <v>40001</v>
          </cell>
          <cell r="H350" t="str">
            <v>15LB</v>
          </cell>
          <cell r="I350" t="str">
            <v>3KMHFK502</v>
          </cell>
          <cell r="J350">
            <v>0</v>
          </cell>
          <cell r="K350" t="str">
            <v>FK-502 Fax Board</v>
          </cell>
          <cell r="L350">
            <v>1008</v>
          </cell>
          <cell r="M350">
            <v>393</v>
          </cell>
          <cell r="N350">
            <v>408.72</v>
          </cell>
          <cell r="O350">
            <v>0.15385889367340178</v>
          </cell>
          <cell r="P350">
            <v>483.04</v>
          </cell>
          <cell r="Q350">
            <v>416.58</v>
          </cell>
          <cell r="R350">
            <v>470.74</v>
          </cell>
          <cell r="S350">
            <v>603.79999999999995</v>
          </cell>
          <cell r="T350">
            <v>0.32308711493872133</v>
          </cell>
          <cell r="U350">
            <v>467.58271999999994</v>
          </cell>
          <cell r="V350">
            <v>0.12588728685268763</v>
          </cell>
          <cell r="W350">
            <v>483.04</v>
          </cell>
          <cell r="X350">
            <v>0.8</v>
          </cell>
          <cell r="Y350">
            <v>150</v>
          </cell>
          <cell r="Z350">
            <v>175</v>
          </cell>
          <cell r="AA350">
            <v>584</v>
          </cell>
          <cell r="AB350">
            <v>484</v>
          </cell>
          <cell r="AC350">
            <v>537</v>
          </cell>
          <cell r="AD350">
            <v>567</v>
          </cell>
          <cell r="AE350">
            <v>596.35</v>
          </cell>
          <cell r="AF350">
            <v>0.19000586903663955</v>
          </cell>
          <cell r="AG350">
            <v>0.31463066990861072</v>
          </cell>
          <cell r="AH350">
            <v>664</v>
          </cell>
          <cell r="AI350">
            <v>730</v>
          </cell>
          <cell r="AJ350">
            <v>0.33830136986301368</v>
          </cell>
          <cell r="AK350">
            <v>796.5</v>
          </cell>
          <cell r="AL350">
            <v>863</v>
          </cell>
          <cell r="AM350">
            <v>0.44027809965237541</v>
          </cell>
          <cell r="AN350">
            <v>899.25</v>
          </cell>
          <cell r="AO350">
            <v>935.5</v>
          </cell>
          <cell r="AP350">
            <v>971.75</v>
          </cell>
          <cell r="AQ350">
            <v>0</v>
          </cell>
          <cell r="AR350">
            <v>295</v>
          </cell>
          <cell r="AS350">
            <v>1008</v>
          </cell>
        </row>
        <row r="351">
          <cell r="B351" t="str">
            <v>AC</v>
          </cell>
          <cell r="C351" t="str">
            <v>IMP</v>
          </cell>
          <cell r="D351" t="str">
            <v>BT</v>
          </cell>
          <cell r="E351" t="str">
            <v>DLR</v>
          </cell>
          <cell r="F351">
            <v>39924</v>
          </cell>
          <cell r="G351">
            <v>40001</v>
          </cell>
          <cell r="H351" t="str">
            <v>15LBX001</v>
          </cell>
          <cell r="I351">
            <v>0</v>
          </cell>
          <cell r="J351" t="str">
            <v>NLA</v>
          </cell>
          <cell r="K351" t="str">
            <v>Fax Kit (SKU)</v>
          </cell>
          <cell r="L351">
            <v>1208</v>
          </cell>
          <cell r="M351">
            <v>494</v>
          </cell>
          <cell r="N351">
            <v>513.76</v>
          </cell>
          <cell r="O351">
            <v>0.11359558316080061</v>
          </cell>
          <cell r="P351">
            <v>579.6</v>
          </cell>
          <cell r="Q351">
            <v>523.64</v>
          </cell>
          <cell r="R351">
            <v>591.71</v>
          </cell>
          <cell r="S351">
            <v>724.5</v>
          </cell>
          <cell r="T351">
            <v>0.29087646652864046</v>
          </cell>
          <cell r="U351">
            <v>561.05279999999993</v>
          </cell>
          <cell r="V351">
            <v>8.4292957810744279E-2</v>
          </cell>
          <cell r="W351">
            <v>579.6</v>
          </cell>
          <cell r="X351">
            <v>0.8</v>
          </cell>
          <cell r="Y351">
            <v>60</v>
          </cell>
          <cell r="Z351">
            <v>70</v>
          </cell>
          <cell r="AA351">
            <v>701</v>
          </cell>
          <cell r="AB351">
            <v>580</v>
          </cell>
          <cell r="AC351">
            <v>644</v>
          </cell>
          <cell r="AD351">
            <v>680</v>
          </cell>
          <cell r="AE351">
            <v>715.56</v>
          </cell>
          <cell r="AF351">
            <v>0.19000503102465194</v>
          </cell>
          <cell r="AG351">
            <v>0.28201688188272117</v>
          </cell>
          <cell r="AH351">
            <v>796</v>
          </cell>
          <cell r="AI351">
            <v>876</v>
          </cell>
          <cell r="AJ351">
            <v>0.33835616438356164</v>
          </cell>
          <cell r="AK351">
            <v>955.5</v>
          </cell>
          <cell r="AL351">
            <v>1035</v>
          </cell>
          <cell r="AM351">
            <v>0.44</v>
          </cell>
          <cell r="AN351">
            <v>1078.25</v>
          </cell>
          <cell r="AO351">
            <v>1121.5</v>
          </cell>
          <cell r="AP351">
            <v>1164.75</v>
          </cell>
          <cell r="AQ351">
            <v>0</v>
          </cell>
          <cell r="AR351">
            <v>213</v>
          </cell>
          <cell r="AS351">
            <v>1208</v>
          </cell>
        </row>
        <row r="352">
          <cell r="B352" t="str">
            <v>AC</v>
          </cell>
          <cell r="C352" t="str">
            <v>IMP</v>
          </cell>
          <cell r="D352" t="str">
            <v>BT</v>
          </cell>
          <cell r="E352" t="str">
            <v>DLR</v>
          </cell>
          <cell r="F352">
            <v>39924</v>
          </cell>
          <cell r="G352">
            <v>40053</v>
          </cell>
          <cell r="H352" t="str">
            <v>15LBX002</v>
          </cell>
          <cell r="I352">
            <v>0</v>
          </cell>
          <cell r="J352" t="str">
            <v>NLA</v>
          </cell>
          <cell r="K352" t="str">
            <v>Fax Kit for C250 (SKU)</v>
          </cell>
          <cell r="L352">
            <v>1208</v>
          </cell>
          <cell r="M352">
            <v>494</v>
          </cell>
          <cell r="N352">
            <v>513.76</v>
          </cell>
          <cell r="O352">
            <v>0.11359558316080061</v>
          </cell>
          <cell r="P352">
            <v>579.6</v>
          </cell>
          <cell r="Q352">
            <v>523.64</v>
          </cell>
          <cell r="R352">
            <v>591.71</v>
          </cell>
          <cell r="S352">
            <v>724.5</v>
          </cell>
          <cell r="T352">
            <v>0.29087646652864046</v>
          </cell>
          <cell r="U352">
            <v>561.05279999999993</v>
          </cell>
          <cell r="V352">
            <v>8.4292957810744279E-2</v>
          </cell>
          <cell r="W352">
            <v>579.6</v>
          </cell>
          <cell r="X352">
            <v>0.8</v>
          </cell>
          <cell r="Y352">
            <v>60</v>
          </cell>
          <cell r="Z352">
            <v>70</v>
          </cell>
          <cell r="AA352">
            <v>701</v>
          </cell>
          <cell r="AB352">
            <v>580</v>
          </cell>
          <cell r="AC352">
            <v>644</v>
          </cell>
          <cell r="AD352">
            <v>680</v>
          </cell>
          <cell r="AE352">
            <v>715.56</v>
          </cell>
          <cell r="AF352">
            <v>0.19000503102465194</v>
          </cell>
          <cell r="AG352">
            <v>0.28201688188272117</v>
          </cell>
          <cell r="AH352">
            <v>796</v>
          </cell>
          <cell r="AI352">
            <v>876</v>
          </cell>
          <cell r="AJ352">
            <v>0.33835616438356164</v>
          </cell>
          <cell r="AK352">
            <v>955.5</v>
          </cell>
          <cell r="AL352">
            <v>1035</v>
          </cell>
          <cell r="AM352">
            <v>0.44</v>
          </cell>
          <cell r="AN352">
            <v>1078.25</v>
          </cell>
          <cell r="AO352">
            <v>1121.5</v>
          </cell>
          <cell r="AP352">
            <v>1164.75</v>
          </cell>
          <cell r="AQ352">
            <v>0</v>
          </cell>
          <cell r="AR352">
            <v>198</v>
          </cell>
          <cell r="AS352">
            <v>1208</v>
          </cell>
        </row>
        <row r="353">
          <cell r="B353" t="str">
            <v>AC</v>
          </cell>
          <cell r="C353" t="str">
            <v>IMP</v>
          </cell>
          <cell r="D353" t="str">
            <v>BT</v>
          </cell>
          <cell r="E353" t="str">
            <v>DLR</v>
          </cell>
          <cell r="F353">
            <v>39924</v>
          </cell>
          <cell r="G353">
            <v>40001</v>
          </cell>
          <cell r="H353" t="str">
            <v>15LBX003</v>
          </cell>
          <cell r="I353" t="str">
            <v>3KMK15LBX003FXKT</v>
          </cell>
          <cell r="J353">
            <v>0</v>
          </cell>
          <cell r="K353" t="str">
            <v>Fax Kit for 600/750 (SKU)</v>
          </cell>
          <cell r="L353">
            <v>1208</v>
          </cell>
          <cell r="M353">
            <v>485</v>
          </cell>
          <cell r="N353">
            <v>504.40000000000003</v>
          </cell>
          <cell r="O353">
            <v>0.12974465148378189</v>
          </cell>
          <cell r="P353">
            <v>579.6</v>
          </cell>
          <cell r="Q353">
            <v>514.1</v>
          </cell>
          <cell r="R353">
            <v>580.92999999999995</v>
          </cell>
          <cell r="S353">
            <v>724.5</v>
          </cell>
          <cell r="T353">
            <v>0.30379572118702547</v>
          </cell>
          <cell r="U353">
            <v>561.05279999999993</v>
          </cell>
          <cell r="V353">
            <v>0.10097587963200595</v>
          </cell>
          <cell r="W353">
            <v>579.6</v>
          </cell>
          <cell r="X353">
            <v>0.8</v>
          </cell>
          <cell r="Y353">
            <v>150</v>
          </cell>
          <cell r="Z353">
            <v>300</v>
          </cell>
          <cell r="AA353">
            <v>701</v>
          </cell>
          <cell r="AB353">
            <v>580</v>
          </cell>
          <cell r="AC353">
            <v>644</v>
          </cell>
          <cell r="AD353">
            <v>680</v>
          </cell>
          <cell r="AE353">
            <v>715.56</v>
          </cell>
          <cell r="AF353">
            <v>0.19000503102465194</v>
          </cell>
          <cell r="AG353">
            <v>0.29509754597797522</v>
          </cell>
          <cell r="AH353">
            <v>796</v>
          </cell>
          <cell r="AI353">
            <v>876</v>
          </cell>
          <cell r="AJ353">
            <v>0.33835616438356164</v>
          </cell>
          <cell r="AK353">
            <v>955.5</v>
          </cell>
          <cell r="AL353">
            <v>1035</v>
          </cell>
          <cell r="AM353">
            <v>0.44</v>
          </cell>
          <cell r="AN353">
            <v>1078.25</v>
          </cell>
          <cell r="AO353">
            <v>1121.5</v>
          </cell>
          <cell r="AP353">
            <v>1164.75</v>
          </cell>
          <cell r="AQ353">
            <v>0</v>
          </cell>
          <cell r="AR353">
            <v>288</v>
          </cell>
          <cell r="AS353">
            <v>1208</v>
          </cell>
        </row>
        <row r="354">
          <cell r="B354" t="str">
            <v>AC</v>
          </cell>
          <cell r="C354" t="str">
            <v>IMP</v>
          </cell>
          <cell r="D354" t="str">
            <v>BT</v>
          </cell>
          <cell r="E354" t="str">
            <v>DLR</v>
          </cell>
          <cell r="F354">
            <v>39924</v>
          </cell>
          <cell r="G354">
            <v>40001</v>
          </cell>
          <cell r="H354" t="str">
            <v>15LBX004</v>
          </cell>
          <cell r="I354" t="str">
            <v>3KMK15LBX004FXKT</v>
          </cell>
          <cell r="J354">
            <v>0</v>
          </cell>
          <cell r="K354" t="str">
            <v>Fax Kit for 360/420/500 (SKU)</v>
          </cell>
          <cell r="L354">
            <v>1250</v>
          </cell>
          <cell r="M354">
            <v>444</v>
          </cell>
          <cell r="N354">
            <v>461.76</v>
          </cell>
          <cell r="O354">
            <v>0.21841570751523354</v>
          </cell>
          <cell r="P354">
            <v>590.79999999999995</v>
          </cell>
          <cell r="Q354">
            <v>470.64</v>
          </cell>
          <cell r="R354">
            <v>531.82000000000005</v>
          </cell>
          <cell r="S354">
            <v>738.5</v>
          </cell>
          <cell r="T354">
            <v>0.37473256601218685</v>
          </cell>
          <cell r="U354">
            <v>571.89440000000002</v>
          </cell>
          <cell r="V354">
            <v>0.19257821024300995</v>
          </cell>
          <cell r="W354">
            <v>590.79999999999995</v>
          </cell>
          <cell r="X354">
            <v>0.79999999999999993</v>
          </cell>
          <cell r="Y354">
            <v>150</v>
          </cell>
          <cell r="Z354">
            <v>300</v>
          </cell>
          <cell r="AA354">
            <v>715</v>
          </cell>
          <cell r="AB354">
            <v>591</v>
          </cell>
          <cell r="AC354">
            <v>657</v>
          </cell>
          <cell r="AD354">
            <v>694</v>
          </cell>
          <cell r="AE354">
            <v>729.38</v>
          </cell>
          <cell r="AF354">
            <v>0.18999698373961452</v>
          </cell>
          <cell r="AG354">
            <v>0.36691436562559981</v>
          </cell>
          <cell r="AH354">
            <v>812</v>
          </cell>
          <cell r="AI354">
            <v>893</v>
          </cell>
          <cell r="AJ354">
            <v>0.3384098544232923</v>
          </cell>
          <cell r="AK354">
            <v>974</v>
          </cell>
          <cell r="AL354">
            <v>1055</v>
          </cell>
          <cell r="AM354">
            <v>0.44000000000000006</v>
          </cell>
          <cell r="AN354">
            <v>1103.75</v>
          </cell>
          <cell r="AO354">
            <v>1152.5</v>
          </cell>
          <cell r="AP354">
            <v>1201.25</v>
          </cell>
          <cell r="AQ354">
            <v>0</v>
          </cell>
          <cell r="AR354">
            <v>288</v>
          </cell>
          <cell r="AS354">
            <v>1250</v>
          </cell>
        </row>
        <row r="355">
          <cell r="B355" t="str">
            <v>AC</v>
          </cell>
          <cell r="C355" t="str">
            <v>IMP</v>
          </cell>
          <cell r="D355" t="str">
            <v>BT</v>
          </cell>
          <cell r="E355" t="str">
            <v>DLR</v>
          </cell>
          <cell r="F355">
            <v>39924</v>
          </cell>
          <cell r="G355">
            <v>40001</v>
          </cell>
          <cell r="H355" t="str">
            <v>15LBX005</v>
          </cell>
          <cell r="I355" t="str">
            <v>3KMK15LBX005_</v>
          </cell>
          <cell r="J355">
            <v>0</v>
          </cell>
          <cell r="K355" t="str">
            <v>Fax Kit (SKU including FK-502 and MK-720)</v>
          </cell>
          <cell r="L355">
            <v>1208</v>
          </cell>
          <cell r="M355">
            <v>434</v>
          </cell>
          <cell r="N355">
            <v>451.36</v>
          </cell>
          <cell r="O355">
            <v>0.221256038647343</v>
          </cell>
          <cell r="P355">
            <v>579.6</v>
          </cell>
          <cell r="Q355">
            <v>460.04</v>
          </cell>
          <cell r="R355">
            <v>519.85</v>
          </cell>
          <cell r="S355">
            <v>724.5</v>
          </cell>
          <cell r="T355">
            <v>0.3770048309178744</v>
          </cell>
          <cell r="U355">
            <v>561.05279999999993</v>
          </cell>
          <cell r="V355">
            <v>0.19551243661915588</v>
          </cell>
          <cell r="W355">
            <v>579.6</v>
          </cell>
          <cell r="X355">
            <v>0.8</v>
          </cell>
          <cell r="Y355">
            <v>150</v>
          </cell>
          <cell r="Z355">
            <v>300</v>
          </cell>
          <cell r="AA355">
            <v>701</v>
          </cell>
          <cell r="AB355">
            <v>580</v>
          </cell>
          <cell r="AC355">
            <v>644</v>
          </cell>
          <cell r="AD355">
            <v>680</v>
          </cell>
          <cell r="AE355">
            <v>715.56</v>
          </cell>
          <cell r="AF355">
            <v>0.19000503102465194</v>
          </cell>
          <cell r="AG355">
            <v>0.36922130918441493</v>
          </cell>
          <cell r="AH355">
            <v>796</v>
          </cell>
          <cell r="AI355">
            <v>876</v>
          </cell>
          <cell r="AJ355">
            <v>0.33835616438356164</v>
          </cell>
          <cell r="AK355">
            <v>955.5</v>
          </cell>
          <cell r="AL355">
            <v>1035</v>
          </cell>
          <cell r="AM355">
            <v>0.44</v>
          </cell>
          <cell r="AN355">
            <v>1078.25</v>
          </cell>
          <cell r="AO355">
            <v>1121.5</v>
          </cell>
          <cell r="AP355">
            <v>1164.75</v>
          </cell>
          <cell r="AQ355">
            <v>0</v>
          </cell>
          <cell r="AR355">
            <v>288</v>
          </cell>
          <cell r="AS355">
            <v>1208</v>
          </cell>
        </row>
        <row r="356">
          <cell r="B356" t="str">
            <v>AC</v>
          </cell>
          <cell r="C356" t="str">
            <v>IMP</v>
          </cell>
          <cell r="D356" t="str">
            <v>BT</v>
          </cell>
          <cell r="E356" t="str">
            <v>P3</v>
          </cell>
          <cell r="F356">
            <v>39924</v>
          </cell>
          <cell r="G356">
            <v>40001</v>
          </cell>
          <cell r="H356" t="str">
            <v>15MY</v>
          </cell>
          <cell r="I356" t="str">
            <v>3KMKMK701</v>
          </cell>
          <cell r="J356">
            <v>0</v>
          </cell>
          <cell r="K356" t="str">
            <v>MK-701 Mount kit</v>
          </cell>
          <cell r="L356">
            <v>200</v>
          </cell>
          <cell r="M356">
            <v>92</v>
          </cell>
          <cell r="N356">
            <v>95.68</v>
          </cell>
          <cell r="O356">
            <v>-0.17647058823529416</v>
          </cell>
          <cell r="P356">
            <v>81.328000000000003</v>
          </cell>
          <cell r="Q356">
            <v>97.52</v>
          </cell>
          <cell r="R356">
            <v>110.2</v>
          </cell>
          <cell r="S356">
            <v>120.8</v>
          </cell>
          <cell r="T356">
            <v>0.2079470198675496</v>
          </cell>
          <cell r="U356">
            <v>103.88799999999999</v>
          </cell>
          <cell r="V356">
            <v>7.9008162636685517E-2</v>
          </cell>
          <cell r="W356">
            <v>81.328000000000003</v>
          </cell>
          <cell r="X356">
            <v>0.67324503311258277</v>
          </cell>
          <cell r="Y356">
            <v>250</v>
          </cell>
          <cell r="Z356">
            <v>300</v>
          </cell>
          <cell r="AA356">
            <v>98</v>
          </cell>
          <cell r="AB356">
            <v>82</v>
          </cell>
          <cell r="AC356">
            <v>91</v>
          </cell>
          <cell r="AD356">
            <v>96</v>
          </cell>
          <cell r="AE356">
            <v>100.4</v>
          </cell>
          <cell r="AF356">
            <v>0.18996015936254981</v>
          </cell>
          <cell r="AG356">
            <v>4.7011952191235044E-2</v>
          </cell>
          <cell r="AH356">
            <v>103</v>
          </cell>
          <cell r="AI356">
            <v>105</v>
          </cell>
          <cell r="AJ356">
            <v>0.22544761904761901</v>
          </cell>
          <cell r="AK356">
            <v>107</v>
          </cell>
          <cell r="AL356">
            <v>109</v>
          </cell>
          <cell r="AM356">
            <v>0.25387155963302749</v>
          </cell>
          <cell r="AN356">
            <v>124.11</v>
          </cell>
          <cell r="AO356">
            <v>139.22</v>
          </cell>
          <cell r="AP356">
            <v>154.33000000000001</v>
          </cell>
          <cell r="AQ356">
            <v>0</v>
          </cell>
          <cell r="AR356">
            <v>352</v>
          </cell>
          <cell r="AS356">
            <v>200</v>
          </cell>
        </row>
        <row r="357">
          <cell r="B357" t="str">
            <v>AC</v>
          </cell>
          <cell r="C357" t="str">
            <v>IMP</v>
          </cell>
          <cell r="D357" t="str">
            <v>BT</v>
          </cell>
          <cell r="E357" t="str">
            <v>P3</v>
          </cell>
          <cell r="F357">
            <v>39924</v>
          </cell>
          <cell r="G357">
            <v>40001</v>
          </cell>
          <cell r="H357" t="str">
            <v>15NB</v>
          </cell>
          <cell r="I357" t="str">
            <v>4KMIC202PRNT_N</v>
          </cell>
          <cell r="J357">
            <v>0</v>
          </cell>
          <cell r="K357" t="str">
            <v>IC-202 Print Controller (PCL5e/6/PS3 Emulation)</v>
          </cell>
          <cell r="L357">
            <v>2940</v>
          </cell>
          <cell r="M357">
            <v>398</v>
          </cell>
          <cell r="N357">
            <v>413.92</v>
          </cell>
          <cell r="O357">
            <v>-0.17647058823529418</v>
          </cell>
          <cell r="P357">
            <v>351.83199999999999</v>
          </cell>
          <cell r="Q357">
            <v>421.88</v>
          </cell>
          <cell r="R357">
            <v>476.72</v>
          </cell>
          <cell r="S357">
            <v>1536.2</v>
          </cell>
          <cell r="T357">
            <v>0.73055591719828139</v>
          </cell>
          <cell r="U357">
            <v>1189.63328</v>
          </cell>
          <cell r="V357">
            <v>0.65206084348951632</v>
          </cell>
          <cell r="W357">
            <v>351.83199999999999</v>
          </cell>
          <cell r="X357">
            <v>0.22902747038146073</v>
          </cell>
          <cell r="Y357">
            <v>250</v>
          </cell>
          <cell r="Z357">
            <v>300</v>
          </cell>
          <cell r="AA357">
            <v>426</v>
          </cell>
          <cell r="AB357">
            <v>352</v>
          </cell>
          <cell r="AC357">
            <v>391</v>
          </cell>
          <cell r="AD357">
            <v>413</v>
          </cell>
          <cell r="AE357">
            <v>434.36</v>
          </cell>
          <cell r="AF357">
            <v>0.18999907910489</v>
          </cell>
          <cell r="AG357">
            <v>4.7057740123399937E-2</v>
          </cell>
          <cell r="AH357">
            <v>444</v>
          </cell>
          <cell r="AI357">
            <v>453</v>
          </cell>
          <cell r="AJ357">
            <v>0.22332891832229582</v>
          </cell>
          <cell r="AK357">
            <v>461.5</v>
          </cell>
          <cell r="AL357">
            <v>470</v>
          </cell>
          <cell r="AM357">
            <v>0.2514212765957447</v>
          </cell>
          <cell r="AN357">
            <v>535.75</v>
          </cell>
          <cell r="AO357">
            <v>601.5</v>
          </cell>
          <cell r="AP357">
            <v>667.25</v>
          </cell>
          <cell r="AQ357">
            <v>0</v>
          </cell>
          <cell r="AR357">
            <v>352</v>
          </cell>
          <cell r="AS357">
            <v>2940</v>
          </cell>
        </row>
        <row r="358">
          <cell r="B358" t="str">
            <v>AC</v>
          </cell>
          <cell r="C358" t="str">
            <v>IMP</v>
          </cell>
          <cell r="D358" t="str">
            <v>BT</v>
          </cell>
          <cell r="E358" t="str">
            <v>P3</v>
          </cell>
          <cell r="F358">
            <v>39924</v>
          </cell>
          <cell r="G358">
            <v>40001</v>
          </cell>
          <cell r="H358" t="str">
            <v>15NL</v>
          </cell>
          <cell r="I358" t="str">
            <v>3KMKHD50340GHDDK</v>
          </cell>
          <cell r="J358">
            <v>0</v>
          </cell>
          <cell r="K358" t="str">
            <v xml:space="preserve">HD-503 Hard Disk </v>
          </cell>
          <cell r="L358">
            <v>840</v>
          </cell>
          <cell r="M358">
            <v>286</v>
          </cell>
          <cell r="N358">
            <v>297.44</v>
          </cell>
          <cell r="O358">
            <v>-0.17647058823529418</v>
          </cell>
          <cell r="P358">
            <v>252.82399999999998</v>
          </cell>
          <cell r="Q358">
            <v>303.16000000000003</v>
          </cell>
          <cell r="R358">
            <v>342.57</v>
          </cell>
          <cell r="S358">
            <v>438.9</v>
          </cell>
          <cell r="T358">
            <v>0.32230576441102754</v>
          </cell>
          <cell r="U358">
            <v>339.88415999999995</v>
          </cell>
          <cell r="V358">
            <v>0.12487831148118218</v>
          </cell>
          <cell r="W358">
            <v>252.82399999999998</v>
          </cell>
          <cell r="X358">
            <v>0.57604010025062657</v>
          </cell>
          <cell r="Y358">
            <v>250</v>
          </cell>
          <cell r="Z358">
            <v>500</v>
          </cell>
          <cell r="AA358">
            <v>306</v>
          </cell>
          <cell r="AB358">
            <v>253</v>
          </cell>
          <cell r="AC358">
            <v>281</v>
          </cell>
          <cell r="AD358">
            <v>297</v>
          </cell>
          <cell r="AE358">
            <v>312.13</v>
          </cell>
          <cell r="AF358">
            <v>0.19000416493127867</v>
          </cell>
          <cell r="AG358">
            <v>4.7063723448563091E-2</v>
          </cell>
          <cell r="AH358">
            <v>320</v>
          </cell>
          <cell r="AI358">
            <v>326</v>
          </cell>
          <cell r="AJ358">
            <v>0.2244662576687117</v>
          </cell>
          <cell r="AK358">
            <v>332</v>
          </cell>
          <cell r="AL358">
            <v>338</v>
          </cell>
          <cell r="AM358">
            <v>0.25200000000000006</v>
          </cell>
          <cell r="AN358">
            <v>385.18</v>
          </cell>
          <cell r="AO358">
            <v>432.36</v>
          </cell>
          <cell r="AP358">
            <v>479.54</v>
          </cell>
          <cell r="AQ358">
            <v>0</v>
          </cell>
          <cell r="AR358">
            <v>506</v>
          </cell>
          <cell r="AS358">
            <v>840</v>
          </cell>
        </row>
        <row r="359">
          <cell r="B359" t="str">
            <v>AC</v>
          </cell>
          <cell r="C359" t="str">
            <v>IMP</v>
          </cell>
          <cell r="D359" t="str">
            <v>BT</v>
          </cell>
          <cell r="E359" t="str">
            <v>P3</v>
          </cell>
          <cell r="F359">
            <v>39924</v>
          </cell>
          <cell r="G359">
            <v>40001</v>
          </cell>
          <cell r="H359" t="str">
            <v>15NQ</v>
          </cell>
          <cell r="I359" t="str">
            <v>3KMKEK701LIFK</v>
          </cell>
          <cell r="J359">
            <v>0</v>
          </cell>
          <cell r="K359" t="str">
            <v>EK-701 Local Interface kit</v>
          </cell>
          <cell r="L359">
            <v>263</v>
          </cell>
          <cell r="M359">
            <v>97</v>
          </cell>
          <cell r="N359">
            <v>100.88000000000001</v>
          </cell>
          <cell r="O359">
            <v>-0.17647058823529416</v>
          </cell>
          <cell r="P359">
            <v>85.748000000000005</v>
          </cell>
          <cell r="Q359">
            <v>102.82</v>
          </cell>
          <cell r="R359">
            <v>116.19</v>
          </cell>
          <cell r="S359">
            <v>149.69999999999999</v>
          </cell>
          <cell r="T359">
            <v>0.32611890447561781</v>
          </cell>
          <cell r="U359">
            <v>115.92767999999998</v>
          </cell>
          <cell r="V359">
            <v>0.12980230433318404</v>
          </cell>
          <cell r="W359">
            <v>85.748000000000005</v>
          </cell>
          <cell r="X359">
            <v>0.57279893119572489</v>
          </cell>
          <cell r="Y359">
            <v>250</v>
          </cell>
          <cell r="Z359">
            <v>500</v>
          </cell>
          <cell r="AA359">
            <v>104</v>
          </cell>
          <cell r="AB359">
            <v>86</v>
          </cell>
          <cell r="AC359">
            <v>96</v>
          </cell>
          <cell r="AD359">
            <v>101</v>
          </cell>
          <cell r="AE359">
            <v>105.86</v>
          </cell>
          <cell r="AF359">
            <v>0.1899867749858303</v>
          </cell>
          <cell r="AG359">
            <v>4.7043264689212071E-2</v>
          </cell>
          <cell r="AH359">
            <v>109</v>
          </cell>
          <cell r="AI359">
            <v>111</v>
          </cell>
          <cell r="AJ359">
            <v>0.22749549549549544</v>
          </cell>
          <cell r="AK359">
            <v>113</v>
          </cell>
          <cell r="AL359">
            <v>115</v>
          </cell>
          <cell r="AM359">
            <v>0.2543652173913043</v>
          </cell>
          <cell r="AN359">
            <v>130.91</v>
          </cell>
          <cell r="AO359">
            <v>146.82</v>
          </cell>
          <cell r="AP359">
            <v>162.72999999999999</v>
          </cell>
          <cell r="AQ359">
            <v>0</v>
          </cell>
          <cell r="AR359">
            <v>506</v>
          </cell>
          <cell r="AS359">
            <v>263</v>
          </cell>
        </row>
        <row r="360">
          <cell r="B360" t="str">
            <v>AC</v>
          </cell>
          <cell r="C360" t="str">
            <v>IMP</v>
          </cell>
          <cell r="D360" t="str">
            <v>BT</v>
          </cell>
          <cell r="E360" t="str">
            <v>P3</v>
          </cell>
          <cell r="F360">
            <v>39924</v>
          </cell>
          <cell r="G360">
            <v>40001</v>
          </cell>
          <cell r="H360" t="str">
            <v>15RB</v>
          </cell>
          <cell r="I360" t="str">
            <v>4KMIC203IC_N</v>
          </cell>
          <cell r="J360" t="str">
            <v>x</v>
          </cell>
          <cell r="K360" t="str">
            <v>IC-203 Print controller</v>
          </cell>
          <cell r="L360">
            <v>2940</v>
          </cell>
          <cell r="M360">
            <v>918</v>
          </cell>
          <cell r="N360">
            <v>954.72</v>
          </cell>
          <cell r="O360">
            <v>-0.17647058823529407</v>
          </cell>
          <cell r="P360">
            <v>811.51200000000006</v>
          </cell>
          <cell r="Q360">
            <v>973.08</v>
          </cell>
          <cell r="R360">
            <v>1099.58</v>
          </cell>
          <cell r="S360">
            <v>1536.2</v>
          </cell>
          <cell r="T360">
            <v>0.37851842208045827</v>
          </cell>
          <cell r="U360">
            <v>1189.63328</v>
          </cell>
          <cell r="V360">
            <v>0.19746697066174879</v>
          </cell>
          <cell r="W360">
            <v>811.51200000000006</v>
          </cell>
          <cell r="X360">
            <v>0.52825934123161045</v>
          </cell>
          <cell r="Y360">
            <v>800</v>
          </cell>
          <cell r="Z360">
            <v>500</v>
          </cell>
          <cell r="AA360">
            <v>982</v>
          </cell>
          <cell r="AB360">
            <v>812</v>
          </cell>
          <cell r="AC360">
            <v>902</v>
          </cell>
          <cell r="AD360">
            <v>952</v>
          </cell>
          <cell r="AE360">
            <v>1001.87</v>
          </cell>
          <cell r="AF360">
            <v>0.19000269496042396</v>
          </cell>
          <cell r="AG360">
            <v>4.7061994071087042E-2</v>
          </cell>
          <cell r="AH360">
            <v>1023</v>
          </cell>
          <cell r="AI360">
            <v>1043</v>
          </cell>
          <cell r="AJ360">
            <v>0.22194439117929046</v>
          </cell>
          <cell r="AK360">
            <v>1063</v>
          </cell>
          <cell r="AL360">
            <v>1083</v>
          </cell>
          <cell r="AM360">
            <v>0.25068144044321322</v>
          </cell>
          <cell r="AN360">
            <v>1234.9100000000001</v>
          </cell>
          <cell r="AO360">
            <v>1386.82</v>
          </cell>
          <cell r="AP360">
            <v>1538.73</v>
          </cell>
          <cell r="AQ360">
            <v>0</v>
          </cell>
          <cell r="AR360">
            <v>811</v>
          </cell>
          <cell r="AS360">
            <v>2940</v>
          </cell>
        </row>
        <row r="361">
          <cell r="B361" t="str">
            <v>AC</v>
          </cell>
          <cell r="C361" t="str">
            <v>IMP</v>
          </cell>
          <cell r="D361" t="str">
            <v>BT</v>
          </cell>
          <cell r="E361" t="str">
            <v>P3</v>
          </cell>
          <cell r="F361">
            <v>39924</v>
          </cell>
          <cell r="G361">
            <v>40001</v>
          </cell>
          <cell r="H361" t="str">
            <v>15RL</v>
          </cell>
          <cell r="I361" t="str">
            <v>3KMKPS503PS3K</v>
          </cell>
          <cell r="J361">
            <v>0</v>
          </cell>
          <cell r="K361" t="str">
            <v>PS-503 PostScript 3 Upgrade</v>
          </cell>
          <cell r="L361">
            <v>1575</v>
          </cell>
          <cell r="M361">
            <v>612</v>
          </cell>
          <cell r="N361">
            <v>636.48</v>
          </cell>
          <cell r="O361">
            <v>-0.17647058823529407</v>
          </cell>
          <cell r="P361">
            <v>541.00800000000004</v>
          </cell>
          <cell r="Q361">
            <v>648.72</v>
          </cell>
          <cell r="R361">
            <v>733.05</v>
          </cell>
          <cell r="S361">
            <v>886.1</v>
          </cell>
          <cell r="T361">
            <v>0.28170635368468572</v>
          </cell>
          <cell r="U361">
            <v>686.19583999999998</v>
          </cell>
          <cell r="V361">
            <v>7.2451386472992846E-2</v>
          </cell>
          <cell r="W361">
            <v>541.00800000000004</v>
          </cell>
          <cell r="X361">
            <v>0.61054959936801723</v>
          </cell>
          <cell r="Y361">
            <v>800</v>
          </cell>
          <cell r="Z361">
            <v>500</v>
          </cell>
          <cell r="AA361">
            <v>655</v>
          </cell>
          <cell r="AB361">
            <v>542</v>
          </cell>
          <cell r="AC361">
            <v>602</v>
          </cell>
          <cell r="AD361">
            <v>635</v>
          </cell>
          <cell r="AE361">
            <v>667.91</v>
          </cell>
          <cell r="AF361">
            <v>0.18999865251306305</v>
          </cell>
          <cell r="AG361">
            <v>4.7057238250662443E-2</v>
          </cell>
          <cell r="AH361">
            <v>682</v>
          </cell>
          <cell r="AI361">
            <v>695</v>
          </cell>
          <cell r="AJ361">
            <v>0.22157122302158269</v>
          </cell>
          <cell r="AK361">
            <v>708.5</v>
          </cell>
          <cell r="AL361">
            <v>722</v>
          </cell>
          <cell r="AM361">
            <v>0.25068144044321322</v>
          </cell>
          <cell r="AN361">
            <v>823.28</v>
          </cell>
          <cell r="AO361">
            <v>924.56</v>
          </cell>
          <cell r="AP361">
            <v>1025.8399999999999</v>
          </cell>
          <cell r="AQ361">
            <v>0</v>
          </cell>
          <cell r="AR361">
            <v>811</v>
          </cell>
          <cell r="AS361">
            <v>1575</v>
          </cell>
        </row>
        <row r="362">
          <cell r="B362" t="str">
            <v>AC</v>
          </cell>
          <cell r="C362" t="str">
            <v>IMP</v>
          </cell>
          <cell r="D362" t="str">
            <v>BT</v>
          </cell>
          <cell r="E362" t="str">
            <v>P3</v>
          </cell>
          <cell r="F362">
            <v>39924</v>
          </cell>
          <cell r="G362">
            <v>40001</v>
          </cell>
          <cell r="H362" t="str">
            <v>15SF</v>
          </cell>
          <cell r="I362" t="str">
            <v>9KMBHPRO1050EP_N</v>
          </cell>
          <cell r="J362" t="str">
            <v>x</v>
          </cell>
          <cell r="K362" t="str">
            <v>FS-509 100 Sheet Staple Finisher</v>
          </cell>
          <cell r="L362">
            <v>5408</v>
          </cell>
          <cell r="M362">
            <v>1790</v>
          </cell>
          <cell r="N362">
            <v>1861.6000000000001</v>
          </cell>
          <cell r="O362">
            <v>-0.1764705882352941</v>
          </cell>
          <cell r="P362">
            <v>1582.3600000000001</v>
          </cell>
          <cell r="Q362">
            <v>1897.4</v>
          </cell>
          <cell r="R362">
            <v>2144.06</v>
          </cell>
          <cell r="S362">
            <v>2774.1</v>
          </cell>
          <cell r="T362">
            <v>0.32893551061605558</v>
          </cell>
          <cell r="U362">
            <v>2148.2630399999998</v>
          </cell>
          <cell r="V362">
            <v>0.13343945069222049</v>
          </cell>
          <cell r="W362">
            <v>1582.3600000000001</v>
          </cell>
          <cell r="X362">
            <v>0.57040481597635273</v>
          </cell>
          <cell r="Y362">
            <v>800</v>
          </cell>
          <cell r="Z362">
            <v>500</v>
          </cell>
          <cell r="AA362">
            <v>1914</v>
          </cell>
          <cell r="AB362">
            <v>1583</v>
          </cell>
          <cell r="AC362">
            <v>1759</v>
          </cell>
          <cell r="AD362">
            <v>1857</v>
          </cell>
          <cell r="AE362">
            <v>1953.53</v>
          </cell>
          <cell r="AF362">
            <v>0.18999964167430233</v>
          </cell>
          <cell r="AG362">
            <v>4.7058401969767467E-2</v>
          </cell>
          <cell r="AH362">
            <v>1993</v>
          </cell>
          <cell r="AI362">
            <v>2032</v>
          </cell>
          <cell r="AJ362">
            <v>0.22127952755905506</v>
          </cell>
          <cell r="AK362">
            <v>2071</v>
          </cell>
          <cell r="AL362">
            <v>2110</v>
          </cell>
          <cell r="AM362">
            <v>0.25006635071090039</v>
          </cell>
          <cell r="AN362">
            <v>2406.65</v>
          </cell>
          <cell r="AO362">
            <v>2703.3</v>
          </cell>
          <cell r="AP362">
            <v>2999.95</v>
          </cell>
          <cell r="AQ362">
            <v>0</v>
          </cell>
          <cell r="AR362">
            <v>811</v>
          </cell>
          <cell r="AS362">
            <v>5408</v>
          </cell>
        </row>
        <row r="363">
          <cell r="B363" t="str">
            <v>AC</v>
          </cell>
          <cell r="C363" t="str">
            <v>IMP</v>
          </cell>
          <cell r="D363" t="str">
            <v>BT</v>
          </cell>
          <cell r="E363" t="str">
            <v>P3</v>
          </cell>
          <cell r="F363">
            <v>39924</v>
          </cell>
          <cell r="G363">
            <v>40001</v>
          </cell>
          <cell r="H363" t="str">
            <v>15SJ</v>
          </cell>
          <cell r="I363" t="str">
            <v>6KMFS604BKTFIN_N</v>
          </cell>
          <cell r="J363" t="str">
            <v>NLA</v>
          </cell>
          <cell r="K363" t="str">
            <v>FS-604 Booklet Finisher</v>
          </cell>
          <cell r="L363">
            <v>5303</v>
          </cell>
          <cell r="M363">
            <v>1530</v>
          </cell>
          <cell r="N363">
            <v>1591.2</v>
          </cell>
          <cell r="O363">
            <v>-0.17647058823529416</v>
          </cell>
          <cell r="P363">
            <v>1352.52</v>
          </cell>
          <cell r="Q363">
            <v>1621.8</v>
          </cell>
          <cell r="R363">
            <v>1832.63</v>
          </cell>
          <cell r="S363">
            <v>2720.3</v>
          </cell>
          <cell r="T363">
            <v>0.41506451494320484</v>
          </cell>
          <cell r="U363">
            <v>2106.60032</v>
          </cell>
          <cell r="V363">
            <v>0.24465975586674171</v>
          </cell>
          <cell r="W363">
            <v>1352.52</v>
          </cell>
          <cell r="X363">
            <v>0.49719516229827587</v>
          </cell>
          <cell r="Y363">
            <v>250</v>
          </cell>
          <cell r="Z363">
            <v>300</v>
          </cell>
          <cell r="AA363">
            <v>1636</v>
          </cell>
          <cell r="AB363">
            <v>1353</v>
          </cell>
          <cell r="AC363">
            <v>1503</v>
          </cell>
          <cell r="AD363">
            <v>1587</v>
          </cell>
          <cell r="AE363">
            <v>1669.78</v>
          </cell>
          <cell r="AF363">
            <v>0.19000107798632154</v>
          </cell>
          <cell r="AG363">
            <v>4.7060091748613544E-2</v>
          </cell>
          <cell r="AH363">
            <v>1704</v>
          </cell>
          <cell r="AI363">
            <v>1737</v>
          </cell>
          <cell r="AJ363">
            <v>0.22134715025906737</v>
          </cell>
          <cell r="AK363">
            <v>1770.5</v>
          </cell>
          <cell r="AL363">
            <v>1804</v>
          </cell>
          <cell r="AM363">
            <v>0.25026607538802664</v>
          </cell>
          <cell r="AN363">
            <v>2057.44</v>
          </cell>
          <cell r="AO363">
            <v>2310.88</v>
          </cell>
          <cell r="AP363">
            <v>2564.3200000000002</v>
          </cell>
          <cell r="AQ363">
            <v>0</v>
          </cell>
          <cell r="AR363">
            <v>503</v>
          </cell>
          <cell r="AS363">
            <v>5303</v>
          </cell>
        </row>
        <row r="364">
          <cell r="B364" t="str">
            <v>AC</v>
          </cell>
          <cell r="C364" t="str">
            <v>IMP</v>
          </cell>
          <cell r="D364" t="str">
            <v>BT</v>
          </cell>
          <cell r="E364" t="str">
            <v>P3</v>
          </cell>
          <cell r="F364">
            <v>39924</v>
          </cell>
          <cell r="G364">
            <v>40001</v>
          </cell>
          <cell r="H364" t="str">
            <v>15SM</v>
          </cell>
          <cell r="I364" t="str">
            <v>6KMTU501TU_N</v>
          </cell>
          <cell r="J364">
            <v>0</v>
          </cell>
          <cell r="K364" t="str">
            <v>TU-501 Trimmer unit</v>
          </cell>
          <cell r="L364">
            <v>7193</v>
          </cell>
          <cell r="M364">
            <v>2958</v>
          </cell>
          <cell r="N364">
            <v>3076.32</v>
          </cell>
          <cell r="O364">
            <v>-0.17647058823529405</v>
          </cell>
          <cell r="P364">
            <v>2614.8720000000003</v>
          </cell>
          <cell r="Q364">
            <v>3135.48</v>
          </cell>
          <cell r="R364">
            <v>3543.09</v>
          </cell>
          <cell r="S364">
            <v>4255.8</v>
          </cell>
          <cell r="T364">
            <v>0.27714648244748341</v>
          </cell>
          <cell r="U364">
            <v>3295.6915199999999</v>
          </cell>
          <cell r="V364">
            <v>6.6563122995200619E-2</v>
          </cell>
          <cell r="W364">
            <v>2614.8720000000003</v>
          </cell>
          <cell r="X364">
            <v>0.61442548991963908</v>
          </cell>
          <cell r="Y364">
            <v>250</v>
          </cell>
          <cell r="Z364">
            <v>300</v>
          </cell>
          <cell r="AA364">
            <v>3164</v>
          </cell>
          <cell r="AB364">
            <v>2615</v>
          </cell>
          <cell r="AC364">
            <v>2906</v>
          </cell>
          <cell r="AD364">
            <v>3068</v>
          </cell>
          <cell r="AE364">
            <v>3228.24</v>
          </cell>
          <cell r="AF364">
            <v>0.19000074343914936</v>
          </cell>
          <cell r="AG364">
            <v>4.7059698163705185E-2</v>
          </cell>
          <cell r="AH364">
            <v>3294</v>
          </cell>
          <cell r="AI364">
            <v>3358</v>
          </cell>
          <cell r="AJ364">
            <v>0.22130077427039896</v>
          </cell>
          <cell r="AK364">
            <v>3422.5</v>
          </cell>
          <cell r="AL364">
            <v>3487</v>
          </cell>
          <cell r="AM364">
            <v>0.25010840263837103</v>
          </cell>
          <cell r="AN364">
            <v>3977.16</v>
          </cell>
          <cell r="AO364">
            <v>4467.32</v>
          </cell>
          <cell r="AP364">
            <v>4957.4799999999996</v>
          </cell>
          <cell r="AQ364">
            <v>0</v>
          </cell>
          <cell r="AR364">
            <v>503</v>
          </cell>
          <cell r="AS364">
            <v>7193</v>
          </cell>
        </row>
        <row r="365">
          <cell r="B365" t="str">
            <v>AC</v>
          </cell>
          <cell r="C365" t="str">
            <v>IMP</v>
          </cell>
          <cell r="D365" t="str">
            <v>BT</v>
          </cell>
          <cell r="E365" t="str">
            <v>P3</v>
          </cell>
          <cell r="F365">
            <v>39924</v>
          </cell>
          <cell r="G365">
            <v>40001</v>
          </cell>
          <cell r="H365" t="str">
            <v>15SR</v>
          </cell>
          <cell r="I365" t="str">
            <v>3KMKMK707ADAP</v>
          </cell>
          <cell r="J365">
            <v>0</v>
          </cell>
          <cell r="K365" t="str">
            <v>MK-707 Adapter kit for TU-501</v>
          </cell>
          <cell r="L365">
            <v>1575</v>
          </cell>
          <cell r="M365">
            <v>612</v>
          </cell>
          <cell r="N365">
            <v>636.48</v>
          </cell>
          <cell r="O365">
            <v>-0.17647058823529407</v>
          </cell>
          <cell r="P365">
            <v>541.00800000000004</v>
          </cell>
          <cell r="Q365">
            <v>648.72</v>
          </cell>
          <cell r="R365">
            <v>733.05</v>
          </cell>
          <cell r="S365">
            <v>972.7</v>
          </cell>
          <cell r="T365">
            <v>0.3456564202734656</v>
          </cell>
          <cell r="U365">
            <v>753.25887999999998</v>
          </cell>
          <cell r="V365">
            <v>0.15503153444404127</v>
          </cell>
          <cell r="W365">
            <v>541.00800000000004</v>
          </cell>
          <cell r="X365">
            <v>0.5561920427675543</v>
          </cell>
          <cell r="Y365">
            <v>250</v>
          </cell>
          <cell r="Z365">
            <v>300</v>
          </cell>
          <cell r="AA365">
            <v>655</v>
          </cell>
          <cell r="AB365">
            <v>542</v>
          </cell>
          <cell r="AC365">
            <v>602</v>
          </cell>
          <cell r="AD365">
            <v>635</v>
          </cell>
          <cell r="AE365">
            <v>667.91</v>
          </cell>
          <cell r="AF365">
            <v>0.18999865251306305</v>
          </cell>
          <cell r="AG365">
            <v>4.7057238250662443E-2</v>
          </cell>
          <cell r="AH365">
            <v>682</v>
          </cell>
          <cell r="AI365">
            <v>695</v>
          </cell>
          <cell r="AJ365">
            <v>0.22157122302158269</v>
          </cell>
          <cell r="AK365">
            <v>708.5</v>
          </cell>
          <cell r="AL365">
            <v>722</v>
          </cell>
          <cell r="AM365">
            <v>0.25068144044321322</v>
          </cell>
          <cell r="AN365">
            <v>823.28</v>
          </cell>
          <cell r="AO365">
            <v>924.56</v>
          </cell>
          <cell r="AP365">
            <v>1025.8399999999999</v>
          </cell>
          <cell r="AQ365">
            <v>0</v>
          </cell>
          <cell r="AR365">
            <v>503</v>
          </cell>
          <cell r="AS365">
            <v>1575</v>
          </cell>
        </row>
        <row r="366">
          <cell r="B366" t="str">
            <v>AC</v>
          </cell>
          <cell r="C366" t="str">
            <v>IMP</v>
          </cell>
          <cell r="D366" t="str">
            <v>BT</v>
          </cell>
          <cell r="E366" t="str">
            <v>P3</v>
          </cell>
          <cell r="F366">
            <v>39924</v>
          </cell>
          <cell r="G366">
            <v>40001</v>
          </cell>
          <cell r="H366" t="str">
            <v>15ST</v>
          </cell>
          <cell r="I366" t="str">
            <v>6KMLU403LCT_N</v>
          </cell>
          <cell r="J366" t="str">
            <v>NLA</v>
          </cell>
          <cell r="K366" t="str">
            <v>LU-403 Large Capacity Tray (LTR)</v>
          </cell>
          <cell r="L366">
            <v>2100</v>
          </cell>
          <cell r="M366">
            <v>714</v>
          </cell>
          <cell r="N366">
            <v>742.56000000000006</v>
          </cell>
          <cell r="O366">
            <v>-0.17647058823529413</v>
          </cell>
          <cell r="P366">
            <v>631.17600000000004</v>
          </cell>
          <cell r="Q366">
            <v>756.84</v>
          </cell>
          <cell r="R366">
            <v>855.23</v>
          </cell>
          <cell r="S366">
            <v>1137.2</v>
          </cell>
          <cell r="T366">
            <v>0.34702778754836439</v>
          </cell>
          <cell r="U366">
            <v>880.64768000000004</v>
          </cell>
          <cell r="V366">
            <v>0.1568024116068755</v>
          </cell>
          <cell r="W366">
            <v>631.17600000000004</v>
          </cell>
          <cell r="X366">
            <v>0.55502638058389031</v>
          </cell>
          <cell r="Y366">
            <v>250</v>
          </cell>
          <cell r="Z366">
            <v>300</v>
          </cell>
          <cell r="AA366">
            <v>764</v>
          </cell>
          <cell r="AB366">
            <v>632</v>
          </cell>
          <cell r="AC366">
            <v>702</v>
          </cell>
          <cell r="AD366">
            <v>741</v>
          </cell>
          <cell r="AE366">
            <v>779.23</v>
          </cell>
          <cell r="AF366">
            <v>0.19000038499544419</v>
          </cell>
          <cell r="AG366">
            <v>4.7059276465228443E-2</v>
          </cell>
          <cell r="AH366">
            <v>796</v>
          </cell>
          <cell r="AI366">
            <v>811</v>
          </cell>
          <cell r="AJ366">
            <v>0.22173119605425395</v>
          </cell>
          <cell r="AK366">
            <v>826.5</v>
          </cell>
          <cell r="AL366">
            <v>842</v>
          </cell>
          <cell r="AM366">
            <v>0.25038479809976244</v>
          </cell>
          <cell r="AN366">
            <v>960.24</v>
          </cell>
          <cell r="AO366">
            <v>1078.48</v>
          </cell>
          <cell r="AP366">
            <v>1196.72</v>
          </cell>
          <cell r="AQ366">
            <v>0</v>
          </cell>
          <cell r="AR366">
            <v>503</v>
          </cell>
          <cell r="AS366">
            <v>2100</v>
          </cell>
        </row>
        <row r="367">
          <cell r="B367" t="str">
            <v>AC</v>
          </cell>
          <cell r="C367" t="str">
            <v>IMP</v>
          </cell>
          <cell r="D367" t="str">
            <v>BT</v>
          </cell>
          <cell r="E367" t="str">
            <v>P3</v>
          </cell>
          <cell r="F367">
            <v>39924</v>
          </cell>
          <cell r="G367">
            <v>40001</v>
          </cell>
          <cell r="H367" t="str">
            <v>15SX</v>
          </cell>
          <cell r="I367" t="str">
            <v>6KMLU404LCT_N</v>
          </cell>
          <cell r="J367" t="str">
            <v>NLA</v>
          </cell>
          <cell r="K367" t="str">
            <v>LU-404 Large Capacity Tray (12x18)</v>
          </cell>
          <cell r="L367">
            <v>2940</v>
          </cell>
          <cell r="M367">
            <v>918</v>
          </cell>
          <cell r="N367">
            <v>954.72</v>
          </cell>
          <cell r="O367">
            <v>-0.17647058823529407</v>
          </cell>
          <cell r="P367">
            <v>811.51200000000006</v>
          </cell>
          <cell r="Q367">
            <v>973.08</v>
          </cell>
          <cell r="R367">
            <v>1099.58</v>
          </cell>
          <cell r="S367">
            <v>1536.2</v>
          </cell>
          <cell r="T367">
            <v>0.37851842208045827</v>
          </cell>
          <cell r="U367">
            <v>1189.63328</v>
          </cell>
          <cell r="V367">
            <v>0.19746697066174879</v>
          </cell>
          <cell r="W367">
            <v>811.51200000000006</v>
          </cell>
          <cell r="X367">
            <v>0.52825934123161045</v>
          </cell>
          <cell r="Y367">
            <v>250</v>
          </cell>
          <cell r="Z367">
            <v>300</v>
          </cell>
          <cell r="AA367">
            <v>982</v>
          </cell>
          <cell r="AB367">
            <v>812</v>
          </cell>
          <cell r="AC367">
            <v>902</v>
          </cell>
          <cell r="AD367">
            <v>952</v>
          </cell>
          <cell r="AE367">
            <v>1001.87</v>
          </cell>
          <cell r="AF367">
            <v>0.19000269496042396</v>
          </cell>
          <cell r="AG367">
            <v>4.7061994071087042E-2</v>
          </cell>
          <cell r="AH367">
            <v>1023</v>
          </cell>
          <cell r="AI367">
            <v>1043</v>
          </cell>
          <cell r="AJ367">
            <v>0.22194439117929046</v>
          </cell>
          <cell r="AK367">
            <v>1063</v>
          </cell>
          <cell r="AL367">
            <v>1083</v>
          </cell>
          <cell r="AM367">
            <v>0.25068144044321322</v>
          </cell>
          <cell r="AN367">
            <v>1234.9100000000001</v>
          </cell>
          <cell r="AO367">
            <v>1386.82</v>
          </cell>
          <cell r="AP367">
            <v>1538.73</v>
          </cell>
          <cell r="AQ367">
            <v>0</v>
          </cell>
          <cell r="AR367">
            <v>503</v>
          </cell>
          <cell r="AS367">
            <v>2940</v>
          </cell>
        </row>
        <row r="368">
          <cell r="B368" t="str">
            <v>AC</v>
          </cell>
          <cell r="C368" t="str">
            <v>IMP</v>
          </cell>
          <cell r="D368" t="str">
            <v>BT</v>
          </cell>
          <cell r="E368" t="str">
            <v>08</v>
          </cell>
          <cell r="F368">
            <v>39924</v>
          </cell>
          <cell r="G368">
            <v>40001</v>
          </cell>
          <cell r="H368" t="str">
            <v>15US</v>
          </cell>
          <cell r="I368" t="str">
            <v>3KMKPK505_</v>
          </cell>
          <cell r="J368" t="str">
            <v>x</v>
          </cell>
          <cell r="K368" t="str">
            <v>PK-505 2/3 Hole Punch Kit</v>
          </cell>
          <cell r="L368">
            <v>788</v>
          </cell>
          <cell r="M368">
            <v>240</v>
          </cell>
          <cell r="N368">
            <v>249.60000000000002</v>
          </cell>
          <cell r="O368">
            <v>0.2641509433962263</v>
          </cell>
          <cell r="P368">
            <v>339.2</v>
          </cell>
          <cell r="Q368">
            <v>254.4</v>
          </cell>
          <cell r="R368">
            <v>287.47000000000003</v>
          </cell>
          <cell r="S368">
            <v>424</v>
          </cell>
          <cell r="T368">
            <v>0.4113207547169811</v>
          </cell>
          <cell r="U368">
            <v>328.34559999999999</v>
          </cell>
          <cell r="V368">
            <v>0.23982535474816769</v>
          </cell>
          <cell r="W368">
            <v>339.2</v>
          </cell>
          <cell r="X368">
            <v>0.79999999999999993</v>
          </cell>
          <cell r="Y368">
            <v>150</v>
          </cell>
          <cell r="Z368">
            <v>300</v>
          </cell>
          <cell r="AA368">
            <v>410</v>
          </cell>
          <cell r="AB368">
            <v>340</v>
          </cell>
          <cell r="AC368">
            <v>377</v>
          </cell>
          <cell r="AD368">
            <v>398</v>
          </cell>
          <cell r="AE368">
            <v>418.77</v>
          </cell>
          <cell r="AF368">
            <v>0.19000883539890631</v>
          </cell>
          <cell r="AG368">
            <v>0.40396876567089324</v>
          </cell>
          <cell r="AH368">
            <v>466</v>
          </cell>
          <cell r="AI368">
            <v>513</v>
          </cell>
          <cell r="AJ368">
            <v>0.33879142300194937</v>
          </cell>
          <cell r="AK368">
            <v>559.5</v>
          </cell>
          <cell r="AL368">
            <v>606</v>
          </cell>
          <cell r="AM368">
            <v>0.44026402640264028</v>
          </cell>
          <cell r="AN368">
            <v>651.5</v>
          </cell>
          <cell r="AO368">
            <v>697</v>
          </cell>
          <cell r="AP368">
            <v>742.5</v>
          </cell>
          <cell r="AQ368">
            <v>0</v>
          </cell>
          <cell r="AR368">
            <v>503</v>
          </cell>
          <cell r="AS368">
            <v>788</v>
          </cell>
        </row>
        <row r="369">
          <cell r="B369" t="str">
            <v>AC</v>
          </cell>
          <cell r="C369" t="str">
            <v>IMP</v>
          </cell>
          <cell r="D369" t="str">
            <v>BT</v>
          </cell>
          <cell r="E369" t="str">
            <v>P3</v>
          </cell>
          <cell r="F369">
            <v>39924</v>
          </cell>
          <cell r="G369">
            <v>40001</v>
          </cell>
          <cell r="H369" t="str">
            <v>15VF</v>
          </cell>
          <cell r="I369" t="str">
            <v>6KMFS516STPFIN_N</v>
          </cell>
          <cell r="J369">
            <v>0</v>
          </cell>
          <cell r="K369" t="str">
            <v>FS-516 100 Sheet Staple Finisher with Staple cut</v>
          </cell>
          <cell r="L369">
            <v>5408</v>
          </cell>
          <cell r="M369">
            <v>1790</v>
          </cell>
          <cell r="N369">
            <v>1861.6000000000001</v>
          </cell>
          <cell r="O369">
            <v>-0.1764705882352941</v>
          </cell>
          <cell r="P369">
            <v>1582.3600000000001</v>
          </cell>
          <cell r="Q369">
            <v>1897.4</v>
          </cell>
          <cell r="R369">
            <v>2144.06</v>
          </cell>
          <cell r="S369">
            <v>2774.1</v>
          </cell>
          <cell r="T369">
            <v>0.32893551061605558</v>
          </cell>
          <cell r="U369">
            <v>2148.2630399999998</v>
          </cell>
          <cell r="V369">
            <v>0.13343945069222049</v>
          </cell>
          <cell r="W369">
            <v>1582.3600000000001</v>
          </cell>
          <cell r="X369">
            <v>0.57040481597635273</v>
          </cell>
          <cell r="Y369">
            <v>150</v>
          </cell>
          <cell r="Z369">
            <v>300</v>
          </cell>
          <cell r="AA369">
            <v>1914</v>
          </cell>
          <cell r="AB369">
            <v>1583</v>
          </cell>
          <cell r="AC369">
            <v>1759</v>
          </cell>
          <cell r="AD369">
            <v>1857</v>
          </cell>
          <cell r="AE369">
            <v>1953.53</v>
          </cell>
          <cell r="AF369">
            <v>0.18999964167430233</v>
          </cell>
          <cell r="AG369">
            <v>4.7058401969767467E-2</v>
          </cell>
          <cell r="AH369">
            <v>1993</v>
          </cell>
          <cell r="AI369">
            <v>2032</v>
          </cell>
          <cell r="AJ369">
            <v>0.22127952755905506</v>
          </cell>
          <cell r="AK369">
            <v>2071</v>
          </cell>
          <cell r="AL369">
            <v>2110</v>
          </cell>
          <cell r="AM369">
            <v>0.25006635071090039</v>
          </cell>
          <cell r="AN369">
            <v>2406.65</v>
          </cell>
          <cell r="AO369">
            <v>2703.3</v>
          </cell>
          <cell r="AP369">
            <v>2999.95</v>
          </cell>
          <cell r="AQ369">
            <v>0</v>
          </cell>
          <cell r="AR369">
            <v>503</v>
          </cell>
          <cell r="AS369">
            <v>5408</v>
          </cell>
        </row>
        <row r="370">
          <cell r="B370" t="str">
            <v>AC</v>
          </cell>
          <cell r="C370" t="str">
            <v>IMP</v>
          </cell>
          <cell r="D370" t="str">
            <v>BT</v>
          </cell>
          <cell r="E370" t="str">
            <v>P3</v>
          </cell>
          <cell r="F370">
            <v>39924</v>
          </cell>
          <cell r="G370">
            <v>40001</v>
          </cell>
          <cell r="H370" t="str">
            <v>16AA</v>
          </cell>
          <cell r="I370" t="str">
            <v>6KMLU201LCT_N</v>
          </cell>
          <cell r="J370" t="str">
            <v>x</v>
          </cell>
          <cell r="K370" t="str">
            <v>LU-201 Large Capacity Tray -2K</v>
          </cell>
          <cell r="L370">
            <v>1449</v>
          </cell>
          <cell r="M370">
            <v>449</v>
          </cell>
          <cell r="N370">
            <v>466.96000000000004</v>
          </cell>
          <cell r="O370">
            <v>-0.17647058823529421</v>
          </cell>
          <cell r="P370">
            <v>396.916</v>
          </cell>
          <cell r="Q370">
            <v>475.94</v>
          </cell>
          <cell r="R370">
            <v>537.80999999999995</v>
          </cell>
          <cell r="S370">
            <v>723.6</v>
          </cell>
          <cell r="T370">
            <v>0.35467108899944716</v>
          </cell>
          <cell r="U370">
            <v>560.35584000000006</v>
          </cell>
          <cell r="V370">
            <v>0.16667237732366635</v>
          </cell>
          <cell r="W370">
            <v>396.916</v>
          </cell>
          <cell r="X370">
            <v>0.5485295743504699</v>
          </cell>
          <cell r="Y370">
            <v>150</v>
          </cell>
          <cell r="Z370">
            <v>300</v>
          </cell>
          <cell r="AA370">
            <v>480</v>
          </cell>
          <cell r="AB370">
            <v>397</v>
          </cell>
          <cell r="AC370">
            <v>442</v>
          </cell>
          <cell r="AD370">
            <v>467</v>
          </cell>
          <cell r="AE370">
            <v>490.02</v>
          </cell>
          <cell r="AF370">
            <v>0.19000040814660624</v>
          </cell>
          <cell r="AG370">
            <v>4.7059303701889606E-2</v>
          </cell>
          <cell r="AH370">
            <v>501</v>
          </cell>
          <cell r="AI370">
            <v>511</v>
          </cell>
          <cell r="AJ370">
            <v>0.2232563600782779</v>
          </cell>
          <cell r="AK370">
            <v>520.5</v>
          </cell>
          <cell r="AL370">
            <v>530</v>
          </cell>
          <cell r="AM370">
            <v>0.25110188679245282</v>
          </cell>
          <cell r="AN370">
            <v>604.23</v>
          </cell>
          <cell r="AO370">
            <v>678.46</v>
          </cell>
          <cell r="AP370">
            <v>752.69</v>
          </cell>
          <cell r="AQ370">
            <v>0</v>
          </cell>
          <cell r="AR370">
            <v>460</v>
          </cell>
          <cell r="AS370">
            <v>1449</v>
          </cell>
        </row>
        <row r="371">
          <cell r="B371" t="str">
            <v>AC</v>
          </cell>
          <cell r="C371" t="str">
            <v>IMP</v>
          </cell>
          <cell r="D371" t="str">
            <v>BT</v>
          </cell>
          <cell r="E371" t="str">
            <v>P3</v>
          </cell>
          <cell r="F371">
            <v>39924</v>
          </cell>
          <cell r="G371">
            <v>40053</v>
          </cell>
          <cell r="H371" t="str">
            <v>16BA</v>
          </cell>
          <cell r="I371" t="str">
            <v>3KMHOT501OPT</v>
          </cell>
          <cell r="J371" t="str">
            <v>NLA</v>
          </cell>
          <cell r="K371" t="str">
            <v>OT-501 Output tray</v>
          </cell>
          <cell r="L371">
            <v>158</v>
          </cell>
          <cell r="M371">
            <v>51</v>
          </cell>
          <cell r="N371">
            <v>53.04</v>
          </cell>
          <cell r="O371">
            <v>-0.17647058823529421</v>
          </cell>
          <cell r="P371">
            <v>45.083999999999996</v>
          </cell>
          <cell r="Q371">
            <v>54.06</v>
          </cell>
          <cell r="R371">
            <v>61.09</v>
          </cell>
          <cell r="S371">
            <v>87.9</v>
          </cell>
          <cell r="T371">
            <v>0.39658703071672358</v>
          </cell>
          <cell r="U371">
            <v>68.069760000000002</v>
          </cell>
          <cell r="V371">
            <v>0.22079936817758727</v>
          </cell>
          <cell r="W371">
            <v>45.083999999999996</v>
          </cell>
          <cell r="X371">
            <v>0.51290102389078496</v>
          </cell>
          <cell r="Y371">
            <v>150</v>
          </cell>
          <cell r="Z371">
            <v>300</v>
          </cell>
          <cell r="AA371">
            <v>55</v>
          </cell>
          <cell r="AB371">
            <v>46</v>
          </cell>
          <cell r="AC371">
            <v>51</v>
          </cell>
          <cell r="AD371">
            <v>54</v>
          </cell>
          <cell r="AE371">
            <v>55.66</v>
          </cell>
          <cell r="AF371">
            <v>0.19001077973409991</v>
          </cell>
          <cell r="AG371">
            <v>4.7071505569529243E-2</v>
          </cell>
          <cell r="AH371">
            <v>58</v>
          </cell>
          <cell r="AI371">
            <v>59</v>
          </cell>
          <cell r="AJ371">
            <v>0.23586440677966108</v>
          </cell>
          <cell r="AK371">
            <v>60</v>
          </cell>
          <cell r="AL371">
            <v>61</v>
          </cell>
          <cell r="AM371">
            <v>0.2609180327868853</v>
          </cell>
          <cell r="AN371">
            <v>69.23</v>
          </cell>
          <cell r="AO371">
            <v>77.459999999999994</v>
          </cell>
          <cell r="AP371">
            <v>85.69</v>
          </cell>
          <cell r="AQ371">
            <v>0</v>
          </cell>
          <cell r="AR371">
            <v>460</v>
          </cell>
          <cell r="AS371">
            <v>158</v>
          </cell>
        </row>
        <row r="372">
          <cell r="B372" t="str">
            <v>AC</v>
          </cell>
          <cell r="C372" t="str">
            <v>IMP</v>
          </cell>
          <cell r="D372" t="str">
            <v>BT</v>
          </cell>
          <cell r="E372" t="str">
            <v>P3</v>
          </cell>
          <cell r="F372">
            <v>39924</v>
          </cell>
          <cell r="G372">
            <v>40001</v>
          </cell>
          <cell r="H372" t="str">
            <v>16FA</v>
          </cell>
          <cell r="I372" t="str">
            <v>3KMHRU502</v>
          </cell>
          <cell r="J372" t="str">
            <v>x</v>
          </cell>
          <cell r="K372" t="str">
            <v>RU502</v>
          </cell>
          <cell r="L372">
            <v>263</v>
          </cell>
          <cell r="M372">
            <v>102</v>
          </cell>
          <cell r="N372">
            <v>106.08</v>
          </cell>
          <cell r="O372">
            <v>-0.17647058823529421</v>
          </cell>
          <cell r="P372">
            <v>90.167999999999992</v>
          </cell>
          <cell r="Q372">
            <v>108.12</v>
          </cell>
          <cell r="R372">
            <v>122.18</v>
          </cell>
          <cell r="S372">
            <v>149.69999999999999</v>
          </cell>
          <cell r="T372">
            <v>0.29138276553106207</v>
          </cell>
          <cell r="U372">
            <v>115.92767999999998</v>
          </cell>
          <cell r="V372">
            <v>8.4946753010152407E-2</v>
          </cell>
          <cell r="W372">
            <v>90.167999999999992</v>
          </cell>
          <cell r="X372">
            <v>0.60232464929859719</v>
          </cell>
          <cell r="Y372">
            <v>150</v>
          </cell>
          <cell r="Z372">
            <v>300</v>
          </cell>
          <cell r="AA372">
            <v>109</v>
          </cell>
          <cell r="AB372">
            <v>91</v>
          </cell>
          <cell r="AC372">
            <v>101</v>
          </cell>
          <cell r="AD372">
            <v>107</v>
          </cell>
          <cell r="AE372">
            <v>111.32</v>
          </cell>
          <cell r="AF372">
            <v>0.19001077973409991</v>
          </cell>
          <cell r="AG372">
            <v>4.7071505569529243E-2</v>
          </cell>
          <cell r="AH372">
            <v>115</v>
          </cell>
          <cell r="AI372">
            <v>117</v>
          </cell>
          <cell r="AJ372">
            <v>0.22933333333333339</v>
          </cell>
          <cell r="AK372">
            <v>119</v>
          </cell>
          <cell r="AL372">
            <v>121</v>
          </cell>
          <cell r="AM372">
            <v>0.25480991735537195</v>
          </cell>
          <cell r="AN372">
            <v>137.71</v>
          </cell>
          <cell r="AO372">
            <v>154.41999999999999</v>
          </cell>
          <cell r="AP372">
            <v>171.13</v>
          </cell>
          <cell r="AQ372">
            <v>0</v>
          </cell>
          <cell r="AR372">
            <v>425</v>
          </cell>
          <cell r="AS372">
            <v>263</v>
          </cell>
        </row>
        <row r="373">
          <cell r="B373" t="str">
            <v>AC</v>
          </cell>
          <cell r="C373" t="str">
            <v>IMP</v>
          </cell>
          <cell r="D373" t="str">
            <v>BT</v>
          </cell>
          <cell r="E373" t="str">
            <v>P3</v>
          </cell>
          <cell r="F373">
            <v>39924</v>
          </cell>
          <cell r="G373">
            <v>40001</v>
          </cell>
          <cell r="H373" t="str">
            <v>16GA</v>
          </cell>
          <cell r="I373" t="str">
            <v>3KMHHD50440GVHDD</v>
          </cell>
          <cell r="J373" t="str">
            <v>NLA</v>
          </cell>
          <cell r="K373" t="str">
            <v>HD-505 HDD - 40GB</v>
          </cell>
          <cell r="L373">
            <v>893</v>
          </cell>
          <cell r="M373">
            <v>316</v>
          </cell>
          <cell r="N373">
            <v>328.64</v>
          </cell>
          <cell r="O373">
            <v>-0.1764705882352941</v>
          </cell>
          <cell r="P373">
            <v>279.34399999999999</v>
          </cell>
          <cell r="Q373">
            <v>334.96</v>
          </cell>
          <cell r="R373">
            <v>378.5</v>
          </cell>
          <cell r="S373">
            <v>508.8</v>
          </cell>
          <cell r="T373">
            <v>0.35408805031446544</v>
          </cell>
          <cell r="U373">
            <v>394.01472000000001</v>
          </cell>
          <cell r="V373">
            <v>0.16591948645979526</v>
          </cell>
          <cell r="W373">
            <v>279.34399999999999</v>
          </cell>
          <cell r="X373">
            <v>0.5490251572327044</v>
          </cell>
          <cell r="Y373">
            <v>150</v>
          </cell>
          <cell r="Z373">
            <v>300</v>
          </cell>
          <cell r="AA373">
            <v>338</v>
          </cell>
          <cell r="AB373">
            <v>280</v>
          </cell>
          <cell r="AC373">
            <v>311</v>
          </cell>
          <cell r="AD373">
            <v>328</v>
          </cell>
          <cell r="AE373">
            <v>344.87</v>
          </cell>
          <cell r="AF373">
            <v>0.19000202975034072</v>
          </cell>
          <cell r="AG373">
            <v>4.7061211470989121E-2</v>
          </cell>
          <cell r="AH373">
            <v>352</v>
          </cell>
          <cell r="AI373">
            <v>359</v>
          </cell>
          <cell r="AJ373">
            <v>0.22188300835654598</v>
          </cell>
          <cell r="AK373">
            <v>366</v>
          </cell>
          <cell r="AL373">
            <v>373</v>
          </cell>
          <cell r="AM373">
            <v>0.25108847184986599</v>
          </cell>
          <cell r="AN373">
            <v>425.24</v>
          </cell>
          <cell r="AO373">
            <v>477.48</v>
          </cell>
          <cell r="AP373">
            <v>529.72</v>
          </cell>
          <cell r="AQ373">
            <v>0</v>
          </cell>
          <cell r="AR373">
            <v>460</v>
          </cell>
          <cell r="AS373">
            <v>893</v>
          </cell>
        </row>
        <row r="374">
          <cell r="B374" t="str">
            <v>AC</v>
          </cell>
          <cell r="C374" t="str">
            <v>IMP</v>
          </cell>
          <cell r="D374" t="str">
            <v>BT</v>
          </cell>
          <cell r="E374" t="str">
            <v>P3</v>
          </cell>
          <cell r="F374">
            <v>39924</v>
          </cell>
          <cell r="G374">
            <v>40001</v>
          </cell>
          <cell r="H374" t="str">
            <v>16HA</v>
          </cell>
          <cell r="I374" t="str">
            <v>3KMKSC502HDDEK</v>
          </cell>
          <cell r="J374">
            <v>0</v>
          </cell>
          <cell r="K374" t="str">
            <v>SC-502 HDD Encryption Kit</v>
          </cell>
          <cell r="L374">
            <v>525</v>
          </cell>
          <cell r="M374">
            <v>143</v>
          </cell>
          <cell r="N374">
            <v>148.72</v>
          </cell>
          <cell r="O374">
            <v>-0.17647058823529418</v>
          </cell>
          <cell r="P374">
            <v>126.41199999999999</v>
          </cell>
          <cell r="Q374">
            <v>151.58000000000001</v>
          </cell>
          <cell r="R374">
            <v>171.29</v>
          </cell>
          <cell r="S374">
            <v>274.39999999999998</v>
          </cell>
          <cell r="T374">
            <v>0.45801749271137021</v>
          </cell>
          <cell r="U374">
            <v>212.49535999999998</v>
          </cell>
          <cell r="V374">
            <v>0.30012589451364957</v>
          </cell>
          <cell r="W374">
            <v>126.41199999999999</v>
          </cell>
          <cell r="X374">
            <v>0.46068513119533527</v>
          </cell>
          <cell r="Y374">
            <v>150</v>
          </cell>
          <cell r="Z374">
            <v>300</v>
          </cell>
          <cell r="AA374">
            <v>153</v>
          </cell>
          <cell r="AB374">
            <v>127</v>
          </cell>
          <cell r="AC374">
            <v>141</v>
          </cell>
          <cell r="AD374">
            <v>149</v>
          </cell>
          <cell r="AE374">
            <v>156.06</v>
          </cell>
          <cell r="AF374">
            <v>0.18997821350762534</v>
          </cell>
          <cell r="AG374">
            <v>4.7033192361912106E-2</v>
          </cell>
          <cell r="AH374">
            <v>160</v>
          </cell>
          <cell r="AI374">
            <v>163</v>
          </cell>
          <cell r="AJ374">
            <v>0.2244662576687117</v>
          </cell>
          <cell r="AK374">
            <v>166</v>
          </cell>
          <cell r="AL374">
            <v>169</v>
          </cell>
          <cell r="AM374">
            <v>0.25200000000000006</v>
          </cell>
          <cell r="AN374">
            <v>192.59</v>
          </cell>
          <cell r="AO374">
            <v>216.18</v>
          </cell>
          <cell r="AP374">
            <v>239.77</v>
          </cell>
          <cell r="AQ374">
            <v>0</v>
          </cell>
          <cell r="AR374">
            <v>460</v>
          </cell>
          <cell r="AS374">
            <v>525</v>
          </cell>
        </row>
        <row r="375">
          <cell r="B375" t="str">
            <v>AC</v>
          </cell>
          <cell r="C375" t="str">
            <v>IMP</v>
          </cell>
          <cell r="D375" t="str">
            <v>BT</v>
          </cell>
          <cell r="E375" t="str">
            <v>P3</v>
          </cell>
          <cell r="F375">
            <v>39924</v>
          </cell>
          <cell r="G375">
            <v>40001</v>
          </cell>
          <cell r="H375" t="str">
            <v>16JE</v>
          </cell>
          <cell r="I375" t="str">
            <v>4KMIC204IC_N</v>
          </cell>
          <cell r="J375">
            <v>0</v>
          </cell>
          <cell r="K375" t="str">
            <v>IC-204</v>
          </cell>
          <cell r="L375">
            <v>1575</v>
          </cell>
          <cell r="M375">
            <v>204</v>
          </cell>
          <cell r="N375">
            <v>212.16</v>
          </cell>
          <cell r="O375">
            <v>-0.17647058823529421</v>
          </cell>
          <cell r="P375">
            <v>180.33599999999998</v>
          </cell>
          <cell r="Q375">
            <v>216.24</v>
          </cell>
          <cell r="R375">
            <v>244.35</v>
          </cell>
          <cell r="S375">
            <v>798</v>
          </cell>
          <cell r="T375">
            <v>0.73413533834586475</v>
          </cell>
          <cell r="U375">
            <v>617.97119999999995</v>
          </cell>
          <cell r="V375">
            <v>0.65668302988877159</v>
          </cell>
          <cell r="W375">
            <v>180.33599999999998</v>
          </cell>
          <cell r="X375">
            <v>0.22598496240601501</v>
          </cell>
          <cell r="Y375">
            <v>150</v>
          </cell>
          <cell r="Z375">
            <v>300</v>
          </cell>
          <cell r="AA375">
            <v>218</v>
          </cell>
          <cell r="AB375">
            <v>181</v>
          </cell>
          <cell r="AC375">
            <v>201</v>
          </cell>
          <cell r="AD375">
            <v>212</v>
          </cell>
          <cell r="AE375">
            <v>222.64</v>
          </cell>
          <cell r="AF375">
            <v>0.19001077973409991</v>
          </cell>
          <cell r="AG375">
            <v>4.7071505569529243E-2</v>
          </cell>
          <cell r="AH375">
            <v>228</v>
          </cell>
          <cell r="AI375">
            <v>232</v>
          </cell>
          <cell r="AJ375">
            <v>0.22268965517241385</v>
          </cell>
          <cell r="AK375">
            <v>236.5</v>
          </cell>
          <cell r="AL375">
            <v>241</v>
          </cell>
          <cell r="AM375">
            <v>0.25171784232365152</v>
          </cell>
          <cell r="AN375">
            <v>274.68</v>
          </cell>
          <cell r="AO375">
            <v>308.36</v>
          </cell>
          <cell r="AP375">
            <v>342.04</v>
          </cell>
          <cell r="AQ375">
            <v>0</v>
          </cell>
          <cell r="AR375">
            <v>460</v>
          </cell>
          <cell r="AS375">
            <v>1575</v>
          </cell>
        </row>
        <row r="376">
          <cell r="B376" t="str">
            <v>AC</v>
          </cell>
          <cell r="C376" t="str">
            <v>IMP</v>
          </cell>
          <cell r="D376" t="str">
            <v>BT</v>
          </cell>
          <cell r="E376" t="str">
            <v>08</v>
          </cell>
          <cell r="F376">
            <v>39924</v>
          </cell>
          <cell r="G376">
            <v>40001</v>
          </cell>
          <cell r="H376" t="str">
            <v>16LA</v>
          </cell>
          <cell r="I376" t="str">
            <v>3KMKMK708</v>
          </cell>
          <cell r="J376">
            <v>0</v>
          </cell>
          <cell r="K376" t="str">
            <v>MK-708</v>
          </cell>
          <cell r="L376">
            <v>242</v>
          </cell>
          <cell r="M376">
            <v>51</v>
          </cell>
          <cell r="N376">
            <v>53.04</v>
          </cell>
          <cell r="O376">
            <v>0.50816023738872407</v>
          </cell>
          <cell r="P376">
            <v>107.84</v>
          </cell>
          <cell r="Q376">
            <v>54.06</v>
          </cell>
          <cell r="R376">
            <v>61.09</v>
          </cell>
          <cell r="S376">
            <v>134.80000000000001</v>
          </cell>
          <cell r="T376">
            <v>0.60652818991097934</v>
          </cell>
          <cell r="U376">
            <v>104.38912000000001</v>
          </cell>
          <cell r="V376">
            <v>0.49190107168256619</v>
          </cell>
          <cell r="W376">
            <v>107.84</v>
          </cell>
          <cell r="X376">
            <v>0.79999999999999993</v>
          </cell>
          <cell r="Y376">
            <v>150</v>
          </cell>
          <cell r="Z376">
            <v>175</v>
          </cell>
          <cell r="AA376">
            <v>130</v>
          </cell>
          <cell r="AB376">
            <v>108</v>
          </cell>
          <cell r="AC376">
            <v>120</v>
          </cell>
          <cell r="AD376">
            <v>127</v>
          </cell>
          <cell r="AE376">
            <v>133.13999999999999</v>
          </cell>
          <cell r="AF376">
            <v>0.19002553702869149</v>
          </cell>
          <cell r="AG376">
            <v>0.60162235241099593</v>
          </cell>
          <cell r="AH376">
            <v>149</v>
          </cell>
          <cell r="AI376">
            <v>164</v>
          </cell>
          <cell r="AJ376">
            <v>0.34243902439024387</v>
          </cell>
          <cell r="AK376">
            <v>178.5</v>
          </cell>
          <cell r="AL376">
            <v>193</v>
          </cell>
          <cell r="AM376">
            <v>0.44124352331606215</v>
          </cell>
          <cell r="AN376">
            <v>205.25</v>
          </cell>
          <cell r="AO376">
            <v>217.5</v>
          </cell>
          <cell r="AP376">
            <v>229.75</v>
          </cell>
          <cell r="AQ376">
            <v>0</v>
          </cell>
          <cell r="AR376">
            <v>400</v>
          </cell>
          <cell r="AS376">
            <v>242</v>
          </cell>
        </row>
        <row r="377">
          <cell r="B377" t="str">
            <v>AC</v>
          </cell>
          <cell r="C377" t="str">
            <v>IMP</v>
          </cell>
          <cell r="D377" t="str">
            <v>BT</v>
          </cell>
          <cell r="E377" t="str">
            <v>08</v>
          </cell>
          <cell r="F377">
            <v>39924</v>
          </cell>
          <cell r="G377">
            <v>40001</v>
          </cell>
          <cell r="H377" t="str">
            <v>16PA</v>
          </cell>
          <cell r="I377" t="str">
            <v>3KMHML503</v>
          </cell>
          <cell r="J377">
            <v>0</v>
          </cell>
          <cell r="K377" t="str">
            <v>ML-503</v>
          </cell>
          <cell r="L377">
            <v>242</v>
          </cell>
          <cell r="M377">
            <v>71</v>
          </cell>
          <cell r="N377">
            <v>73.84</v>
          </cell>
          <cell r="O377">
            <v>0.31528189910979226</v>
          </cell>
          <cell r="P377">
            <v>107.84</v>
          </cell>
          <cell r="Q377">
            <v>75.260000000000005</v>
          </cell>
          <cell r="R377">
            <v>85.04</v>
          </cell>
          <cell r="S377">
            <v>134.80000000000001</v>
          </cell>
          <cell r="T377">
            <v>0.45222551928783383</v>
          </cell>
          <cell r="U377">
            <v>104.38912000000001</v>
          </cell>
          <cell r="V377">
            <v>0.29264658998945486</v>
          </cell>
          <cell r="W377">
            <v>107.84</v>
          </cell>
          <cell r="X377">
            <v>0.79999999999999993</v>
          </cell>
          <cell r="Y377">
            <v>800</v>
          </cell>
          <cell r="Z377">
            <v>500</v>
          </cell>
          <cell r="AA377">
            <v>130</v>
          </cell>
          <cell r="AB377">
            <v>108</v>
          </cell>
          <cell r="AC377">
            <v>120</v>
          </cell>
          <cell r="AD377">
            <v>127</v>
          </cell>
          <cell r="AE377">
            <v>133.13999999999999</v>
          </cell>
          <cell r="AF377">
            <v>0.19002553702869149</v>
          </cell>
          <cell r="AG377">
            <v>0.44539582394471977</v>
          </cell>
          <cell r="AH377">
            <v>149</v>
          </cell>
          <cell r="AI377">
            <v>164</v>
          </cell>
          <cell r="AJ377">
            <v>0.34243902439024387</v>
          </cell>
          <cell r="AK377">
            <v>178.5</v>
          </cell>
          <cell r="AL377">
            <v>193</v>
          </cell>
          <cell r="AM377">
            <v>0.44124352331606215</v>
          </cell>
          <cell r="AN377">
            <v>205.25</v>
          </cell>
          <cell r="AO377">
            <v>217.5</v>
          </cell>
          <cell r="AP377">
            <v>229.75</v>
          </cell>
          <cell r="AQ377">
            <v>0</v>
          </cell>
          <cell r="AR377">
            <v>671</v>
          </cell>
          <cell r="AS377">
            <v>242</v>
          </cell>
        </row>
        <row r="378">
          <cell r="B378" t="str">
            <v>AC</v>
          </cell>
          <cell r="C378" t="str">
            <v>IMP</v>
          </cell>
          <cell r="D378" t="str">
            <v>BT</v>
          </cell>
          <cell r="E378" t="str">
            <v>DLR</v>
          </cell>
          <cell r="F378">
            <v>39924</v>
          </cell>
          <cell r="G378">
            <v>40001</v>
          </cell>
          <cell r="H378" t="str">
            <v>4344X002</v>
          </cell>
          <cell r="I378" t="str">
            <v>7KMRADF605_N</v>
          </cell>
          <cell r="J378">
            <v>0</v>
          </cell>
          <cell r="K378" t="str">
            <v>DF-605 Kit (Includes DF-605 and MK-501 Mount Kit)</v>
          </cell>
          <cell r="L378">
            <v>1392</v>
          </cell>
          <cell r="M378">
            <v>525</v>
          </cell>
          <cell r="N378">
            <v>546</v>
          </cell>
          <cell r="O378">
            <v>0.11764705882352934</v>
          </cell>
          <cell r="P378">
            <v>618.79999999999995</v>
          </cell>
          <cell r="Q378">
            <v>556.5</v>
          </cell>
          <cell r="R378">
            <v>628.85</v>
          </cell>
          <cell r="S378">
            <v>773.5</v>
          </cell>
          <cell r="T378">
            <v>0.29411764705882354</v>
          </cell>
          <cell r="U378">
            <v>598.99839999999995</v>
          </cell>
          <cell r="V378">
            <v>8.8478366553232782E-2</v>
          </cell>
          <cell r="W378">
            <v>618.79999999999995</v>
          </cell>
          <cell r="X378">
            <v>0.79999999999999993</v>
          </cell>
          <cell r="Y378">
            <v>800</v>
          </cell>
          <cell r="Z378">
            <v>500</v>
          </cell>
          <cell r="AA378">
            <v>749</v>
          </cell>
          <cell r="AB378">
            <v>619</v>
          </cell>
          <cell r="AC378">
            <v>688</v>
          </cell>
          <cell r="AD378">
            <v>726</v>
          </cell>
          <cell r="AE378">
            <v>763.95</v>
          </cell>
          <cell r="AF378">
            <v>0.189999345506905</v>
          </cell>
          <cell r="AG378">
            <v>0.28529354015315145</v>
          </cell>
          <cell r="AH378">
            <v>850</v>
          </cell>
          <cell r="AI378">
            <v>935</v>
          </cell>
          <cell r="AJ378">
            <v>0.33818181818181825</v>
          </cell>
          <cell r="AK378">
            <v>1020</v>
          </cell>
          <cell r="AL378">
            <v>1105</v>
          </cell>
          <cell r="AM378">
            <v>0.44000000000000006</v>
          </cell>
          <cell r="AN378">
            <v>1176.75</v>
          </cell>
          <cell r="AO378">
            <v>1248.5</v>
          </cell>
          <cell r="AP378">
            <v>1320.25</v>
          </cell>
          <cell r="AQ378">
            <v>0</v>
          </cell>
          <cell r="AR378">
            <v>671</v>
          </cell>
          <cell r="AS378">
            <v>1392</v>
          </cell>
        </row>
        <row r="379">
          <cell r="B379" t="str">
            <v>AC</v>
          </cell>
          <cell r="C379" t="str">
            <v>IMP</v>
          </cell>
          <cell r="D379" t="str">
            <v>BT</v>
          </cell>
          <cell r="E379" t="str">
            <v>DLR</v>
          </cell>
          <cell r="F379">
            <v>39924</v>
          </cell>
          <cell r="G379">
            <v>40001</v>
          </cell>
          <cell r="H379" t="str">
            <v>4521X001</v>
          </cell>
          <cell r="I379" t="str">
            <v>6KMFS511CF_N</v>
          </cell>
          <cell r="J379">
            <v>0</v>
          </cell>
          <cell r="K379" t="str">
            <v>FS-511 50 sheets staple with RU-502</v>
          </cell>
          <cell r="L379">
            <v>3255</v>
          </cell>
          <cell r="M379">
            <v>1020</v>
          </cell>
          <cell r="N379">
            <v>1060.8</v>
          </cell>
          <cell r="O379">
            <v>0.19971030237189935</v>
          </cell>
          <cell r="P379">
            <v>1325.52</v>
          </cell>
          <cell r="Q379">
            <v>1081.2</v>
          </cell>
          <cell r="R379">
            <v>1221.76</v>
          </cell>
          <cell r="S379">
            <v>1656.9</v>
          </cell>
          <cell r="T379">
            <v>0.35976824189751955</v>
          </cell>
          <cell r="U379">
            <v>1283.1033600000001</v>
          </cell>
          <cell r="V379">
            <v>0.17325444459906963</v>
          </cell>
          <cell r="W379">
            <v>1325.52</v>
          </cell>
          <cell r="X379">
            <v>0.79999999999999993</v>
          </cell>
          <cell r="Y379">
            <v>60</v>
          </cell>
          <cell r="Z379">
            <v>70</v>
          </cell>
          <cell r="AA379">
            <v>1604</v>
          </cell>
          <cell r="AB379">
            <v>1326</v>
          </cell>
          <cell r="AC379">
            <v>1473</v>
          </cell>
          <cell r="AD379">
            <v>1555</v>
          </cell>
          <cell r="AE379">
            <v>1636.44</v>
          </cell>
          <cell r="AF379">
            <v>0.1899978001026619</v>
          </cell>
          <cell r="AG379">
            <v>0.35176358436606298</v>
          </cell>
          <cell r="AH379">
            <v>1820</v>
          </cell>
          <cell r="AI379">
            <v>2002</v>
          </cell>
          <cell r="AJ379">
            <v>0.33790209790209791</v>
          </cell>
          <cell r="AK379">
            <v>2184.5</v>
          </cell>
          <cell r="AL379">
            <v>2367</v>
          </cell>
          <cell r="AM379">
            <v>0.44</v>
          </cell>
          <cell r="AN379">
            <v>2589</v>
          </cell>
          <cell r="AO379">
            <v>2811</v>
          </cell>
          <cell r="AP379">
            <v>3033</v>
          </cell>
          <cell r="AQ379">
            <v>0</v>
          </cell>
          <cell r="AR379">
            <v>200</v>
          </cell>
          <cell r="AS379">
            <v>3255</v>
          </cell>
        </row>
        <row r="380">
          <cell r="B380" t="str">
            <v>AC</v>
          </cell>
          <cell r="C380" t="str">
            <v>IMP</v>
          </cell>
          <cell r="D380" t="str">
            <v>BT</v>
          </cell>
          <cell r="E380" t="str">
            <v>DLR</v>
          </cell>
          <cell r="F380">
            <v>39924</v>
          </cell>
          <cell r="G380">
            <v>40001</v>
          </cell>
          <cell r="H380" t="str">
            <v>4599X002</v>
          </cell>
          <cell r="I380" t="str">
            <v>3KMKML501MLK</v>
          </cell>
          <cell r="J380">
            <v>0</v>
          </cell>
          <cell r="K380" t="str">
            <v>ML-501 Multi-Line Kit (SKU)</v>
          </cell>
          <cell r="L380">
            <v>1323</v>
          </cell>
          <cell r="M380">
            <v>526</v>
          </cell>
          <cell r="N380">
            <v>547.04</v>
          </cell>
          <cell r="O380">
            <v>0.14310776942355893</v>
          </cell>
          <cell r="P380">
            <v>638.4</v>
          </cell>
          <cell r="Q380">
            <v>557.55999999999995</v>
          </cell>
          <cell r="R380">
            <v>630.04</v>
          </cell>
          <cell r="S380">
            <v>798</v>
          </cell>
          <cell r="T380">
            <v>0.31448621553884715</v>
          </cell>
          <cell r="U380">
            <v>617.97119999999995</v>
          </cell>
          <cell r="V380">
            <v>0.11478075353673439</v>
          </cell>
          <cell r="W380">
            <v>638.4</v>
          </cell>
          <cell r="X380">
            <v>0.79999999999999993</v>
          </cell>
          <cell r="Y380">
            <v>250</v>
          </cell>
          <cell r="Z380">
            <v>500</v>
          </cell>
          <cell r="AA380">
            <v>772</v>
          </cell>
          <cell r="AB380">
            <v>639</v>
          </cell>
          <cell r="AC380">
            <v>710</v>
          </cell>
          <cell r="AD380">
            <v>750</v>
          </cell>
          <cell r="AE380">
            <v>788.15</v>
          </cell>
          <cell r="AF380">
            <v>0.19000190319101695</v>
          </cell>
          <cell r="AG380">
            <v>0.30591892406267845</v>
          </cell>
          <cell r="AH380">
            <v>877</v>
          </cell>
          <cell r="AI380">
            <v>965</v>
          </cell>
          <cell r="AJ380">
            <v>0.33844559585492229</v>
          </cell>
          <cell r="AK380">
            <v>1052.5</v>
          </cell>
          <cell r="AL380">
            <v>1140</v>
          </cell>
          <cell r="AM380">
            <v>0.44</v>
          </cell>
          <cell r="AN380">
            <v>1185.75</v>
          </cell>
          <cell r="AO380">
            <v>1231.5</v>
          </cell>
          <cell r="AP380">
            <v>1277.25</v>
          </cell>
          <cell r="AQ380">
            <v>0</v>
          </cell>
          <cell r="AR380">
            <v>671</v>
          </cell>
          <cell r="AS380">
            <v>1323</v>
          </cell>
        </row>
        <row r="381">
          <cell r="B381" t="str">
            <v>AC</v>
          </cell>
          <cell r="C381" t="str">
            <v>IMP</v>
          </cell>
          <cell r="D381" t="str">
            <v>BT</v>
          </cell>
          <cell r="E381" t="str">
            <v>DLR</v>
          </cell>
          <cell r="F381">
            <v>39924</v>
          </cell>
          <cell r="G381">
            <v>40001</v>
          </cell>
          <cell r="H381" t="str">
            <v>7640X024</v>
          </cell>
          <cell r="I381" t="str">
            <v>3KMHML503MLPFXBD</v>
          </cell>
          <cell r="J381">
            <v>0</v>
          </cell>
          <cell r="K381" t="str">
            <v>ML-503 Kit</v>
          </cell>
          <cell r="L381">
            <v>1250</v>
          </cell>
          <cell r="M381">
            <v>464</v>
          </cell>
          <cell r="N381">
            <v>482.56</v>
          </cell>
          <cell r="O381">
            <v>0.18320920785375755</v>
          </cell>
          <cell r="P381">
            <v>590.79999999999995</v>
          </cell>
          <cell r="Q381">
            <v>491.84</v>
          </cell>
          <cell r="R381">
            <v>555.78</v>
          </cell>
          <cell r="S381">
            <v>738.5</v>
          </cell>
          <cell r="T381">
            <v>0.34656736628300611</v>
          </cell>
          <cell r="U381">
            <v>571.89440000000002</v>
          </cell>
          <cell r="V381">
            <v>0.15620785935305542</v>
          </cell>
          <cell r="W381">
            <v>590.79999999999995</v>
          </cell>
          <cell r="X381">
            <v>0.79999999999999993</v>
          </cell>
          <cell r="Y381">
            <v>250</v>
          </cell>
          <cell r="Z381">
            <v>300</v>
          </cell>
          <cell r="AA381">
            <v>715</v>
          </cell>
          <cell r="AB381">
            <v>591</v>
          </cell>
          <cell r="AC381">
            <v>657</v>
          </cell>
          <cell r="AD381">
            <v>694</v>
          </cell>
          <cell r="AE381">
            <v>729.38</v>
          </cell>
          <cell r="AF381">
            <v>0.18999698373961452</v>
          </cell>
          <cell r="AG381">
            <v>0.33839699470783402</v>
          </cell>
          <cell r="AH381">
            <v>812</v>
          </cell>
          <cell r="AI381">
            <v>893</v>
          </cell>
          <cell r="AJ381">
            <v>0.3384098544232923</v>
          </cell>
          <cell r="AK381">
            <v>974</v>
          </cell>
          <cell r="AL381">
            <v>1055</v>
          </cell>
          <cell r="AM381">
            <v>0.44000000000000006</v>
          </cell>
          <cell r="AN381">
            <v>1103.75</v>
          </cell>
          <cell r="AO381">
            <v>1152.5</v>
          </cell>
          <cell r="AP381">
            <v>1201.25</v>
          </cell>
          <cell r="AQ381">
            <v>0</v>
          </cell>
          <cell r="AR381">
            <v>503</v>
          </cell>
          <cell r="AS381">
            <v>1250</v>
          </cell>
        </row>
        <row r="382">
          <cell r="B382" t="str">
            <v>AC</v>
          </cell>
          <cell r="C382" t="str">
            <v>IMP</v>
          </cell>
          <cell r="D382" t="str">
            <v>BT</v>
          </cell>
          <cell r="E382" t="str">
            <v>DLR</v>
          </cell>
          <cell r="F382">
            <v>39924</v>
          </cell>
          <cell r="G382">
            <v>40001</v>
          </cell>
          <cell r="H382" t="str">
            <v>7640X029</v>
          </cell>
          <cell r="I382" t="str">
            <v>3KMKFAXFKIT</v>
          </cell>
          <cell r="J382">
            <v>0</v>
          </cell>
          <cell r="K382" t="str">
            <v>Fax Kit for C203/C253/C353 (w FK-502 and MK-711)</v>
          </cell>
          <cell r="L382">
            <v>1208</v>
          </cell>
          <cell r="M382">
            <v>444</v>
          </cell>
          <cell r="N382">
            <v>461.76</v>
          </cell>
          <cell r="O382">
            <v>0.20331262939958597</v>
          </cell>
          <cell r="P382">
            <v>579.6</v>
          </cell>
          <cell r="Q382">
            <v>470.64</v>
          </cell>
          <cell r="R382">
            <v>531.82000000000005</v>
          </cell>
          <cell r="S382">
            <v>724.5</v>
          </cell>
          <cell r="T382">
            <v>0.36265010351966875</v>
          </cell>
          <cell r="U382">
            <v>561.05279999999993</v>
          </cell>
          <cell r="V382">
            <v>0.17697585681775396</v>
          </cell>
          <cell r="W382">
            <v>579.6</v>
          </cell>
          <cell r="X382">
            <v>0.8</v>
          </cell>
          <cell r="Y382">
            <v>250</v>
          </cell>
          <cell r="Z382">
            <v>300</v>
          </cell>
          <cell r="AA382">
            <v>701</v>
          </cell>
          <cell r="AB382">
            <v>580</v>
          </cell>
          <cell r="AC382">
            <v>644</v>
          </cell>
          <cell r="AD382">
            <v>680</v>
          </cell>
          <cell r="AE382">
            <v>715.56</v>
          </cell>
          <cell r="AF382">
            <v>0.19000503102465194</v>
          </cell>
          <cell r="AG382">
            <v>0.35468723796746598</v>
          </cell>
          <cell r="AH382">
            <v>796</v>
          </cell>
          <cell r="AI382">
            <v>876</v>
          </cell>
          <cell r="AJ382">
            <v>0.33835616438356164</v>
          </cell>
          <cell r="AK382">
            <v>955.5</v>
          </cell>
          <cell r="AL382">
            <v>1035</v>
          </cell>
          <cell r="AM382">
            <v>0.44</v>
          </cell>
          <cell r="AN382">
            <v>1078.25</v>
          </cell>
          <cell r="AO382">
            <v>1121.5</v>
          </cell>
          <cell r="AP382">
            <v>1164.75</v>
          </cell>
          <cell r="AQ382">
            <v>0</v>
          </cell>
          <cell r="AR382">
            <v>503</v>
          </cell>
          <cell r="AS382">
            <v>1208</v>
          </cell>
        </row>
        <row r="383">
          <cell r="B383" t="str">
            <v>AC</v>
          </cell>
          <cell r="C383" t="str">
            <v>IMP</v>
          </cell>
          <cell r="D383" t="str">
            <v>BT</v>
          </cell>
          <cell r="E383" t="str">
            <v>08</v>
          </cell>
          <cell r="F383">
            <v>39924</v>
          </cell>
          <cell r="G383">
            <v>40001</v>
          </cell>
          <cell r="H383" t="str">
            <v>9J00730</v>
          </cell>
          <cell r="I383" t="str">
            <v>3KMHDK702</v>
          </cell>
          <cell r="J383">
            <v>0</v>
          </cell>
          <cell r="K383" t="str">
            <v>DK-702 Desk 2-Drawer Height</v>
          </cell>
          <cell r="L383">
            <v>192</v>
          </cell>
          <cell r="M383">
            <v>107</v>
          </cell>
          <cell r="N383">
            <v>111.28</v>
          </cell>
          <cell r="O383">
            <v>0</v>
          </cell>
          <cell r="P383">
            <v>111.28</v>
          </cell>
          <cell r="Q383">
            <v>113.42</v>
          </cell>
          <cell r="R383">
            <v>128.16</v>
          </cell>
          <cell r="S383">
            <v>115.5</v>
          </cell>
          <cell r="T383">
            <v>3.6536796536796527E-2</v>
          </cell>
          <cell r="U383">
            <v>111.28</v>
          </cell>
          <cell r="V383">
            <v>0</v>
          </cell>
          <cell r="W383">
            <v>111.28</v>
          </cell>
          <cell r="X383">
            <v>0.96346320346320347</v>
          </cell>
          <cell r="Y383">
            <v>250</v>
          </cell>
          <cell r="Z383">
            <v>300</v>
          </cell>
          <cell r="AA383">
            <v>135</v>
          </cell>
          <cell r="AB383">
            <v>112</v>
          </cell>
          <cell r="AC383">
            <v>124</v>
          </cell>
          <cell r="AD383">
            <v>131</v>
          </cell>
          <cell r="AE383">
            <v>137.38</v>
          </cell>
          <cell r="AF383">
            <v>0.18998398602416652</v>
          </cell>
          <cell r="AG383">
            <v>0.18998398602416652</v>
          </cell>
          <cell r="AH383">
            <v>154</v>
          </cell>
          <cell r="AI383">
            <v>169</v>
          </cell>
          <cell r="AJ383">
            <v>0.34153846153846151</v>
          </cell>
          <cell r="AK383">
            <v>184</v>
          </cell>
          <cell r="AL383">
            <v>199</v>
          </cell>
          <cell r="AM383">
            <v>0.44080402010050251</v>
          </cell>
          <cell r="AN383">
            <v>197.25</v>
          </cell>
          <cell r="AO383">
            <v>195.5</v>
          </cell>
          <cell r="AP383">
            <v>193.75</v>
          </cell>
          <cell r="AQ383">
            <v>0</v>
          </cell>
          <cell r="AR383">
            <v>352</v>
          </cell>
          <cell r="AS383">
            <v>192</v>
          </cell>
        </row>
        <row r="384">
          <cell r="B384" t="str">
            <v>AC</v>
          </cell>
          <cell r="C384" t="str">
            <v>IMP</v>
          </cell>
          <cell r="D384" t="str">
            <v>BT</v>
          </cell>
          <cell r="E384" t="str">
            <v>08</v>
          </cell>
          <cell r="F384">
            <v>39924</v>
          </cell>
          <cell r="G384">
            <v>40001</v>
          </cell>
          <cell r="H384" t="str">
            <v>9J01730</v>
          </cell>
          <cell r="I384" t="str">
            <v>3KMHDK703BF</v>
          </cell>
          <cell r="J384">
            <v>0</v>
          </cell>
          <cell r="K384" t="str">
            <v>DK-703 Base Feet</v>
          </cell>
          <cell r="L384">
            <v>165</v>
          </cell>
          <cell r="M384">
            <v>92</v>
          </cell>
          <cell r="N384">
            <v>95.68</v>
          </cell>
          <cell r="O384">
            <v>0</v>
          </cell>
          <cell r="P384">
            <v>95.68</v>
          </cell>
          <cell r="Q384">
            <v>97.52</v>
          </cell>
          <cell r="R384">
            <v>110.2</v>
          </cell>
          <cell r="S384">
            <v>104</v>
          </cell>
          <cell r="T384">
            <v>7.9999999999999932E-2</v>
          </cell>
          <cell r="U384">
            <v>95.68</v>
          </cell>
          <cell r="V384">
            <v>0</v>
          </cell>
          <cell r="W384">
            <v>95.68</v>
          </cell>
          <cell r="X384">
            <v>0.92</v>
          </cell>
          <cell r="Y384">
            <v>250</v>
          </cell>
          <cell r="Z384">
            <v>300</v>
          </cell>
          <cell r="AA384">
            <v>116</v>
          </cell>
          <cell r="AB384">
            <v>96</v>
          </cell>
          <cell r="AC384">
            <v>107</v>
          </cell>
          <cell r="AD384">
            <v>113</v>
          </cell>
          <cell r="AE384">
            <v>118.12</v>
          </cell>
          <cell r="AF384">
            <v>0.18997629529292243</v>
          </cell>
          <cell r="AG384">
            <v>0.18997629529292243</v>
          </cell>
          <cell r="AH384">
            <v>132</v>
          </cell>
          <cell r="AI384">
            <v>145</v>
          </cell>
          <cell r="AJ384">
            <v>0.3401379310344827</v>
          </cell>
          <cell r="AK384">
            <v>158</v>
          </cell>
          <cell r="AL384">
            <v>171</v>
          </cell>
          <cell r="AM384">
            <v>0.4404678362573099</v>
          </cell>
          <cell r="AN384">
            <v>169.5</v>
          </cell>
          <cell r="AO384">
            <v>168</v>
          </cell>
          <cell r="AP384">
            <v>166.5</v>
          </cell>
          <cell r="AQ384">
            <v>0</v>
          </cell>
          <cell r="AR384">
            <v>352</v>
          </cell>
          <cell r="AS384">
            <v>165</v>
          </cell>
        </row>
        <row r="385">
          <cell r="B385" t="str">
            <v>AC</v>
          </cell>
          <cell r="C385" t="str">
            <v>IMP</v>
          </cell>
          <cell r="D385" t="str">
            <v>BT</v>
          </cell>
          <cell r="E385" t="str">
            <v>08</v>
          </cell>
          <cell r="F385">
            <v>39924</v>
          </cell>
          <cell r="G385">
            <v>40232</v>
          </cell>
          <cell r="H385" t="str">
            <v>A01G0Y2</v>
          </cell>
          <cell r="I385" t="str">
            <v>6KMFS519BF_N</v>
          </cell>
          <cell r="J385" t="str">
            <v>changed to 08</v>
          </cell>
          <cell r="K385" t="str">
            <v>FS-519 Built-In Base Finisher</v>
          </cell>
          <cell r="L385">
            <v>1628</v>
          </cell>
          <cell r="M385">
            <v>617</v>
          </cell>
          <cell r="N385">
            <v>641.68000000000006</v>
          </cell>
          <cell r="O385">
            <v>8.738195471612234E-2</v>
          </cell>
          <cell r="P385">
            <v>703.12</v>
          </cell>
          <cell r="Q385">
            <v>654.02</v>
          </cell>
          <cell r="R385">
            <v>739.04</v>
          </cell>
          <cell r="S385">
            <v>878.9</v>
          </cell>
          <cell r="T385">
            <v>0.26990556377289787</v>
          </cell>
          <cell r="U385">
            <v>680.62015999999994</v>
          </cell>
          <cell r="V385">
            <v>5.7212763136489937E-2</v>
          </cell>
          <cell r="W385">
            <v>703.12</v>
          </cell>
          <cell r="X385">
            <v>0.8</v>
          </cell>
          <cell r="Y385">
            <v>250</v>
          </cell>
          <cell r="Z385">
            <v>300</v>
          </cell>
          <cell r="AA385">
            <v>851</v>
          </cell>
          <cell r="AB385">
            <v>704</v>
          </cell>
          <cell r="AC385">
            <v>782</v>
          </cell>
          <cell r="AD385">
            <v>826</v>
          </cell>
          <cell r="AE385">
            <v>868.05</v>
          </cell>
          <cell r="AF385">
            <v>0.19000057600368639</v>
          </cell>
          <cell r="AG385">
            <v>0.26077990899141745</v>
          </cell>
          <cell r="AH385">
            <v>966</v>
          </cell>
          <cell r="AI385">
            <v>1063</v>
          </cell>
          <cell r="AJ385">
            <v>0.33855126999059265</v>
          </cell>
          <cell r="AK385">
            <v>1159.5</v>
          </cell>
          <cell r="AL385">
            <v>1256</v>
          </cell>
          <cell r="AM385">
            <v>0.44019108280254776</v>
          </cell>
          <cell r="AN385">
            <v>1349</v>
          </cell>
          <cell r="AO385">
            <v>1442</v>
          </cell>
          <cell r="AP385">
            <v>1535</v>
          </cell>
          <cell r="AQ385">
            <v>0</v>
          </cell>
          <cell r="AR385">
            <v>352</v>
          </cell>
          <cell r="AS385">
            <v>1628</v>
          </cell>
        </row>
        <row r="386">
          <cell r="B386" t="str">
            <v>AC</v>
          </cell>
          <cell r="C386" t="str">
            <v>IMP</v>
          </cell>
          <cell r="D386" t="str">
            <v>BT</v>
          </cell>
          <cell r="E386" t="str">
            <v>P3</v>
          </cell>
          <cell r="F386">
            <v>39924</v>
          </cell>
          <cell r="G386">
            <v>40001</v>
          </cell>
          <cell r="H386" t="str">
            <v>A01H0W0</v>
          </cell>
          <cell r="I386" t="str">
            <v>7KMRADF611_N</v>
          </cell>
          <cell r="J386" t="str">
            <v>x</v>
          </cell>
          <cell r="K386" t="str">
            <v>DF-611 RADF</v>
          </cell>
          <cell r="L386">
            <v>1539</v>
          </cell>
          <cell r="M386">
            <v>587</v>
          </cell>
          <cell r="N386">
            <v>610.48</v>
          </cell>
          <cell r="O386">
            <v>-0.17647058823529413</v>
          </cell>
          <cell r="P386">
            <v>518.90800000000002</v>
          </cell>
          <cell r="Q386">
            <v>622.22</v>
          </cell>
          <cell r="R386">
            <v>703.11</v>
          </cell>
          <cell r="S386">
            <v>924</v>
          </cell>
          <cell r="T386">
            <v>0.33930735930735928</v>
          </cell>
          <cell r="U386">
            <v>715.54559999999992</v>
          </cell>
          <cell r="V386">
            <v>0.14683285034524693</v>
          </cell>
          <cell r="W386">
            <v>518.90800000000002</v>
          </cell>
          <cell r="X386">
            <v>0.56158874458874464</v>
          </cell>
          <cell r="Y386">
            <v>250</v>
          </cell>
          <cell r="Z386">
            <v>300</v>
          </cell>
          <cell r="AA386">
            <v>628</v>
          </cell>
          <cell r="AB386">
            <v>519</v>
          </cell>
          <cell r="AC386">
            <v>577</v>
          </cell>
          <cell r="AD386">
            <v>609</v>
          </cell>
          <cell r="AE386">
            <v>640.63</v>
          </cell>
          <cell r="AF386">
            <v>0.1900035902158812</v>
          </cell>
          <cell r="AG386">
            <v>4.7063047312801427E-2</v>
          </cell>
          <cell r="AH386">
            <v>654</v>
          </cell>
          <cell r="AI386">
            <v>667</v>
          </cell>
          <cell r="AJ386">
            <v>0.2220269865067466</v>
          </cell>
          <cell r="AK386">
            <v>679.5</v>
          </cell>
          <cell r="AL386">
            <v>692</v>
          </cell>
          <cell r="AM386">
            <v>0.25013294797687857</v>
          </cell>
          <cell r="AN386">
            <v>789.26</v>
          </cell>
          <cell r="AO386">
            <v>886.52</v>
          </cell>
          <cell r="AP386">
            <v>983.78</v>
          </cell>
          <cell r="AQ386">
            <v>0</v>
          </cell>
          <cell r="AR386">
            <v>352</v>
          </cell>
          <cell r="AS386">
            <v>1539</v>
          </cell>
        </row>
        <row r="387">
          <cell r="B387" t="str">
            <v>AC</v>
          </cell>
          <cell r="C387" t="str">
            <v>IMP</v>
          </cell>
          <cell r="D387" t="str">
            <v>BT</v>
          </cell>
          <cell r="E387" t="str">
            <v>08</v>
          </cell>
          <cell r="F387">
            <v>39924</v>
          </cell>
          <cell r="G387">
            <v>40001</v>
          </cell>
          <cell r="H387" t="str">
            <v>A03N0Y1</v>
          </cell>
          <cell r="I387" t="str">
            <v>6KMLU301LCU_N</v>
          </cell>
          <cell r="J387">
            <v>0</v>
          </cell>
          <cell r="K387" t="str">
            <v>LU-301 Large Capacity Unit (3,000/Letter)</v>
          </cell>
          <cell r="L387">
            <v>1680</v>
          </cell>
          <cell r="M387">
            <v>561</v>
          </cell>
          <cell r="N387">
            <v>583.44000000000005</v>
          </cell>
          <cell r="O387">
            <v>0.18768099799509907</v>
          </cell>
          <cell r="P387">
            <v>718.24</v>
          </cell>
          <cell r="Q387">
            <v>594.66</v>
          </cell>
          <cell r="R387">
            <v>671.97</v>
          </cell>
          <cell r="S387">
            <v>897.8</v>
          </cell>
          <cell r="T387">
            <v>0.3501447983960792</v>
          </cell>
          <cell r="U387">
            <v>695.25631999999996</v>
          </cell>
          <cell r="V387">
            <v>0.16082747726766428</v>
          </cell>
          <cell r="W387">
            <v>718.24</v>
          </cell>
          <cell r="X387">
            <v>0.8</v>
          </cell>
          <cell r="Y387">
            <v>150</v>
          </cell>
          <cell r="Z387">
            <v>300</v>
          </cell>
          <cell r="AA387">
            <v>869</v>
          </cell>
          <cell r="AB387">
            <v>719</v>
          </cell>
          <cell r="AC387">
            <v>799</v>
          </cell>
          <cell r="AD387">
            <v>843</v>
          </cell>
          <cell r="AE387">
            <v>886.72</v>
          </cell>
          <cell r="AF387">
            <v>0.19000360880548539</v>
          </cell>
          <cell r="AG387">
            <v>0.34202453987730058</v>
          </cell>
          <cell r="AH387">
            <v>986</v>
          </cell>
          <cell r="AI387">
            <v>1085</v>
          </cell>
          <cell r="AJ387">
            <v>0.33802764976958527</v>
          </cell>
          <cell r="AK387">
            <v>1184</v>
          </cell>
          <cell r="AL387">
            <v>1283</v>
          </cell>
          <cell r="AM387">
            <v>0.44018706157443493</v>
          </cell>
          <cell r="AN387">
            <v>1382.25</v>
          </cell>
          <cell r="AO387">
            <v>1481.5</v>
          </cell>
          <cell r="AP387">
            <v>1580.75</v>
          </cell>
          <cell r="AQ387">
            <v>0</v>
          </cell>
          <cell r="AR387">
            <v>288</v>
          </cell>
          <cell r="AS387">
            <v>1680</v>
          </cell>
        </row>
        <row r="388">
          <cell r="B388" t="str">
            <v>AC</v>
          </cell>
          <cell r="C388" t="str">
            <v>IMP</v>
          </cell>
          <cell r="D388" t="str">
            <v>BT</v>
          </cell>
          <cell r="E388" t="str">
            <v>P3</v>
          </cell>
          <cell r="F388">
            <v>39924</v>
          </cell>
          <cell r="G388">
            <v>40001</v>
          </cell>
          <cell r="H388" t="str">
            <v>A03W0Y0</v>
          </cell>
          <cell r="I388" t="str">
            <v>6KMLU202LCT_N</v>
          </cell>
          <cell r="J388">
            <v>0</v>
          </cell>
          <cell r="K388" t="str">
            <v>LU-202 Large Capacity Tray (2.5K)</v>
          </cell>
          <cell r="L388">
            <v>3360</v>
          </cell>
          <cell r="M388">
            <v>1057</v>
          </cell>
          <cell r="N388">
            <v>1099.28</v>
          </cell>
          <cell r="O388">
            <v>-0.17647058823529418</v>
          </cell>
          <cell r="P388">
            <v>934.38799999999992</v>
          </cell>
          <cell r="Q388">
            <v>1120.42</v>
          </cell>
          <cell r="R388">
            <v>1266.07</v>
          </cell>
          <cell r="S388">
            <v>1546.2</v>
          </cell>
          <cell r="T388">
            <v>0.28904410813607556</v>
          </cell>
          <cell r="U388">
            <v>1197.3772799999999</v>
          </cell>
          <cell r="V388">
            <v>8.1926792531089254E-2</v>
          </cell>
          <cell r="W388">
            <v>934.38799999999992</v>
          </cell>
          <cell r="X388">
            <v>0.60431250808433568</v>
          </cell>
          <cell r="Y388">
            <v>150</v>
          </cell>
          <cell r="Z388">
            <v>300</v>
          </cell>
          <cell r="AA388">
            <v>1130</v>
          </cell>
          <cell r="AB388">
            <v>935</v>
          </cell>
          <cell r="AC388">
            <v>1039</v>
          </cell>
          <cell r="AD388">
            <v>1097</v>
          </cell>
          <cell r="AE388">
            <v>1153.57</v>
          </cell>
          <cell r="AF388">
            <v>0.19000320743431265</v>
          </cell>
          <cell r="AG388">
            <v>4.7062596981544219E-2</v>
          </cell>
          <cell r="AH388">
            <v>1177</v>
          </cell>
          <cell r="AI388">
            <v>1200</v>
          </cell>
          <cell r="AJ388">
            <v>0.22134333333333339</v>
          </cell>
          <cell r="AK388">
            <v>1223</v>
          </cell>
          <cell r="AL388">
            <v>1246</v>
          </cell>
          <cell r="AM388">
            <v>0.25008988764044948</v>
          </cell>
          <cell r="AN388">
            <v>1421.16</v>
          </cell>
          <cell r="AO388">
            <v>1596.32</v>
          </cell>
          <cell r="AP388">
            <v>1771.48</v>
          </cell>
          <cell r="AQ388">
            <v>0</v>
          </cell>
          <cell r="AR388">
            <v>288</v>
          </cell>
          <cell r="AS388">
            <v>3360</v>
          </cell>
        </row>
        <row r="389">
          <cell r="B389" t="str">
            <v>AC</v>
          </cell>
          <cell r="C389" t="str">
            <v>IMP</v>
          </cell>
          <cell r="D389" t="str">
            <v>BT</v>
          </cell>
          <cell r="E389" t="str">
            <v>08</v>
          </cell>
          <cell r="F389">
            <v>39924</v>
          </cell>
          <cell r="G389">
            <v>40001</v>
          </cell>
          <cell r="H389" t="str">
            <v>A03WWW0</v>
          </cell>
          <cell r="I389" t="str">
            <v>6KMLU202LCT_N</v>
          </cell>
          <cell r="J389">
            <v>0</v>
          </cell>
          <cell r="K389" t="str">
            <v>LU-202 Large Capacity Tray (2.5K)</v>
          </cell>
          <cell r="L389">
            <v>3360</v>
          </cell>
          <cell r="M389">
            <v>1057</v>
          </cell>
          <cell r="N389">
            <v>1099.28</v>
          </cell>
          <cell r="O389">
            <v>0.11130513517009448</v>
          </cell>
          <cell r="P389">
            <v>1236.96</v>
          </cell>
          <cell r="Q389">
            <v>1120.42</v>
          </cell>
          <cell r="R389">
            <v>1266.07</v>
          </cell>
          <cell r="S389">
            <v>1546.2</v>
          </cell>
          <cell r="T389">
            <v>0.28904410813607556</v>
          </cell>
          <cell r="U389">
            <v>1197.3772799999999</v>
          </cell>
          <cell r="V389">
            <v>8.1926792531089254E-2</v>
          </cell>
          <cell r="W389">
            <v>1236.96</v>
          </cell>
          <cell r="X389">
            <v>0.8</v>
          </cell>
          <cell r="Y389">
            <v>150</v>
          </cell>
          <cell r="Z389">
            <v>300</v>
          </cell>
          <cell r="AA389">
            <v>1497</v>
          </cell>
          <cell r="AB389">
            <v>1237</v>
          </cell>
          <cell r="AC389">
            <v>1375</v>
          </cell>
          <cell r="AD389">
            <v>1452</v>
          </cell>
          <cell r="AE389">
            <v>1527.11</v>
          </cell>
          <cell r="AF389">
            <v>0.18999941065149195</v>
          </cell>
          <cell r="AG389">
            <v>0.28015663573678384</v>
          </cell>
          <cell r="AH389">
            <v>1699</v>
          </cell>
          <cell r="AI389">
            <v>1869</v>
          </cell>
          <cell r="AJ389">
            <v>0.33817014446227928</v>
          </cell>
          <cell r="AK389">
            <v>2039</v>
          </cell>
          <cell r="AL389">
            <v>2209</v>
          </cell>
          <cell r="AM389">
            <v>0.44003621548211858</v>
          </cell>
          <cell r="AN389">
            <v>2496.75</v>
          </cell>
          <cell r="AO389">
            <v>2784.5</v>
          </cell>
          <cell r="AP389">
            <v>3072.25</v>
          </cell>
          <cell r="AQ389">
            <v>0</v>
          </cell>
          <cell r="AR389">
            <v>288</v>
          </cell>
          <cell r="AS389">
            <v>3360</v>
          </cell>
        </row>
        <row r="390">
          <cell r="B390" t="str">
            <v>AC</v>
          </cell>
          <cell r="C390" t="str">
            <v>IMP</v>
          </cell>
          <cell r="D390" t="str">
            <v>BT</v>
          </cell>
          <cell r="E390" t="str">
            <v>P3</v>
          </cell>
          <cell r="F390">
            <v>39924</v>
          </cell>
          <cell r="G390">
            <v>40001</v>
          </cell>
          <cell r="H390" t="str">
            <v>A03X0Y0</v>
          </cell>
          <cell r="I390" t="str">
            <v>6KMPF601PFU_N</v>
          </cell>
          <cell r="J390">
            <v>0</v>
          </cell>
          <cell r="K390" t="str">
            <v>PF-601 Paper Feed Unit (3K x 2)</v>
          </cell>
          <cell r="L390">
            <v>6090</v>
          </cell>
          <cell r="M390">
            <v>2020</v>
          </cell>
          <cell r="N390">
            <v>2100.8000000000002</v>
          </cell>
          <cell r="O390">
            <v>-0.17647058823529418</v>
          </cell>
          <cell r="P390">
            <v>1785.68</v>
          </cell>
          <cell r="Q390">
            <v>2141.1999999999998</v>
          </cell>
          <cell r="R390">
            <v>2419.56</v>
          </cell>
          <cell r="S390">
            <v>3241.9</v>
          </cell>
          <cell r="T390">
            <v>0.35198494709892342</v>
          </cell>
          <cell r="U390">
            <v>2510.52736</v>
          </cell>
          <cell r="V390">
            <v>0.1632037023488164</v>
          </cell>
          <cell r="W390">
            <v>1785.68</v>
          </cell>
          <cell r="X390">
            <v>0.55081279496591506</v>
          </cell>
          <cell r="Y390">
            <v>150</v>
          </cell>
          <cell r="Z390">
            <v>300</v>
          </cell>
          <cell r="AA390">
            <v>2160</v>
          </cell>
          <cell r="AB390">
            <v>1786</v>
          </cell>
          <cell r="AC390">
            <v>1985</v>
          </cell>
          <cell r="AD390">
            <v>2095</v>
          </cell>
          <cell r="AE390">
            <v>2204.54</v>
          </cell>
          <cell r="AF390">
            <v>0.18999882061563858</v>
          </cell>
          <cell r="AG390">
            <v>4.7057436018398298E-2</v>
          </cell>
          <cell r="AH390">
            <v>2249</v>
          </cell>
          <cell r="AI390">
            <v>2293</v>
          </cell>
          <cell r="AJ390">
            <v>0.22124727431312688</v>
          </cell>
          <cell r="AK390">
            <v>2337</v>
          </cell>
          <cell r="AL390">
            <v>2381</v>
          </cell>
          <cell r="AM390">
            <v>0.25002939941201174</v>
          </cell>
          <cell r="AN390">
            <v>2715.79</v>
          </cell>
          <cell r="AO390">
            <v>3050.58</v>
          </cell>
          <cell r="AP390">
            <v>3385.37</v>
          </cell>
          <cell r="AQ390">
            <v>0</v>
          </cell>
          <cell r="AR390">
            <v>288</v>
          </cell>
          <cell r="AS390">
            <v>6090</v>
          </cell>
        </row>
        <row r="391">
          <cell r="B391" t="str">
            <v>AC</v>
          </cell>
          <cell r="C391" t="str">
            <v>IMP</v>
          </cell>
          <cell r="D391" t="str">
            <v>BT</v>
          </cell>
          <cell r="E391" t="str">
            <v>08</v>
          </cell>
          <cell r="F391">
            <v>39924</v>
          </cell>
          <cell r="G391">
            <v>40001</v>
          </cell>
          <cell r="H391" t="str">
            <v>A03Y0Y0</v>
          </cell>
          <cell r="I391" t="str">
            <v>3KMKHD506HDD</v>
          </cell>
          <cell r="J391">
            <v>0</v>
          </cell>
          <cell r="K391" t="str">
            <v>HD-506 HDD Kit (4 x 40GB)</v>
          </cell>
          <cell r="L391">
            <v>2100</v>
          </cell>
          <cell r="M391">
            <v>745</v>
          </cell>
          <cell r="N391">
            <v>774.80000000000007</v>
          </cell>
          <cell r="O391">
            <v>0.1173790212339378</v>
          </cell>
          <cell r="P391">
            <v>877.84</v>
          </cell>
          <cell r="Q391">
            <v>789.7</v>
          </cell>
          <cell r="R391">
            <v>892.36</v>
          </cell>
          <cell r="S391">
            <v>1097.3</v>
          </cell>
          <cell r="T391">
            <v>0.29390321698715016</v>
          </cell>
          <cell r="U391">
            <v>849.74911999999995</v>
          </cell>
          <cell r="V391">
            <v>8.8201468216877812E-2</v>
          </cell>
          <cell r="W391">
            <v>877.84</v>
          </cell>
          <cell r="X391">
            <v>0.8</v>
          </cell>
          <cell r="Y391">
            <v>150</v>
          </cell>
          <cell r="Z391">
            <v>300</v>
          </cell>
          <cell r="AA391">
            <v>1062</v>
          </cell>
          <cell r="AB391">
            <v>878</v>
          </cell>
          <cell r="AC391">
            <v>976</v>
          </cell>
          <cell r="AD391">
            <v>1030</v>
          </cell>
          <cell r="AE391">
            <v>1083.75</v>
          </cell>
          <cell r="AF391">
            <v>0.18999769319492499</v>
          </cell>
          <cell r="AG391">
            <v>0.28507497116493652</v>
          </cell>
          <cell r="AH391">
            <v>1205</v>
          </cell>
          <cell r="AI391">
            <v>1326</v>
          </cell>
          <cell r="AJ391">
            <v>0.33797888386123676</v>
          </cell>
          <cell r="AK391">
            <v>1447</v>
          </cell>
          <cell r="AL391">
            <v>1568</v>
          </cell>
          <cell r="AM391">
            <v>0.44015306122448977</v>
          </cell>
          <cell r="AN391">
            <v>1701</v>
          </cell>
          <cell r="AO391">
            <v>1834</v>
          </cell>
          <cell r="AP391">
            <v>1967</v>
          </cell>
          <cell r="AQ391">
            <v>0</v>
          </cell>
          <cell r="AR391">
            <v>288</v>
          </cell>
          <cell r="AS391">
            <v>2100</v>
          </cell>
        </row>
        <row r="392">
          <cell r="B392" t="str">
            <v>AC</v>
          </cell>
          <cell r="C392" t="str">
            <v>IMP</v>
          </cell>
          <cell r="D392" t="str">
            <v>BT</v>
          </cell>
          <cell r="E392" t="str">
            <v>08</v>
          </cell>
          <cell r="F392">
            <v>39924</v>
          </cell>
          <cell r="G392">
            <v>40001</v>
          </cell>
          <cell r="H392" t="str">
            <v>A0410Y0</v>
          </cell>
          <cell r="I392" t="str">
            <v>6KMHT503DHUM_N</v>
          </cell>
          <cell r="J392">
            <v>0</v>
          </cell>
          <cell r="K392" t="str">
            <v>HT-503 Heater for LU-202</v>
          </cell>
          <cell r="L392">
            <v>1260</v>
          </cell>
          <cell r="M392">
            <v>438</v>
          </cell>
          <cell r="N392">
            <v>455.52000000000004</v>
          </cell>
          <cell r="O392">
            <v>4.8621553884711718E-2</v>
          </cell>
          <cell r="P392">
            <v>478.8</v>
          </cell>
          <cell r="Q392">
            <v>464.28</v>
          </cell>
          <cell r="R392">
            <v>524.64</v>
          </cell>
          <cell r="S392">
            <v>598.5</v>
          </cell>
          <cell r="T392">
            <v>0.23889724310776936</v>
          </cell>
          <cell r="U392">
            <v>514.71</v>
          </cell>
          <cell r="V392">
            <v>0.11499679431135978</v>
          </cell>
          <cell r="W392">
            <v>478.8</v>
          </cell>
          <cell r="X392">
            <v>0.8</v>
          </cell>
          <cell r="Y392">
            <v>150</v>
          </cell>
          <cell r="Z392">
            <v>300</v>
          </cell>
          <cell r="AA392">
            <v>579</v>
          </cell>
          <cell r="AB392">
            <v>479</v>
          </cell>
          <cell r="AC392">
            <v>532</v>
          </cell>
          <cell r="AD392">
            <v>562</v>
          </cell>
          <cell r="AE392">
            <v>591.11</v>
          </cell>
          <cell r="AF392">
            <v>0.18999847744074708</v>
          </cell>
          <cell r="AG392">
            <v>0.22938201011656031</v>
          </cell>
          <cell r="AH392">
            <v>658</v>
          </cell>
          <cell r="AI392">
            <v>724</v>
          </cell>
          <cell r="AJ392">
            <v>0.33867403314917127</v>
          </cell>
          <cell r="AK392">
            <v>789.5</v>
          </cell>
          <cell r="AL392">
            <v>855</v>
          </cell>
          <cell r="AM392">
            <v>0.44</v>
          </cell>
          <cell r="AN392">
            <v>956.25</v>
          </cell>
          <cell r="AO392">
            <v>1057.5</v>
          </cell>
          <cell r="AP392">
            <v>1158.75</v>
          </cell>
          <cell r="AQ392">
            <v>0</v>
          </cell>
          <cell r="AR392">
            <v>288</v>
          </cell>
          <cell r="AS392">
            <v>1260</v>
          </cell>
        </row>
        <row r="393">
          <cell r="B393" t="str">
            <v>AC</v>
          </cell>
          <cell r="C393" t="str">
            <v>IMP</v>
          </cell>
          <cell r="D393" t="str">
            <v>BT</v>
          </cell>
          <cell r="E393" t="str">
            <v>08</v>
          </cell>
          <cell r="F393">
            <v>39924</v>
          </cell>
          <cell r="G393">
            <v>40001</v>
          </cell>
          <cell r="H393" t="str">
            <v>A0410Y1</v>
          </cell>
          <cell r="I393" t="str">
            <v>6KMHT504DHUM_N</v>
          </cell>
          <cell r="J393">
            <v>0</v>
          </cell>
          <cell r="K393" t="str">
            <v>HT-504 Heater for PF-601</v>
          </cell>
          <cell r="L393">
            <v>1995</v>
          </cell>
          <cell r="M393">
            <v>741</v>
          </cell>
          <cell r="N393">
            <v>770.64</v>
          </cell>
          <cell r="O393">
            <v>0</v>
          </cell>
          <cell r="P393">
            <v>770.64</v>
          </cell>
          <cell r="Q393">
            <v>785.46</v>
          </cell>
          <cell r="R393">
            <v>887.57</v>
          </cell>
          <cell r="S393">
            <v>947.7</v>
          </cell>
          <cell r="T393">
            <v>0.18683127572016467</v>
          </cell>
          <cell r="U393">
            <v>815.02200000000005</v>
          </cell>
          <cell r="V393">
            <v>5.4454971767633337E-2</v>
          </cell>
          <cell r="W393">
            <v>770.64</v>
          </cell>
          <cell r="X393">
            <v>0.81316872427983533</v>
          </cell>
          <cell r="Y393">
            <v>800</v>
          </cell>
          <cell r="Z393">
            <v>500</v>
          </cell>
          <cell r="AA393">
            <v>932</v>
          </cell>
          <cell r="AB393">
            <v>771</v>
          </cell>
          <cell r="AC393">
            <v>857</v>
          </cell>
          <cell r="AD393">
            <v>905</v>
          </cell>
          <cell r="AE393">
            <v>951.41</v>
          </cell>
          <cell r="AF393">
            <v>0.19000220725029165</v>
          </cell>
          <cell r="AG393">
            <v>0.19000220725029165</v>
          </cell>
          <cell r="AH393">
            <v>1059</v>
          </cell>
          <cell r="AI393">
            <v>1165</v>
          </cell>
          <cell r="AJ393">
            <v>0.33850643776824035</v>
          </cell>
          <cell r="AK393">
            <v>1271</v>
          </cell>
          <cell r="AL393">
            <v>1377</v>
          </cell>
          <cell r="AM393">
            <v>0.44034858387799564</v>
          </cell>
          <cell r="AN393">
            <v>1531.5</v>
          </cell>
          <cell r="AO393">
            <v>1686</v>
          </cell>
          <cell r="AP393">
            <v>1840.5</v>
          </cell>
          <cell r="AQ393">
            <v>0</v>
          </cell>
          <cell r="AR393">
            <v>746</v>
          </cell>
          <cell r="AS393">
            <v>1995</v>
          </cell>
        </row>
        <row r="394">
          <cell r="B394" t="str">
            <v>AC</v>
          </cell>
          <cell r="C394" t="str">
            <v>IMP</v>
          </cell>
          <cell r="D394" t="str">
            <v>BT</v>
          </cell>
          <cell r="E394" t="str">
            <v>08</v>
          </cell>
          <cell r="F394">
            <v>39924</v>
          </cell>
          <cell r="G394">
            <v>40001</v>
          </cell>
          <cell r="H394" t="str">
            <v>A0420Y0</v>
          </cell>
          <cell r="I394" t="str">
            <v>3KMOC506PC</v>
          </cell>
          <cell r="J394">
            <v>0</v>
          </cell>
          <cell r="K394" t="str">
            <v>OC-506 Platen Cover</v>
          </cell>
          <cell r="L394">
            <v>189</v>
          </cell>
          <cell r="M394">
            <v>61</v>
          </cell>
          <cell r="N394">
            <v>63.440000000000005</v>
          </cell>
          <cell r="O394">
            <v>0.19817997977755306</v>
          </cell>
          <cell r="P394">
            <v>79.12</v>
          </cell>
          <cell r="Q394">
            <v>64.66</v>
          </cell>
          <cell r="R394">
            <v>73.069999999999993</v>
          </cell>
          <cell r="S394">
            <v>98.9</v>
          </cell>
          <cell r="T394">
            <v>0.35854398382204244</v>
          </cell>
          <cell r="U394">
            <v>76.588160000000002</v>
          </cell>
          <cell r="V394">
            <v>0.17167353282805067</v>
          </cell>
          <cell r="W394">
            <v>79.12</v>
          </cell>
          <cell r="X394">
            <v>0.8</v>
          </cell>
          <cell r="Y394">
            <v>800</v>
          </cell>
          <cell r="Z394">
            <v>500</v>
          </cell>
          <cell r="AA394">
            <v>96</v>
          </cell>
          <cell r="AB394">
            <v>80</v>
          </cell>
          <cell r="AC394">
            <v>88</v>
          </cell>
          <cell r="AD394">
            <v>93</v>
          </cell>
          <cell r="AE394">
            <v>97.68</v>
          </cell>
          <cell r="AF394">
            <v>0.19000819000819003</v>
          </cell>
          <cell r="AG394">
            <v>0.35053235053235055</v>
          </cell>
          <cell r="AH394">
            <v>109</v>
          </cell>
          <cell r="AI394">
            <v>120</v>
          </cell>
          <cell r="AJ394">
            <v>0.34066666666666662</v>
          </cell>
          <cell r="AK394">
            <v>131</v>
          </cell>
          <cell r="AL394">
            <v>142</v>
          </cell>
          <cell r="AM394">
            <v>0.44281690140845065</v>
          </cell>
          <cell r="AN394">
            <v>153.75</v>
          </cell>
          <cell r="AO394">
            <v>165.5</v>
          </cell>
          <cell r="AP394">
            <v>177.25</v>
          </cell>
          <cell r="AQ394">
            <v>0</v>
          </cell>
          <cell r="AR394">
            <v>746</v>
          </cell>
          <cell r="AS394">
            <v>189</v>
          </cell>
        </row>
        <row r="395">
          <cell r="B395" t="str">
            <v>AC</v>
          </cell>
          <cell r="C395" t="str">
            <v>IMP</v>
          </cell>
          <cell r="D395" t="str">
            <v>BT</v>
          </cell>
          <cell r="E395" t="str">
            <v>08</v>
          </cell>
          <cell r="F395">
            <v>39924</v>
          </cell>
          <cell r="G395">
            <v>40001</v>
          </cell>
          <cell r="H395" t="str">
            <v>A0430Y0</v>
          </cell>
          <cell r="I395" t="str">
            <v>3KMCOT502OPT</v>
          </cell>
          <cell r="J395">
            <v>0</v>
          </cell>
          <cell r="K395" t="str">
            <v>OT-502 Exit Tray</v>
          </cell>
          <cell r="L395">
            <v>651</v>
          </cell>
          <cell r="M395">
            <v>214</v>
          </cell>
          <cell r="N395">
            <v>222.56</v>
          </cell>
          <cell r="O395">
            <v>0.10054962819269316</v>
          </cell>
          <cell r="P395">
            <v>247.44</v>
          </cell>
          <cell r="Q395">
            <v>226.84</v>
          </cell>
          <cell r="R395">
            <v>256.33</v>
          </cell>
          <cell r="S395">
            <v>309.3</v>
          </cell>
          <cell r="T395">
            <v>0.28043970255415457</v>
          </cell>
          <cell r="U395">
            <v>239.52191999999999</v>
          </cell>
          <cell r="V395">
            <v>7.0815731604021853E-2</v>
          </cell>
          <cell r="W395">
            <v>247.44</v>
          </cell>
          <cell r="X395">
            <v>0.79999999999999993</v>
          </cell>
          <cell r="Y395">
            <v>250</v>
          </cell>
          <cell r="Z395">
            <v>500</v>
          </cell>
          <cell r="AA395">
            <v>299</v>
          </cell>
          <cell r="AB395">
            <v>248</v>
          </cell>
          <cell r="AC395">
            <v>275</v>
          </cell>
          <cell r="AD395">
            <v>291</v>
          </cell>
          <cell r="AE395">
            <v>305.48</v>
          </cell>
          <cell r="AF395">
            <v>0.18999607175592514</v>
          </cell>
          <cell r="AG395">
            <v>0.27144166557548777</v>
          </cell>
          <cell r="AH395">
            <v>340</v>
          </cell>
          <cell r="AI395">
            <v>374</v>
          </cell>
          <cell r="AJ395">
            <v>0.33839572192513367</v>
          </cell>
          <cell r="AK395">
            <v>408</v>
          </cell>
          <cell r="AL395">
            <v>442</v>
          </cell>
          <cell r="AM395">
            <v>0.44018099547511313</v>
          </cell>
          <cell r="AN395">
            <v>494.25</v>
          </cell>
          <cell r="AO395">
            <v>546.5</v>
          </cell>
          <cell r="AP395">
            <v>598.75</v>
          </cell>
          <cell r="AQ395">
            <v>0</v>
          </cell>
          <cell r="AR395">
            <v>671</v>
          </cell>
          <cell r="AS395">
            <v>651</v>
          </cell>
        </row>
        <row r="396">
          <cell r="B396" t="str">
            <v>AC</v>
          </cell>
          <cell r="C396" t="str">
            <v>IMP</v>
          </cell>
          <cell r="D396" t="str">
            <v>BT</v>
          </cell>
          <cell r="E396" t="str">
            <v>P3</v>
          </cell>
          <cell r="F396">
            <v>39924</v>
          </cell>
          <cell r="G396">
            <v>40001</v>
          </cell>
          <cell r="H396" t="str">
            <v>A04D0Y0</v>
          </cell>
          <cell r="I396" t="str">
            <v>6KMFS607BKLTFN_N</v>
          </cell>
          <cell r="J396">
            <v>0</v>
          </cell>
          <cell r="K396" t="str">
            <v>FS-607 Booklet Finisher</v>
          </cell>
          <cell r="L396">
            <v>5145</v>
          </cell>
          <cell r="M396">
            <v>1530</v>
          </cell>
          <cell r="N396">
            <v>1591.2</v>
          </cell>
          <cell r="O396">
            <v>-0.17647058823529416</v>
          </cell>
          <cell r="P396">
            <v>1352.52</v>
          </cell>
          <cell r="Q396">
            <v>1621.8</v>
          </cell>
          <cell r="R396">
            <v>1832.63</v>
          </cell>
          <cell r="S396">
            <v>2239.5</v>
          </cell>
          <cell r="T396">
            <v>0.28948425987943738</v>
          </cell>
          <cell r="U396">
            <v>1734.2688000000001</v>
          </cell>
          <cell r="V396">
            <v>8.2495170298860249E-2</v>
          </cell>
          <cell r="W396">
            <v>1352.52</v>
          </cell>
          <cell r="X396">
            <v>0.60393837910247827</v>
          </cell>
          <cell r="Y396">
            <v>800</v>
          </cell>
          <cell r="Z396">
            <v>500</v>
          </cell>
          <cell r="AA396">
            <v>1636</v>
          </cell>
          <cell r="AB396">
            <v>1353</v>
          </cell>
          <cell r="AC396">
            <v>1503</v>
          </cell>
          <cell r="AD396">
            <v>1587</v>
          </cell>
          <cell r="AE396">
            <v>1669.78</v>
          </cell>
          <cell r="AF396">
            <v>0.19000107798632154</v>
          </cell>
          <cell r="AG396">
            <v>4.7060091748613544E-2</v>
          </cell>
          <cell r="AH396">
            <v>1704</v>
          </cell>
          <cell r="AI396">
            <v>1737</v>
          </cell>
          <cell r="AJ396">
            <v>0.22134715025906737</v>
          </cell>
          <cell r="AK396">
            <v>1770.5</v>
          </cell>
          <cell r="AL396">
            <v>1804</v>
          </cell>
          <cell r="AM396">
            <v>0.25026607538802664</v>
          </cell>
          <cell r="AN396">
            <v>2057.44</v>
          </cell>
          <cell r="AO396">
            <v>2310.88</v>
          </cell>
          <cell r="AP396">
            <v>2564.3200000000002</v>
          </cell>
          <cell r="AQ396">
            <v>0</v>
          </cell>
          <cell r="AR396">
            <v>746</v>
          </cell>
          <cell r="AS396">
            <v>5145</v>
          </cell>
        </row>
        <row r="397">
          <cell r="B397" t="str">
            <v>AC</v>
          </cell>
          <cell r="C397" t="str">
            <v>IMP</v>
          </cell>
          <cell r="D397" t="str">
            <v>BT</v>
          </cell>
          <cell r="E397" t="str">
            <v>08</v>
          </cell>
          <cell r="F397">
            <v>39924</v>
          </cell>
          <cell r="G397">
            <v>40001</v>
          </cell>
          <cell r="H397" t="str">
            <v>A04DWW0</v>
          </cell>
          <cell r="I397" t="str">
            <v>6KMFS607BKLTFN_N</v>
          </cell>
          <cell r="J397">
            <v>0</v>
          </cell>
          <cell r="K397" t="str">
            <v>FS-607 Booklet Finisher</v>
          </cell>
          <cell r="L397">
            <v>5145</v>
          </cell>
          <cell r="M397">
            <v>1530</v>
          </cell>
          <cell r="N397">
            <v>1591.2</v>
          </cell>
          <cell r="O397">
            <v>0.11185532484929665</v>
          </cell>
          <cell r="P397">
            <v>1791.6</v>
          </cell>
          <cell r="Q397">
            <v>1621.8</v>
          </cell>
          <cell r="R397">
            <v>1832.63</v>
          </cell>
          <cell r="S397">
            <v>2239.5</v>
          </cell>
          <cell r="T397">
            <v>0.28948425987943738</v>
          </cell>
          <cell r="U397">
            <v>1734.2688000000001</v>
          </cell>
          <cell r="V397">
            <v>8.2495170298860249E-2</v>
          </cell>
          <cell r="W397">
            <v>1791.6</v>
          </cell>
          <cell r="X397">
            <v>0.79999999999999993</v>
          </cell>
          <cell r="Y397">
            <v>250</v>
          </cell>
          <cell r="Z397">
            <v>500</v>
          </cell>
          <cell r="AA397">
            <v>2168</v>
          </cell>
          <cell r="AB397">
            <v>1792</v>
          </cell>
          <cell r="AC397">
            <v>1991</v>
          </cell>
          <cell r="AD397">
            <v>2102</v>
          </cell>
          <cell r="AE397">
            <v>2211.85</v>
          </cell>
          <cell r="AF397">
            <v>0.18999932183466331</v>
          </cell>
          <cell r="AG397">
            <v>0.28060221081899761</v>
          </cell>
          <cell r="AH397">
            <v>2459</v>
          </cell>
          <cell r="AI397">
            <v>2706</v>
          </cell>
          <cell r="AJ397">
            <v>0.33791574279379161</v>
          </cell>
          <cell r="AK397">
            <v>2953</v>
          </cell>
          <cell r="AL397">
            <v>3200</v>
          </cell>
          <cell r="AM397">
            <v>0.44012500000000004</v>
          </cell>
          <cell r="AN397">
            <v>3686.25</v>
          </cell>
          <cell r="AO397">
            <v>4172.5</v>
          </cell>
          <cell r="AP397">
            <v>4658.75</v>
          </cell>
          <cell r="AQ397">
            <v>0</v>
          </cell>
          <cell r="AR397">
            <v>506</v>
          </cell>
          <cell r="AS397">
            <v>5145</v>
          </cell>
        </row>
        <row r="398">
          <cell r="B398" t="str">
            <v>AC</v>
          </cell>
          <cell r="C398" t="str">
            <v>IMP</v>
          </cell>
          <cell r="D398" t="str">
            <v>BT</v>
          </cell>
          <cell r="E398" t="str">
            <v>08</v>
          </cell>
          <cell r="F398">
            <v>39924</v>
          </cell>
          <cell r="G398">
            <v>40001</v>
          </cell>
          <cell r="H398" t="str">
            <v>A04F0Y1</v>
          </cell>
          <cell r="I398" t="str">
            <v>6KMPK512HPK_N</v>
          </cell>
          <cell r="J398">
            <v>0</v>
          </cell>
          <cell r="K398" t="str">
            <v>PK-512 2/3 hole punch</v>
          </cell>
          <cell r="L398">
            <v>814</v>
          </cell>
          <cell r="M398">
            <v>286</v>
          </cell>
          <cell r="N398">
            <v>297.44</v>
          </cell>
          <cell r="O398">
            <v>0.12517647058823531</v>
          </cell>
          <cell r="P398">
            <v>340</v>
          </cell>
          <cell r="Q398">
            <v>303.16000000000003</v>
          </cell>
          <cell r="R398">
            <v>342.57</v>
          </cell>
          <cell r="S398">
            <v>425</v>
          </cell>
          <cell r="T398">
            <v>0.30014117647058824</v>
          </cell>
          <cell r="U398">
            <v>329.12</v>
          </cell>
          <cell r="V398">
            <v>9.6256684491978634E-2</v>
          </cell>
          <cell r="W398">
            <v>340</v>
          </cell>
          <cell r="X398">
            <v>0.8</v>
          </cell>
          <cell r="Y398">
            <v>250</v>
          </cell>
          <cell r="Z398">
            <v>500</v>
          </cell>
          <cell r="AA398">
            <v>411</v>
          </cell>
          <cell r="AB398">
            <v>340</v>
          </cell>
          <cell r="AC398">
            <v>378</v>
          </cell>
          <cell r="AD398">
            <v>399</v>
          </cell>
          <cell r="AE398">
            <v>419.75</v>
          </cell>
          <cell r="AF398">
            <v>0.18999404407385348</v>
          </cell>
          <cell r="AG398">
            <v>0.2913877307921382</v>
          </cell>
          <cell r="AH398">
            <v>467</v>
          </cell>
          <cell r="AI398">
            <v>514</v>
          </cell>
          <cell r="AJ398">
            <v>0.33852140077821014</v>
          </cell>
          <cell r="AK398">
            <v>561</v>
          </cell>
          <cell r="AL398">
            <v>608</v>
          </cell>
          <cell r="AM398">
            <v>0.44078947368421051</v>
          </cell>
          <cell r="AN398">
            <v>659.5</v>
          </cell>
          <cell r="AO398">
            <v>711</v>
          </cell>
          <cell r="AP398">
            <v>762.5</v>
          </cell>
          <cell r="AQ398">
            <v>0</v>
          </cell>
          <cell r="AR398">
            <v>506</v>
          </cell>
          <cell r="AS398">
            <v>814</v>
          </cell>
        </row>
        <row r="399">
          <cell r="B399" t="str">
            <v>AC</v>
          </cell>
          <cell r="C399" t="str">
            <v>IMP</v>
          </cell>
          <cell r="D399" t="str">
            <v>BT</v>
          </cell>
          <cell r="E399" t="str">
            <v>P3</v>
          </cell>
          <cell r="F399">
            <v>39924</v>
          </cell>
          <cell r="G399">
            <v>40001</v>
          </cell>
          <cell r="H399" t="str">
            <v>A04H0Y0</v>
          </cell>
          <cell r="I399" t="str">
            <v>3KMHPI502PI</v>
          </cell>
          <cell r="J399">
            <v>0</v>
          </cell>
          <cell r="K399" t="str">
            <v>PI-502 Cover inserter</v>
          </cell>
          <cell r="L399">
            <v>1098</v>
          </cell>
          <cell r="M399">
            <v>414</v>
          </cell>
          <cell r="N399">
            <v>430.56</v>
          </cell>
          <cell r="O399">
            <v>-0.17647058823529413</v>
          </cell>
          <cell r="P399">
            <v>365.976</v>
          </cell>
          <cell r="Q399">
            <v>438.84</v>
          </cell>
          <cell r="R399">
            <v>495.89</v>
          </cell>
          <cell r="S399">
            <v>573.70000000000005</v>
          </cell>
          <cell r="T399">
            <v>0.24950322468188954</v>
          </cell>
          <cell r="U399">
            <v>493.38200000000001</v>
          </cell>
          <cell r="V399">
            <v>0.12732933102545291</v>
          </cell>
          <cell r="W399">
            <v>365.976</v>
          </cell>
          <cell r="X399">
            <v>0.6379222590203939</v>
          </cell>
          <cell r="Y399">
            <v>800</v>
          </cell>
          <cell r="Z399">
            <v>500</v>
          </cell>
          <cell r="AA399">
            <v>443</v>
          </cell>
          <cell r="AB399">
            <v>366</v>
          </cell>
          <cell r="AC399">
            <v>407</v>
          </cell>
          <cell r="AD399">
            <v>430</v>
          </cell>
          <cell r="AE399">
            <v>451.82</v>
          </cell>
          <cell r="AF399">
            <v>0.18999601611261122</v>
          </cell>
          <cell r="AG399">
            <v>4.7054136603071998E-2</v>
          </cell>
          <cell r="AH399">
            <v>461</v>
          </cell>
          <cell r="AI399">
            <v>470</v>
          </cell>
          <cell r="AJ399">
            <v>0.22132765957446809</v>
          </cell>
          <cell r="AK399">
            <v>479</v>
          </cell>
          <cell r="AL399">
            <v>488</v>
          </cell>
          <cell r="AM399">
            <v>0.25004918032786888</v>
          </cell>
          <cell r="AN399">
            <v>556.61</v>
          </cell>
          <cell r="AO399">
            <v>625.22</v>
          </cell>
          <cell r="AP399">
            <v>693.83</v>
          </cell>
          <cell r="AQ399">
            <v>0</v>
          </cell>
          <cell r="AR399">
            <v>746</v>
          </cell>
          <cell r="AS399">
            <v>1098</v>
          </cell>
        </row>
        <row r="400">
          <cell r="B400" t="str">
            <v>AC</v>
          </cell>
          <cell r="C400" t="str">
            <v>IMP</v>
          </cell>
          <cell r="D400" t="str">
            <v>BT</v>
          </cell>
          <cell r="E400" t="str">
            <v>08</v>
          </cell>
          <cell r="F400">
            <v>39924</v>
          </cell>
          <cell r="G400">
            <v>40001</v>
          </cell>
          <cell r="H400" t="str">
            <v>A04HWY1</v>
          </cell>
          <cell r="I400" t="str">
            <v>6KMPI502V2_N</v>
          </cell>
          <cell r="J400">
            <v>0</v>
          </cell>
          <cell r="K400" t="str">
            <v>PI-502 Cover inserter</v>
          </cell>
          <cell r="L400">
            <v>1098</v>
          </cell>
          <cell r="M400">
            <v>414</v>
          </cell>
          <cell r="N400">
            <v>430.56</v>
          </cell>
          <cell r="O400">
            <v>6.1879030852361815E-2</v>
          </cell>
          <cell r="P400">
            <v>458.96</v>
          </cell>
          <cell r="Q400">
            <v>438.84</v>
          </cell>
          <cell r="R400">
            <v>495.89</v>
          </cell>
          <cell r="S400">
            <v>573.70000000000005</v>
          </cell>
          <cell r="T400">
            <v>0.24950322468188954</v>
          </cell>
          <cell r="U400">
            <v>493.38200000000001</v>
          </cell>
          <cell r="V400">
            <v>0.12732933102545291</v>
          </cell>
          <cell r="W400">
            <v>458.96</v>
          </cell>
          <cell r="X400">
            <v>0.79999999999999993</v>
          </cell>
          <cell r="Y400">
            <v>150</v>
          </cell>
          <cell r="Z400">
            <v>300</v>
          </cell>
          <cell r="AA400">
            <v>555</v>
          </cell>
          <cell r="AB400">
            <v>459</v>
          </cell>
          <cell r="AC400">
            <v>510</v>
          </cell>
          <cell r="AD400">
            <v>539</v>
          </cell>
          <cell r="AE400">
            <v>566.62</v>
          </cell>
          <cell r="AF400">
            <v>0.19000388267269072</v>
          </cell>
          <cell r="AG400">
            <v>0.24012565740708058</v>
          </cell>
          <cell r="AH400">
            <v>631</v>
          </cell>
          <cell r="AI400">
            <v>694</v>
          </cell>
          <cell r="AJ400">
            <v>0.33867435158501447</v>
          </cell>
          <cell r="AK400">
            <v>757</v>
          </cell>
          <cell r="AL400">
            <v>820</v>
          </cell>
          <cell r="AM400">
            <v>0.44029268292682927</v>
          </cell>
          <cell r="AN400">
            <v>889.5</v>
          </cell>
          <cell r="AO400">
            <v>959</v>
          </cell>
          <cell r="AP400">
            <v>1028.5</v>
          </cell>
          <cell r="AQ400">
            <v>0</v>
          </cell>
          <cell r="AR400">
            <v>295</v>
          </cell>
          <cell r="AS400">
            <v>1098</v>
          </cell>
        </row>
        <row r="401">
          <cell r="B401" t="str">
            <v>AC</v>
          </cell>
          <cell r="C401" t="str">
            <v>IMP</v>
          </cell>
          <cell r="D401" t="str">
            <v>BT</v>
          </cell>
          <cell r="E401" t="str">
            <v>P3</v>
          </cell>
          <cell r="F401">
            <v>39924</v>
          </cell>
          <cell r="G401">
            <v>40001</v>
          </cell>
          <cell r="H401" t="str">
            <v>A04J0Y0</v>
          </cell>
          <cell r="I401" t="str">
            <v>6KMRU503RBPU_N</v>
          </cell>
          <cell r="J401">
            <v>0</v>
          </cell>
          <cell r="K401" t="str">
            <v>RU-503 Relay unit w/o power</v>
          </cell>
          <cell r="L401">
            <v>2625</v>
          </cell>
          <cell r="M401">
            <v>898</v>
          </cell>
          <cell r="N401">
            <v>933.92000000000007</v>
          </cell>
          <cell r="O401">
            <v>-0.17647058823529421</v>
          </cell>
          <cell r="P401">
            <v>793.83199999999999</v>
          </cell>
          <cell r="Q401">
            <v>951.88</v>
          </cell>
          <cell r="R401">
            <v>1075.6199999999999</v>
          </cell>
          <cell r="S401">
            <v>1141.2</v>
          </cell>
          <cell r="T401">
            <v>0.181633368384157</v>
          </cell>
          <cell r="U401">
            <v>981.43200000000002</v>
          </cell>
          <cell r="V401">
            <v>4.8410893469949971E-2</v>
          </cell>
          <cell r="W401">
            <v>793.83199999999999</v>
          </cell>
          <cell r="X401">
            <v>0.6956116368734665</v>
          </cell>
          <cell r="Y401">
            <v>150</v>
          </cell>
          <cell r="Z401">
            <v>175</v>
          </cell>
          <cell r="AA401">
            <v>960</v>
          </cell>
          <cell r="AB401">
            <v>794</v>
          </cell>
          <cell r="AC401">
            <v>883</v>
          </cell>
          <cell r="AD401">
            <v>932</v>
          </cell>
          <cell r="AE401">
            <v>980.04</v>
          </cell>
          <cell r="AF401">
            <v>0.19000040814660624</v>
          </cell>
          <cell r="AG401">
            <v>4.7059303701889606E-2</v>
          </cell>
          <cell r="AH401">
            <v>1001</v>
          </cell>
          <cell r="AI401">
            <v>1020</v>
          </cell>
          <cell r="AJ401">
            <v>0.22173333333333334</v>
          </cell>
          <cell r="AK401">
            <v>1039.5</v>
          </cell>
          <cell r="AL401">
            <v>1059</v>
          </cell>
          <cell r="AM401">
            <v>0.25039471199244573</v>
          </cell>
          <cell r="AN401">
            <v>1207.7</v>
          </cell>
          <cell r="AO401">
            <v>1356.4</v>
          </cell>
          <cell r="AP401">
            <v>1505.1</v>
          </cell>
          <cell r="AQ401">
            <v>0</v>
          </cell>
          <cell r="AR401">
            <v>295</v>
          </cell>
          <cell r="AS401">
            <v>2625</v>
          </cell>
        </row>
        <row r="402">
          <cell r="B402" t="str">
            <v>AC</v>
          </cell>
          <cell r="C402" t="str">
            <v>IMP</v>
          </cell>
          <cell r="D402" t="str">
            <v>BT</v>
          </cell>
          <cell r="E402" t="str">
            <v>P3</v>
          </cell>
          <cell r="F402">
            <v>39924</v>
          </cell>
          <cell r="G402">
            <v>40001</v>
          </cell>
          <cell r="H402" t="str">
            <v>A04K0Y0</v>
          </cell>
          <cell r="I402" t="str">
            <v>6KMRU504PRBPU_N</v>
          </cell>
          <cell r="J402">
            <v>0</v>
          </cell>
          <cell r="K402" t="str">
            <v>RU-504 Relay unit with power</v>
          </cell>
          <cell r="L402">
            <v>3360</v>
          </cell>
          <cell r="M402">
            <v>1173</v>
          </cell>
          <cell r="N402">
            <v>1219.92</v>
          </cell>
          <cell r="O402">
            <v>-0.17647058823529416</v>
          </cell>
          <cell r="P402">
            <v>1036.932</v>
          </cell>
          <cell r="Q402">
            <v>1243.3800000000001</v>
          </cell>
          <cell r="R402">
            <v>1405.02</v>
          </cell>
          <cell r="S402">
            <v>1491.4</v>
          </cell>
          <cell r="T402">
            <v>0.18203030709400564</v>
          </cell>
          <cell r="U402">
            <v>1282.604</v>
          </cell>
          <cell r="V402">
            <v>4.8872450109308851E-2</v>
          </cell>
          <cell r="W402">
            <v>1036.932</v>
          </cell>
          <cell r="X402">
            <v>0.69527423897009522</v>
          </cell>
          <cell r="Y402">
            <v>150</v>
          </cell>
          <cell r="Z402">
            <v>175</v>
          </cell>
          <cell r="AA402">
            <v>1255</v>
          </cell>
          <cell r="AB402">
            <v>1037</v>
          </cell>
          <cell r="AC402">
            <v>1153</v>
          </cell>
          <cell r="AD402">
            <v>1217</v>
          </cell>
          <cell r="AE402">
            <v>1280.1600000000001</v>
          </cell>
          <cell r="AF402">
            <v>0.18999812523434575</v>
          </cell>
          <cell r="AG402">
            <v>4.7056617922759662E-2</v>
          </cell>
          <cell r="AH402">
            <v>1307</v>
          </cell>
          <cell r="AI402">
            <v>1332</v>
          </cell>
          <cell r="AJ402">
            <v>0.2215225225225225</v>
          </cell>
          <cell r="AK402">
            <v>1357.5</v>
          </cell>
          <cell r="AL402">
            <v>1383</v>
          </cell>
          <cell r="AM402">
            <v>0.25022993492407808</v>
          </cell>
          <cell r="AN402">
            <v>1577.32</v>
          </cell>
          <cell r="AO402">
            <v>1771.64</v>
          </cell>
          <cell r="AP402">
            <v>1965.96</v>
          </cell>
          <cell r="AQ402">
            <v>0</v>
          </cell>
          <cell r="AR402">
            <v>295</v>
          </cell>
          <cell r="AS402">
            <v>3360</v>
          </cell>
        </row>
        <row r="403">
          <cell r="B403" t="str">
            <v>AC</v>
          </cell>
          <cell r="C403" t="str">
            <v>IMP</v>
          </cell>
          <cell r="D403" t="str">
            <v>BT</v>
          </cell>
          <cell r="E403" t="str">
            <v>08</v>
          </cell>
          <cell r="F403">
            <v>39924</v>
          </cell>
          <cell r="G403">
            <v>40001</v>
          </cell>
          <cell r="H403" t="str">
            <v>A04KWY1</v>
          </cell>
          <cell r="I403" t="str">
            <v>6KMRU504V2_N</v>
          </cell>
          <cell r="J403">
            <v>0</v>
          </cell>
          <cell r="K403" t="str">
            <v>RU-504 Relay unit with power</v>
          </cell>
          <cell r="L403">
            <v>3360</v>
          </cell>
          <cell r="M403">
            <v>1000</v>
          </cell>
          <cell r="N403">
            <v>1040</v>
          </cell>
          <cell r="O403">
            <v>4.023624953857504E-2</v>
          </cell>
          <cell r="P403">
            <v>1083.5999999999999</v>
          </cell>
          <cell r="Q403">
            <v>1060</v>
          </cell>
          <cell r="R403">
            <v>1197.8</v>
          </cell>
          <cell r="S403">
            <v>1354.5</v>
          </cell>
          <cell r="T403">
            <v>0.23218899963086009</v>
          </cell>
          <cell r="U403">
            <v>1164.8699999999999</v>
          </cell>
          <cell r="V403">
            <v>0.10719651119867445</v>
          </cell>
          <cell r="W403">
            <v>1083.5999999999999</v>
          </cell>
          <cell r="X403">
            <v>0.79999999999999993</v>
          </cell>
          <cell r="Y403">
            <v>0</v>
          </cell>
          <cell r="Z403">
            <v>0</v>
          </cell>
          <cell r="AA403">
            <v>1311</v>
          </cell>
          <cell r="AB403">
            <v>1084</v>
          </cell>
          <cell r="AC403">
            <v>1204</v>
          </cell>
          <cell r="AD403">
            <v>1271</v>
          </cell>
          <cell r="AE403">
            <v>1337.78</v>
          </cell>
          <cell r="AF403">
            <v>0.19000134551271514</v>
          </cell>
          <cell r="AG403">
            <v>0.22259265350057555</v>
          </cell>
          <cell r="AH403">
            <v>1488</v>
          </cell>
          <cell r="AI403">
            <v>1637</v>
          </cell>
          <cell r="AJ403">
            <v>0.33805742211362255</v>
          </cell>
          <cell r="AK403">
            <v>1786</v>
          </cell>
          <cell r="AL403">
            <v>1935</v>
          </cell>
          <cell r="AM403">
            <v>0.44000000000000006</v>
          </cell>
          <cell r="AN403">
            <v>2291.25</v>
          </cell>
          <cell r="AO403">
            <v>2647.5</v>
          </cell>
          <cell r="AP403">
            <v>3003.75</v>
          </cell>
          <cell r="AQ403">
            <v>0</v>
          </cell>
          <cell r="AR403">
            <v>0</v>
          </cell>
          <cell r="AS403">
            <v>3360</v>
          </cell>
        </row>
        <row r="404">
          <cell r="B404" t="str">
            <v>AC</v>
          </cell>
          <cell r="C404" t="str">
            <v>IMP</v>
          </cell>
          <cell r="D404" t="str">
            <v>BT</v>
          </cell>
          <cell r="E404" t="str">
            <v>P3</v>
          </cell>
          <cell r="F404">
            <v>39924</v>
          </cell>
          <cell r="G404">
            <v>40001</v>
          </cell>
          <cell r="H404" t="str">
            <v>A0520Y0</v>
          </cell>
          <cell r="I404" t="str">
            <v>7KMDF609RADF_N</v>
          </cell>
          <cell r="J404">
            <v>0</v>
          </cell>
          <cell r="K404" t="str">
            <v>DF-609 Document Feeder</v>
          </cell>
          <cell r="L404">
            <v>1890</v>
          </cell>
          <cell r="M404">
            <v>559</v>
          </cell>
          <cell r="N404">
            <v>581.36</v>
          </cell>
          <cell r="O404">
            <v>-0.17647058823529413</v>
          </cell>
          <cell r="P404">
            <v>494.15600000000001</v>
          </cell>
          <cell r="Q404">
            <v>592.54</v>
          </cell>
          <cell r="R404">
            <v>669.57</v>
          </cell>
          <cell r="S404">
            <v>877.8</v>
          </cell>
          <cell r="T404">
            <v>0.33770790612895873</v>
          </cell>
          <cell r="U404">
            <v>679.7683199999999</v>
          </cell>
          <cell r="V404">
            <v>0.14476744076570075</v>
          </cell>
          <cell r="W404">
            <v>494.15600000000001</v>
          </cell>
          <cell r="X404">
            <v>0.56294827979038509</v>
          </cell>
          <cell r="Y404">
            <v>0</v>
          </cell>
          <cell r="Z404">
            <v>0</v>
          </cell>
          <cell r="AA404">
            <v>598</v>
          </cell>
          <cell r="AB404">
            <v>495</v>
          </cell>
          <cell r="AC404">
            <v>550</v>
          </cell>
          <cell r="AD404">
            <v>581</v>
          </cell>
          <cell r="AE404">
            <v>610.07000000000005</v>
          </cell>
          <cell r="AF404">
            <v>0.19000114740931373</v>
          </cell>
          <cell r="AG404">
            <v>4.7060173422722042E-2</v>
          </cell>
          <cell r="AH404">
            <v>623</v>
          </cell>
          <cell r="AI404">
            <v>635</v>
          </cell>
          <cell r="AJ404">
            <v>0.2218015748031496</v>
          </cell>
          <cell r="AK404">
            <v>647</v>
          </cell>
          <cell r="AL404">
            <v>659</v>
          </cell>
          <cell r="AM404">
            <v>0.25014264036418815</v>
          </cell>
          <cell r="AN404">
            <v>751.62</v>
          </cell>
          <cell r="AO404">
            <v>844.24</v>
          </cell>
          <cell r="AP404">
            <v>936.86</v>
          </cell>
          <cell r="AQ404">
            <v>0</v>
          </cell>
          <cell r="AS404">
            <v>1890</v>
          </cell>
        </row>
        <row r="405">
          <cell r="B405" t="str">
            <v>AC</v>
          </cell>
          <cell r="C405" t="str">
            <v>IMP</v>
          </cell>
          <cell r="D405" t="str">
            <v>BT</v>
          </cell>
          <cell r="E405" t="str">
            <v>08</v>
          </cell>
          <cell r="F405">
            <v>39924</v>
          </cell>
          <cell r="G405">
            <v>40001</v>
          </cell>
          <cell r="H405" t="str">
            <v>A052WY1</v>
          </cell>
          <cell r="I405" t="str">
            <v>7KMDF609V2_N</v>
          </cell>
          <cell r="K405" t="str">
            <v>DF-609 Document Feeder</v>
          </cell>
          <cell r="L405">
            <v>1890</v>
          </cell>
          <cell r="M405">
            <v>559</v>
          </cell>
          <cell r="N405">
            <v>581.36</v>
          </cell>
          <cell r="O405">
            <v>0.17213488266119845</v>
          </cell>
          <cell r="P405">
            <v>702.24</v>
          </cell>
          <cell r="Q405">
            <v>592.54</v>
          </cell>
          <cell r="R405">
            <v>669.57</v>
          </cell>
          <cell r="S405">
            <v>877.8</v>
          </cell>
          <cell r="T405">
            <v>0.33770790612895873</v>
          </cell>
          <cell r="U405">
            <v>679.7683199999999</v>
          </cell>
          <cell r="V405">
            <v>0.14476744076570075</v>
          </cell>
          <cell r="W405">
            <v>702.24</v>
          </cell>
          <cell r="X405">
            <v>0.8</v>
          </cell>
          <cell r="AA405">
            <v>850</v>
          </cell>
          <cell r="AB405">
            <v>703</v>
          </cell>
          <cell r="AC405">
            <v>781</v>
          </cell>
          <cell r="AD405">
            <v>824</v>
          </cell>
          <cell r="AE405">
            <v>866.96</v>
          </cell>
          <cell r="AF405">
            <v>0.18999723170619176</v>
          </cell>
          <cell r="AG405">
            <v>0.32942696318169234</v>
          </cell>
          <cell r="AH405">
            <v>964</v>
          </cell>
          <cell r="AI405">
            <v>1061</v>
          </cell>
          <cell r="AJ405">
            <v>0.33813383600377001</v>
          </cell>
          <cell r="AK405">
            <v>1157.5</v>
          </cell>
          <cell r="AL405">
            <v>1254</v>
          </cell>
          <cell r="AM405">
            <v>0.44</v>
          </cell>
          <cell r="AN405">
            <v>1413</v>
          </cell>
          <cell r="AO405">
            <v>1572</v>
          </cell>
          <cell r="AP405">
            <v>1731</v>
          </cell>
          <cell r="AQ405">
            <v>0</v>
          </cell>
          <cell r="AS405">
            <v>1890</v>
          </cell>
        </row>
        <row r="406">
          <cell r="B406" t="str">
            <v>AC</v>
          </cell>
          <cell r="C406" t="str">
            <v>IMP</v>
          </cell>
          <cell r="D406" t="str">
            <v>BT</v>
          </cell>
          <cell r="E406" t="str">
            <v>P3</v>
          </cell>
          <cell r="F406">
            <v>39924</v>
          </cell>
          <cell r="G406">
            <v>40009</v>
          </cell>
          <cell r="H406" t="str">
            <v>A0730Y0</v>
          </cell>
          <cell r="I406" t="str">
            <v>4KMIC304ECC_N</v>
          </cell>
          <cell r="J406" t="str">
            <v>NLA</v>
          </cell>
          <cell r="K406" t="str">
            <v>IC-304 Creo</v>
          </cell>
          <cell r="L406">
            <v>27825</v>
          </cell>
          <cell r="M406">
            <v>10710</v>
          </cell>
          <cell r="N406">
            <v>11138.4</v>
          </cell>
          <cell r="O406">
            <v>-0.17647058823529416</v>
          </cell>
          <cell r="P406">
            <v>9467.64</v>
          </cell>
          <cell r="Q406">
            <v>11352.6</v>
          </cell>
          <cell r="R406">
            <v>12828.44</v>
          </cell>
          <cell r="S406">
            <v>15384.5</v>
          </cell>
          <cell r="T406">
            <v>0.27599856998927497</v>
          </cell>
          <cell r="U406">
            <v>11913.756799999999</v>
          </cell>
          <cell r="V406">
            <v>6.5080798023340519E-2</v>
          </cell>
          <cell r="W406">
            <v>9467.64</v>
          </cell>
          <cell r="X406">
            <v>0.61540121550911631</v>
          </cell>
          <cell r="Y406">
            <v>0</v>
          </cell>
          <cell r="Z406">
            <v>0</v>
          </cell>
          <cell r="AA406">
            <v>11455</v>
          </cell>
          <cell r="AB406">
            <v>9468</v>
          </cell>
          <cell r="AC406">
            <v>10520</v>
          </cell>
          <cell r="AD406">
            <v>11105</v>
          </cell>
          <cell r="AE406">
            <v>11688.44</v>
          </cell>
          <cell r="AF406">
            <v>0.18999969200338121</v>
          </cell>
          <cell r="AG406">
            <v>4.7058461180448451E-2</v>
          </cell>
          <cell r="AH406">
            <v>11923</v>
          </cell>
          <cell r="AI406">
            <v>12157</v>
          </cell>
          <cell r="AJ406">
            <v>0.22121905075265283</v>
          </cell>
          <cell r="AK406">
            <v>12390.5</v>
          </cell>
          <cell r="AL406">
            <v>12624</v>
          </cell>
          <cell r="AM406">
            <v>0.25002851711026619</v>
          </cell>
          <cell r="AN406">
            <v>14399.06</v>
          </cell>
          <cell r="AO406">
            <v>16174.12</v>
          </cell>
          <cell r="AP406">
            <v>17949.18</v>
          </cell>
          <cell r="AQ406">
            <v>0</v>
          </cell>
          <cell r="AR406">
            <v>295</v>
          </cell>
          <cell r="AS406">
            <v>27825</v>
          </cell>
        </row>
        <row r="407">
          <cell r="B407" t="str">
            <v>AC</v>
          </cell>
          <cell r="C407" t="str">
            <v>IMP</v>
          </cell>
          <cell r="D407" t="str">
            <v>BT</v>
          </cell>
          <cell r="E407" t="str">
            <v>08</v>
          </cell>
          <cell r="F407">
            <v>39924</v>
          </cell>
          <cell r="G407">
            <v>40009</v>
          </cell>
          <cell r="H407" t="str">
            <v>A073WW0</v>
          </cell>
          <cell r="I407" t="str">
            <v>4KMIC304ECC_N</v>
          </cell>
          <cell r="J407" t="str">
            <v>NLA</v>
          </cell>
          <cell r="K407" t="str">
            <v>IC-304 Creo</v>
          </cell>
          <cell r="L407">
            <v>27825</v>
          </cell>
          <cell r="M407">
            <v>10710</v>
          </cell>
          <cell r="N407">
            <v>11138.4</v>
          </cell>
          <cell r="O407">
            <v>9.4998212486593708E-2</v>
          </cell>
          <cell r="P407">
            <v>12307.6</v>
          </cell>
          <cell r="Q407">
            <v>11352.6</v>
          </cell>
          <cell r="R407">
            <v>12828.44</v>
          </cell>
          <cell r="S407">
            <v>15384.5</v>
          </cell>
          <cell r="T407">
            <v>0.27599856998927497</v>
          </cell>
          <cell r="U407">
            <v>11913.756799999999</v>
          </cell>
          <cell r="V407">
            <v>6.5080798023340519E-2</v>
          </cell>
          <cell r="W407">
            <v>12307.6</v>
          </cell>
          <cell r="X407">
            <v>0.8</v>
          </cell>
          <cell r="Y407">
            <v>0</v>
          </cell>
          <cell r="Z407">
            <v>0</v>
          </cell>
          <cell r="AA407">
            <v>14891</v>
          </cell>
          <cell r="AB407">
            <v>12308</v>
          </cell>
          <cell r="AC407">
            <v>13676</v>
          </cell>
          <cell r="AD407">
            <v>14436</v>
          </cell>
          <cell r="AE407">
            <v>15194.57</v>
          </cell>
          <cell r="AF407">
            <v>0.19000011188207364</v>
          </cell>
          <cell r="AG407">
            <v>0.26694865336761753</v>
          </cell>
          <cell r="AH407">
            <v>16891</v>
          </cell>
          <cell r="AI407">
            <v>18587</v>
          </cell>
          <cell r="AJ407">
            <v>0.33783827406251682</v>
          </cell>
          <cell r="AK407">
            <v>20282.5</v>
          </cell>
          <cell r="AL407">
            <v>21978</v>
          </cell>
          <cell r="AM407">
            <v>0.44000364000364001</v>
          </cell>
          <cell r="AN407">
            <v>23439.75</v>
          </cell>
          <cell r="AO407">
            <v>24901.5</v>
          </cell>
          <cell r="AP407">
            <v>26363.25</v>
          </cell>
          <cell r="AQ407">
            <v>0</v>
          </cell>
          <cell r="AR407">
            <v>0</v>
          </cell>
          <cell r="AS407">
            <v>27825</v>
          </cell>
        </row>
        <row r="408">
          <cell r="B408" t="str">
            <v>AC</v>
          </cell>
          <cell r="C408" t="str">
            <v>IMP</v>
          </cell>
          <cell r="D408" t="str">
            <v>BT</v>
          </cell>
          <cell r="E408" t="str">
            <v>08</v>
          </cell>
          <cell r="F408">
            <v>39924</v>
          </cell>
          <cell r="G408">
            <v>40009</v>
          </cell>
          <cell r="H408" t="str">
            <v>A073WW1</v>
          </cell>
          <cell r="I408" t="str">
            <v>4KMIC304_N</v>
          </cell>
          <cell r="K408" t="str">
            <v>IC-304 Plus Creo</v>
          </cell>
          <cell r="L408">
            <v>27825</v>
          </cell>
          <cell r="M408">
            <v>10710</v>
          </cell>
          <cell r="N408">
            <v>11138.4</v>
          </cell>
          <cell r="O408">
            <v>9.4998212486593708E-2</v>
          </cell>
          <cell r="P408">
            <v>12307.6</v>
          </cell>
          <cell r="Q408">
            <v>11352.6</v>
          </cell>
          <cell r="R408">
            <v>12828.44</v>
          </cell>
          <cell r="S408">
            <v>15384.5</v>
          </cell>
          <cell r="T408">
            <v>0.27599856998927497</v>
          </cell>
          <cell r="U408">
            <v>11913.756799999999</v>
          </cell>
          <cell r="V408">
            <v>6.5080798023340519E-2</v>
          </cell>
          <cell r="W408">
            <v>12307.6</v>
          </cell>
          <cell r="X408">
            <v>0.8</v>
          </cell>
          <cell r="Y408">
            <v>0</v>
          </cell>
          <cell r="Z408">
            <v>0</v>
          </cell>
          <cell r="AA408">
            <v>14891</v>
          </cell>
          <cell r="AB408">
            <v>12308</v>
          </cell>
          <cell r="AC408">
            <v>13676</v>
          </cell>
          <cell r="AD408">
            <v>14436</v>
          </cell>
          <cell r="AE408">
            <v>15194.57</v>
          </cell>
          <cell r="AF408">
            <v>0.19000011188207364</v>
          </cell>
          <cell r="AG408">
            <v>0.26694865336761753</v>
          </cell>
          <cell r="AH408">
            <v>16891</v>
          </cell>
          <cell r="AI408">
            <v>18587</v>
          </cell>
          <cell r="AJ408">
            <v>0.33783827406251682</v>
          </cell>
          <cell r="AK408">
            <v>20282.5</v>
          </cell>
          <cell r="AL408">
            <v>21978</v>
          </cell>
          <cell r="AM408">
            <v>0.44000364000364001</v>
          </cell>
          <cell r="AN408">
            <v>23439.75</v>
          </cell>
          <cell r="AO408">
            <v>24901.5</v>
          </cell>
          <cell r="AP408">
            <v>26363.25</v>
          </cell>
          <cell r="AQ408">
            <v>0</v>
          </cell>
          <cell r="AS408">
            <v>27825</v>
          </cell>
        </row>
        <row r="409">
          <cell r="B409" t="str">
            <v>AC</v>
          </cell>
          <cell r="C409" t="str">
            <v>IMP</v>
          </cell>
          <cell r="D409" t="str">
            <v>BT</v>
          </cell>
          <cell r="E409" t="str">
            <v>08</v>
          </cell>
          <cell r="F409">
            <v>39924</v>
          </cell>
          <cell r="G409">
            <v>40015</v>
          </cell>
          <cell r="H409" t="str">
            <v>A075010</v>
          </cell>
          <cell r="I409" t="str">
            <v>6KMPB501PBU_N</v>
          </cell>
          <cell r="J409" t="str">
            <v>DNU</v>
          </cell>
          <cell r="K409" t="str">
            <v>PB-501 Perfect Binder</v>
          </cell>
          <cell r="L409">
            <v>36750</v>
          </cell>
          <cell r="M409">
            <v>11730</v>
          </cell>
          <cell r="N409">
            <v>12199.2</v>
          </cell>
          <cell r="O409">
            <v>0.2103382563125297</v>
          </cell>
          <cell r="P409">
            <v>15448.64</v>
          </cell>
          <cell r="Q409">
            <v>12433.8</v>
          </cell>
          <cell r="R409">
            <v>14050.19</v>
          </cell>
          <cell r="S409">
            <v>19310.8</v>
          </cell>
          <cell r="T409">
            <v>0.36827060505002374</v>
          </cell>
          <cell r="U409">
            <v>14954.283519999999</v>
          </cell>
          <cell r="V409">
            <v>0.18423373586005132</v>
          </cell>
          <cell r="W409">
            <v>15448.64</v>
          </cell>
          <cell r="X409">
            <v>0.8</v>
          </cell>
          <cell r="Y409">
            <v>0</v>
          </cell>
          <cell r="Z409">
            <v>0</v>
          </cell>
          <cell r="AA409">
            <v>18691</v>
          </cell>
          <cell r="AB409">
            <v>15449</v>
          </cell>
          <cell r="AC409">
            <v>17166</v>
          </cell>
          <cell r="AD409">
            <v>18120</v>
          </cell>
          <cell r="AE409">
            <v>19072.400000000001</v>
          </cell>
          <cell r="AF409">
            <v>0.19000020972714507</v>
          </cell>
          <cell r="AG409">
            <v>0.36037415322665212</v>
          </cell>
          <cell r="AH409">
            <v>21202</v>
          </cell>
          <cell r="AI409">
            <v>23330</v>
          </cell>
          <cell r="AJ409">
            <v>0.33782083154736392</v>
          </cell>
          <cell r="AK409">
            <v>25458.5</v>
          </cell>
          <cell r="AL409">
            <v>27587</v>
          </cell>
          <cell r="AM409">
            <v>0.44000289991662744</v>
          </cell>
          <cell r="AN409">
            <v>29877.75</v>
          </cell>
          <cell r="AO409">
            <v>32168.5</v>
          </cell>
          <cell r="AP409">
            <v>34459.25</v>
          </cell>
          <cell r="AQ409">
            <v>0</v>
          </cell>
          <cell r="AS409">
            <v>36750</v>
          </cell>
        </row>
        <row r="410">
          <cell r="B410" t="str">
            <v>AC</v>
          </cell>
          <cell r="C410" t="str">
            <v>IMP</v>
          </cell>
          <cell r="D410" t="str">
            <v>BT</v>
          </cell>
          <cell r="E410" t="str">
            <v>08</v>
          </cell>
          <cell r="F410">
            <v>39924</v>
          </cell>
          <cell r="G410">
            <v>40009</v>
          </cell>
          <cell r="H410" t="str">
            <v>A075011</v>
          </cell>
          <cell r="I410" t="str">
            <v>6KMPB501PBU_N</v>
          </cell>
          <cell r="J410">
            <v>0</v>
          </cell>
          <cell r="K410" t="str">
            <v>PB-501 Perfect Binder</v>
          </cell>
          <cell r="L410">
            <v>36750</v>
          </cell>
          <cell r="M410">
            <v>11730</v>
          </cell>
          <cell r="N410">
            <v>12199.2</v>
          </cell>
          <cell r="O410">
            <v>0.2103382563125297</v>
          </cell>
          <cell r="P410">
            <v>15448.64</v>
          </cell>
          <cell r="Q410">
            <v>12433.8</v>
          </cell>
          <cell r="R410">
            <v>14050.19</v>
          </cell>
          <cell r="S410">
            <v>19310.8</v>
          </cell>
          <cell r="T410">
            <v>0.36827060505002374</v>
          </cell>
          <cell r="U410">
            <v>14954.283519999999</v>
          </cell>
          <cell r="V410">
            <v>0.18423373586005132</v>
          </cell>
          <cell r="W410">
            <v>15448.64</v>
          </cell>
          <cell r="X410">
            <v>0.8</v>
          </cell>
          <cell r="Y410">
            <v>0</v>
          </cell>
          <cell r="Z410">
            <v>0</v>
          </cell>
          <cell r="AA410">
            <v>18691</v>
          </cell>
          <cell r="AB410">
            <v>15449</v>
          </cell>
          <cell r="AC410">
            <v>17166</v>
          </cell>
          <cell r="AD410">
            <v>18120</v>
          </cell>
          <cell r="AE410">
            <v>19072.400000000001</v>
          </cell>
          <cell r="AF410">
            <v>0.19000020972714507</v>
          </cell>
          <cell r="AG410">
            <v>0.36037415322665212</v>
          </cell>
          <cell r="AH410">
            <v>21202</v>
          </cell>
          <cell r="AI410">
            <v>23330</v>
          </cell>
          <cell r="AJ410">
            <v>0.33782083154736392</v>
          </cell>
          <cell r="AK410">
            <v>25458.5</v>
          </cell>
          <cell r="AL410">
            <v>27587</v>
          </cell>
          <cell r="AM410">
            <v>0.44000289991662744</v>
          </cell>
          <cell r="AN410">
            <v>29877.75</v>
          </cell>
          <cell r="AO410">
            <v>32168.5</v>
          </cell>
          <cell r="AP410">
            <v>34459.25</v>
          </cell>
          <cell r="AQ410">
            <v>0</v>
          </cell>
          <cell r="AS410">
            <v>36750</v>
          </cell>
        </row>
        <row r="411">
          <cell r="B411" t="str">
            <v>AC</v>
          </cell>
          <cell r="C411" t="str">
            <v>IMP</v>
          </cell>
          <cell r="D411" t="str">
            <v>BT</v>
          </cell>
          <cell r="E411" t="str">
            <v>08</v>
          </cell>
          <cell r="F411">
            <v>39924</v>
          </cell>
          <cell r="G411">
            <v>40001</v>
          </cell>
          <cell r="H411" t="str">
            <v>A07EWW0</v>
          </cell>
          <cell r="I411" t="str">
            <v>3KMHWT502TABLE</v>
          </cell>
          <cell r="J411">
            <v>0</v>
          </cell>
          <cell r="K411" t="str">
            <v>WT-502 Working Table</v>
          </cell>
          <cell r="L411">
            <v>105</v>
          </cell>
          <cell r="M411">
            <v>31</v>
          </cell>
          <cell r="N411">
            <v>32.24</v>
          </cell>
          <cell r="O411">
            <v>0.23238095238095233</v>
          </cell>
          <cell r="P411">
            <v>42</v>
          </cell>
          <cell r="Q411">
            <v>32.86</v>
          </cell>
          <cell r="R411">
            <v>37.130000000000003</v>
          </cell>
          <cell r="S411">
            <v>52.5</v>
          </cell>
          <cell r="T411">
            <v>0.38590476190476186</v>
          </cell>
          <cell r="U411">
            <v>40.655999999999999</v>
          </cell>
          <cell r="V411">
            <v>0.20700511609602512</v>
          </cell>
          <cell r="W411">
            <v>42</v>
          </cell>
          <cell r="X411">
            <v>0.8</v>
          </cell>
          <cell r="Y411">
            <v>1600</v>
          </cell>
          <cell r="Z411">
            <v>1000</v>
          </cell>
          <cell r="AA411">
            <v>51</v>
          </cell>
          <cell r="AB411">
            <v>42</v>
          </cell>
          <cell r="AC411">
            <v>47</v>
          </cell>
          <cell r="AD411">
            <v>50</v>
          </cell>
          <cell r="AE411">
            <v>51.85</v>
          </cell>
          <cell r="AF411">
            <v>0.18997107039537128</v>
          </cell>
          <cell r="AG411">
            <v>0.37820636451301831</v>
          </cell>
          <cell r="AH411">
            <v>58</v>
          </cell>
          <cell r="AI411">
            <v>64</v>
          </cell>
          <cell r="AJ411">
            <v>0.34375</v>
          </cell>
          <cell r="AK411">
            <v>69.5</v>
          </cell>
          <cell r="AL411">
            <v>75</v>
          </cell>
          <cell r="AM411">
            <v>0.44</v>
          </cell>
          <cell r="AN411">
            <v>82.5</v>
          </cell>
          <cell r="AO411">
            <v>90</v>
          </cell>
          <cell r="AP411">
            <v>97.5</v>
          </cell>
          <cell r="AQ411">
            <v>0</v>
          </cell>
          <cell r="AS411">
            <v>105</v>
          </cell>
        </row>
        <row r="412">
          <cell r="B412" t="str">
            <v>AC</v>
          </cell>
          <cell r="C412" t="str">
            <v>IMP</v>
          </cell>
          <cell r="D412" t="str">
            <v>BT</v>
          </cell>
          <cell r="E412" t="str">
            <v>P3</v>
          </cell>
          <cell r="F412">
            <v>39924</v>
          </cell>
          <cell r="G412">
            <v>40001</v>
          </cell>
          <cell r="H412" t="str">
            <v>A07H0W0</v>
          </cell>
          <cell r="I412" t="str">
            <v>7KMDF610_N</v>
          </cell>
          <cell r="K412" t="str">
            <v>DF-610 RADF</v>
          </cell>
          <cell r="L412">
            <v>1539</v>
          </cell>
          <cell r="M412">
            <v>587</v>
          </cell>
          <cell r="N412">
            <v>610.48</v>
          </cell>
          <cell r="O412">
            <v>-0.17647058823529413</v>
          </cell>
          <cell r="P412">
            <v>518.90800000000002</v>
          </cell>
          <cell r="Q412">
            <v>622.22</v>
          </cell>
          <cell r="R412">
            <v>703.11</v>
          </cell>
          <cell r="S412">
            <v>924</v>
          </cell>
          <cell r="T412">
            <v>0.33930735930735928</v>
          </cell>
          <cell r="U412">
            <v>715.54559999999992</v>
          </cell>
          <cell r="V412">
            <v>0.14683285034524693</v>
          </cell>
          <cell r="W412">
            <v>518.90800000000002</v>
          </cell>
          <cell r="X412">
            <v>0.56158874458874464</v>
          </cell>
          <cell r="Y412">
            <v>1600</v>
          </cell>
          <cell r="Z412">
            <v>1000</v>
          </cell>
          <cell r="AA412">
            <v>628</v>
          </cell>
          <cell r="AB412">
            <v>519</v>
          </cell>
          <cell r="AC412">
            <v>577</v>
          </cell>
          <cell r="AD412">
            <v>609</v>
          </cell>
          <cell r="AE412">
            <v>640.63</v>
          </cell>
          <cell r="AF412">
            <v>0.1900035902158812</v>
          </cell>
          <cell r="AG412">
            <v>4.7063047312801427E-2</v>
          </cell>
          <cell r="AH412">
            <v>654</v>
          </cell>
          <cell r="AI412">
            <v>667</v>
          </cell>
          <cell r="AJ412">
            <v>0.2220269865067466</v>
          </cell>
          <cell r="AK412">
            <v>679.5</v>
          </cell>
          <cell r="AL412">
            <v>692</v>
          </cell>
          <cell r="AM412">
            <v>0.25013294797687857</v>
          </cell>
          <cell r="AN412">
            <v>789.26</v>
          </cell>
          <cell r="AO412">
            <v>886.52</v>
          </cell>
          <cell r="AP412">
            <v>983.78</v>
          </cell>
          <cell r="AQ412">
            <v>0</v>
          </cell>
          <cell r="AS412">
            <v>1539</v>
          </cell>
        </row>
        <row r="413">
          <cell r="B413" t="str">
            <v>AC</v>
          </cell>
          <cell r="C413" t="str">
            <v>IMP</v>
          </cell>
          <cell r="D413" t="str">
            <v>BT</v>
          </cell>
          <cell r="E413" t="str">
            <v>P3</v>
          </cell>
          <cell r="F413">
            <v>39924</v>
          </cell>
          <cell r="G413">
            <v>40001</v>
          </cell>
          <cell r="H413" t="str">
            <v>A07P0W0</v>
          </cell>
          <cell r="I413" t="str">
            <v>6KMFS518_N</v>
          </cell>
          <cell r="K413" t="str">
            <v>FS-518 100 Sheet Staple Finisher</v>
          </cell>
          <cell r="L413">
            <v>4620</v>
          </cell>
          <cell r="M413">
            <v>1581</v>
          </cell>
          <cell r="N413">
            <v>1644.24</v>
          </cell>
          <cell r="O413">
            <v>-0.1764705882352941</v>
          </cell>
          <cell r="P413">
            <v>1397.604</v>
          </cell>
          <cell r="Q413">
            <v>1675.86</v>
          </cell>
          <cell r="R413">
            <v>1893.72</v>
          </cell>
          <cell r="S413">
            <v>2494.8000000000002</v>
          </cell>
          <cell r="T413">
            <v>0.34093314093314098</v>
          </cell>
          <cell r="U413">
            <v>1931.9731200000001</v>
          </cell>
          <cell r="V413">
            <v>0.14893225843639071</v>
          </cell>
          <cell r="W413">
            <v>1397.604</v>
          </cell>
          <cell r="X413">
            <v>0.56020683020683015</v>
          </cell>
          <cell r="Y413">
            <v>0</v>
          </cell>
          <cell r="Z413">
            <v>0</v>
          </cell>
          <cell r="AA413">
            <v>1691</v>
          </cell>
          <cell r="AB413">
            <v>1398</v>
          </cell>
          <cell r="AC413">
            <v>1553</v>
          </cell>
          <cell r="AD413">
            <v>1640</v>
          </cell>
          <cell r="AE413">
            <v>1725.44</v>
          </cell>
          <cell r="AF413">
            <v>0.1900013909495549</v>
          </cell>
          <cell r="AG413">
            <v>4.7060459940652846E-2</v>
          </cell>
          <cell r="AH413">
            <v>1761</v>
          </cell>
          <cell r="AI413">
            <v>1795</v>
          </cell>
          <cell r="AJ413">
            <v>0.22139052924791083</v>
          </cell>
          <cell r="AK413">
            <v>1829.5</v>
          </cell>
          <cell r="AL413">
            <v>1864</v>
          </cell>
          <cell r="AM413">
            <v>0.25021244635193129</v>
          </cell>
          <cell r="AN413">
            <v>2125.92</v>
          </cell>
          <cell r="AO413">
            <v>2387.84</v>
          </cell>
          <cell r="AP413">
            <v>2649.76</v>
          </cell>
          <cell r="AQ413">
            <v>0</v>
          </cell>
          <cell r="AS413">
            <v>4620</v>
          </cell>
        </row>
        <row r="414">
          <cell r="B414" t="str">
            <v>AC</v>
          </cell>
          <cell r="C414" t="str">
            <v>IMP</v>
          </cell>
          <cell r="D414" t="str">
            <v>BT</v>
          </cell>
          <cell r="E414" t="str">
            <v>08</v>
          </cell>
          <cell r="F414">
            <v>39924</v>
          </cell>
          <cell r="G414">
            <v>40001</v>
          </cell>
          <cell r="H414" t="str">
            <v>A07R0W0</v>
          </cell>
          <cell r="I414" t="str">
            <v>6KMFS517STPF_N</v>
          </cell>
          <cell r="K414" t="str">
            <v>FS-517 50 Sheet Staple Finisher</v>
          </cell>
          <cell r="L414">
            <v>2342</v>
          </cell>
          <cell r="M414">
            <v>918</v>
          </cell>
          <cell r="N414">
            <v>954.72</v>
          </cell>
          <cell r="O414">
            <v>0.10506186726659161</v>
          </cell>
          <cell r="P414">
            <v>1066.8</v>
          </cell>
          <cell r="Q414">
            <v>973.08</v>
          </cell>
          <cell r="R414">
            <v>1099.58</v>
          </cell>
          <cell r="S414">
            <v>1333.5</v>
          </cell>
          <cell r="T414">
            <v>0.28404949381327332</v>
          </cell>
          <cell r="U414">
            <v>1032.6623999999999</v>
          </cell>
          <cell r="V414">
            <v>7.5477135605983056E-2</v>
          </cell>
          <cell r="W414">
            <v>1066.8</v>
          </cell>
          <cell r="X414">
            <v>0.79999999999999993</v>
          </cell>
          <cell r="AA414">
            <v>1291</v>
          </cell>
          <cell r="AB414">
            <v>1067</v>
          </cell>
          <cell r="AC414">
            <v>1186</v>
          </cell>
          <cell r="AD414">
            <v>1252</v>
          </cell>
          <cell r="AE414">
            <v>1317.04</v>
          </cell>
          <cell r="AF414">
            <v>0.1900018222681164</v>
          </cell>
          <cell r="AG414">
            <v>0.27510174330316461</v>
          </cell>
          <cell r="AH414">
            <v>1465</v>
          </cell>
          <cell r="AI414">
            <v>1612</v>
          </cell>
          <cell r="AJ414">
            <v>0.33821339950372209</v>
          </cell>
          <cell r="AK414">
            <v>1758.5</v>
          </cell>
          <cell r="AL414">
            <v>1905</v>
          </cell>
          <cell r="AM414">
            <v>0.44</v>
          </cell>
          <cell r="AN414">
            <v>2014.25</v>
          </cell>
          <cell r="AO414">
            <v>2123.5</v>
          </cell>
          <cell r="AP414">
            <v>2232.75</v>
          </cell>
          <cell r="AQ414">
            <v>0</v>
          </cell>
          <cell r="AS414">
            <v>2342</v>
          </cell>
        </row>
        <row r="415">
          <cell r="B415" t="str">
            <v>AC</v>
          </cell>
          <cell r="C415" t="str">
            <v>IMP</v>
          </cell>
          <cell r="D415" t="str">
            <v>BT</v>
          </cell>
          <cell r="E415" t="str">
            <v>P3</v>
          </cell>
          <cell r="F415">
            <v>39924</v>
          </cell>
          <cell r="G415">
            <v>40001</v>
          </cell>
          <cell r="H415" t="str">
            <v>A07T010</v>
          </cell>
          <cell r="I415" t="str">
            <v>6KMZU603ZFU_N</v>
          </cell>
          <cell r="J415" t="str">
            <v>NLA</v>
          </cell>
          <cell r="K415" t="str">
            <v>ZU-603 X-Fold Unit</v>
          </cell>
          <cell r="L415">
            <v>5198</v>
          </cell>
          <cell r="M415">
            <v>1989</v>
          </cell>
          <cell r="N415">
            <v>2068.56</v>
          </cell>
          <cell r="O415">
            <v>-0.17647058823529418</v>
          </cell>
          <cell r="P415">
            <v>1758.2759999999998</v>
          </cell>
          <cell r="Q415">
            <v>2108.34</v>
          </cell>
          <cell r="R415">
            <v>2382.42</v>
          </cell>
          <cell r="S415">
            <v>3360</v>
          </cell>
          <cell r="T415">
            <v>0.3843571428571429</v>
          </cell>
          <cell r="U415">
            <v>2601.9839999999999</v>
          </cell>
          <cell r="V415">
            <v>0.20500664108618655</v>
          </cell>
          <cell r="W415">
            <v>1758.2759999999998</v>
          </cell>
          <cell r="X415">
            <v>0.52329642857142855</v>
          </cell>
          <cell r="AA415">
            <v>2127</v>
          </cell>
          <cell r="AB415">
            <v>1759</v>
          </cell>
          <cell r="AC415">
            <v>1954</v>
          </cell>
          <cell r="AD415">
            <v>2063</v>
          </cell>
          <cell r="AE415">
            <v>2170.71</v>
          </cell>
          <cell r="AF415">
            <v>0.18999958538911241</v>
          </cell>
          <cell r="AG415">
            <v>4.7058335751896885E-2</v>
          </cell>
          <cell r="AH415">
            <v>2215</v>
          </cell>
          <cell r="AI415">
            <v>2258</v>
          </cell>
          <cell r="AJ415">
            <v>0.22131266607617367</v>
          </cell>
          <cell r="AK415">
            <v>2301.5</v>
          </cell>
          <cell r="AL415">
            <v>2345</v>
          </cell>
          <cell r="AM415">
            <v>0.25020213219616211</v>
          </cell>
          <cell r="AN415">
            <v>2674.52</v>
          </cell>
          <cell r="AO415">
            <v>3004.04</v>
          </cell>
          <cell r="AP415">
            <v>3333.56</v>
          </cell>
          <cell r="AQ415">
            <v>0</v>
          </cell>
          <cell r="AS415">
            <v>5198</v>
          </cell>
        </row>
        <row r="416">
          <cell r="B416" t="str">
            <v>AC</v>
          </cell>
          <cell r="C416" t="str">
            <v>IMP</v>
          </cell>
          <cell r="D416" t="str">
            <v>BT</v>
          </cell>
          <cell r="E416" t="str">
            <v>08</v>
          </cell>
          <cell r="F416">
            <v>39924</v>
          </cell>
          <cell r="G416">
            <v>40001</v>
          </cell>
          <cell r="H416" t="str">
            <v>A07U0W0</v>
          </cell>
          <cell r="I416" t="str">
            <v>6KMFS608SF_N</v>
          </cell>
          <cell r="K416" t="str">
            <v>FS-608 Saddle Finisher</v>
          </cell>
          <cell r="L416">
            <v>4043</v>
          </cell>
          <cell r="M416">
            <v>1530</v>
          </cell>
          <cell r="N416">
            <v>1591.2</v>
          </cell>
          <cell r="O416">
            <v>0.11893687707641193</v>
          </cell>
          <cell r="P416">
            <v>1806</v>
          </cell>
          <cell r="Q416">
            <v>1621.8</v>
          </cell>
          <cell r="R416">
            <v>1832.63</v>
          </cell>
          <cell r="S416">
            <v>2257.5</v>
          </cell>
          <cell r="T416">
            <v>0.29514950166112952</v>
          </cell>
          <cell r="U416">
            <v>1748.2079999999999</v>
          </cell>
          <cell r="V416">
            <v>8.9810823426045308E-2</v>
          </cell>
          <cell r="W416">
            <v>1806</v>
          </cell>
          <cell r="X416">
            <v>0.8</v>
          </cell>
          <cell r="AA416">
            <v>2185</v>
          </cell>
          <cell r="AB416">
            <v>1806</v>
          </cell>
          <cell r="AC416">
            <v>2007</v>
          </cell>
          <cell r="AD416">
            <v>2119</v>
          </cell>
          <cell r="AE416">
            <v>2229.63</v>
          </cell>
          <cell r="AF416">
            <v>0.19000013455147272</v>
          </cell>
          <cell r="AG416">
            <v>0.28633898898023441</v>
          </cell>
          <cell r="AH416">
            <v>2479</v>
          </cell>
          <cell r="AI416">
            <v>2728</v>
          </cell>
          <cell r="AJ416">
            <v>0.33797653958944279</v>
          </cell>
          <cell r="AK416">
            <v>2976.5</v>
          </cell>
          <cell r="AL416">
            <v>3225</v>
          </cell>
          <cell r="AM416">
            <v>0.44</v>
          </cell>
          <cell r="AN416">
            <v>3429.5</v>
          </cell>
          <cell r="AO416">
            <v>3634</v>
          </cell>
          <cell r="AP416">
            <v>3838.5</v>
          </cell>
          <cell r="AQ416">
            <v>0</v>
          </cell>
          <cell r="AS416">
            <v>4043</v>
          </cell>
        </row>
        <row r="417">
          <cell r="B417" t="str">
            <v>AC</v>
          </cell>
          <cell r="C417" t="str">
            <v>IMP</v>
          </cell>
          <cell r="D417" t="str">
            <v>BT</v>
          </cell>
          <cell r="E417" t="str">
            <v>P3</v>
          </cell>
          <cell r="F417">
            <v>39924</v>
          </cell>
          <cell r="G417">
            <v>40001</v>
          </cell>
          <cell r="H417" t="str">
            <v>A07V0W0</v>
          </cell>
          <cell r="I417" t="str">
            <v>3KMHPI503PI</v>
          </cell>
          <cell r="J417">
            <v>0</v>
          </cell>
          <cell r="K417" t="str">
            <v>PI-503 Post inserter for FS-517/518/608</v>
          </cell>
          <cell r="L417">
            <v>1050</v>
          </cell>
          <cell r="M417">
            <v>362</v>
          </cell>
          <cell r="N417">
            <v>376.48</v>
          </cell>
          <cell r="O417">
            <v>-0.17647058823529424</v>
          </cell>
          <cell r="P417">
            <v>320.00799999999998</v>
          </cell>
          <cell r="Q417">
            <v>383.72</v>
          </cell>
          <cell r="R417">
            <v>433.6</v>
          </cell>
          <cell r="S417">
            <v>568.6</v>
          </cell>
          <cell r="T417">
            <v>0.33788251846640871</v>
          </cell>
          <cell r="U417">
            <v>440.32384000000002</v>
          </cell>
          <cell r="V417">
            <v>0.14499292157335836</v>
          </cell>
          <cell r="W417">
            <v>320.00799999999998</v>
          </cell>
          <cell r="X417">
            <v>0.56279985930355259</v>
          </cell>
          <cell r="Y417">
            <v>0</v>
          </cell>
          <cell r="Z417">
            <v>0</v>
          </cell>
          <cell r="AA417">
            <v>387</v>
          </cell>
          <cell r="AB417">
            <v>321</v>
          </cell>
          <cell r="AC417">
            <v>356</v>
          </cell>
          <cell r="AD417">
            <v>376</v>
          </cell>
          <cell r="AE417">
            <v>395.07</v>
          </cell>
          <cell r="AF417">
            <v>0.18999670944389604</v>
          </cell>
          <cell r="AG417">
            <v>4.705495228693643E-2</v>
          </cell>
          <cell r="AH417">
            <v>404</v>
          </cell>
          <cell r="AI417">
            <v>412</v>
          </cell>
          <cell r="AJ417">
            <v>0.2232815533980583</v>
          </cell>
          <cell r="AK417">
            <v>419.5</v>
          </cell>
          <cell r="AL417">
            <v>427</v>
          </cell>
          <cell r="AM417">
            <v>0.25056674473067919</v>
          </cell>
          <cell r="AN417">
            <v>486.92</v>
          </cell>
          <cell r="AO417">
            <v>546.84</v>
          </cell>
          <cell r="AP417">
            <v>606.76</v>
          </cell>
          <cell r="AQ417">
            <v>0</v>
          </cell>
          <cell r="AS417">
            <v>1050</v>
          </cell>
        </row>
        <row r="418">
          <cell r="B418" t="str">
            <v>AC</v>
          </cell>
          <cell r="C418" t="str">
            <v>IMP</v>
          </cell>
          <cell r="D418" t="str">
            <v>BT</v>
          </cell>
          <cell r="E418" t="str">
            <v>P3</v>
          </cell>
          <cell r="F418">
            <v>39924</v>
          </cell>
          <cell r="G418">
            <v>40190</v>
          </cell>
          <cell r="H418" t="str">
            <v>A0830Y0</v>
          </cell>
          <cell r="I418" t="str">
            <v>6KMJS505JST_N</v>
          </cell>
          <cell r="J418" t="str">
            <v>DNU</v>
          </cell>
          <cell r="K418" t="str">
            <v>JS-505 Job Separator</v>
          </cell>
          <cell r="L418">
            <v>472</v>
          </cell>
          <cell r="M418">
            <v>153</v>
          </cell>
          <cell r="N418">
            <v>159.12</v>
          </cell>
          <cell r="O418">
            <v>-0.17647058823529407</v>
          </cell>
          <cell r="P418">
            <v>135.25200000000001</v>
          </cell>
          <cell r="Q418">
            <v>162.18</v>
          </cell>
          <cell r="R418">
            <v>183.26</v>
          </cell>
          <cell r="S418">
            <v>246.5</v>
          </cell>
          <cell r="T418">
            <v>0.35448275862068962</v>
          </cell>
          <cell r="U418">
            <v>190.8896</v>
          </cell>
          <cell r="V418">
            <v>0.16642918210316326</v>
          </cell>
          <cell r="W418">
            <v>135.25200000000001</v>
          </cell>
          <cell r="X418">
            <v>0.54868965517241386</v>
          </cell>
          <cell r="Y418" t="str">
            <v>Act freight</v>
          </cell>
          <cell r="Z418">
            <v>0</v>
          </cell>
          <cell r="AA418">
            <v>164</v>
          </cell>
          <cell r="AB418">
            <v>136</v>
          </cell>
          <cell r="AC418">
            <v>151</v>
          </cell>
          <cell r="AD418">
            <v>159</v>
          </cell>
          <cell r="AE418">
            <v>166.98</v>
          </cell>
          <cell r="AF418">
            <v>0.19001077973409977</v>
          </cell>
          <cell r="AG418">
            <v>4.7071505569529201E-2</v>
          </cell>
          <cell r="AH418">
            <v>171</v>
          </cell>
          <cell r="AI418">
            <v>174</v>
          </cell>
          <cell r="AJ418">
            <v>0.22268965517241374</v>
          </cell>
          <cell r="AK418">
            <v>177.5</v>
          </cell>
          <cell r="AL418">
            <v>181</v>
          </cell>
          <cell r="AM418">
            <v>0.25275138121546958</v>
          </cell>
          <cell r="AN418">
            <v>206.19</v>
          </cell>
          <cell r="AO418">
            <v>231.38</v>
          </cell>
          <cell r="AP418">
            <v>256.57</v>
          </cell>
          <cell r="AQ418">
            <v>0</v>
          </cell>
          <cell r="AS418">
            <v>472</v>
          </cell>
        </row>
        <row r="419">
          <cell r="B419" t="str">
            <v>AC</v>
          </cell>
          <cell r="C419" t="str">
            <v>IMP</v>
          </cell>
          <cell r="D419" t="str">
            <v>BT</v>
          </cell>
          <cell r="E419" t="str">
            <v>P3</v>
          </cell>
          <cell r="F419">
            <v>39924</v>
          </cell>
          <cell r="G419">
            <v>40001</v>
          </cell>
          <cell r="H419" t="str">
            <v>A0890Y0</v>
          </cell>
          <cell r="I419" t="str">
            <v>3KMKSC501HDDEK</v>
          </cell>
          <cell r="J419">
            <v>0</v>
          </cell>
          <cell r="K419" t="str">
            <v>SC-501 HDD Encryption Kit</v>
          </cell>
          <cell r="L419">
            <v>525</v>
          </cell>
          <cell r="M419">
            <v>143</v>
          </cell>
          <cell r="N419">
            <v>148.72</v>
          </cell>
          <cell r="O419">
            <v>-0.17647058823529418</v>
          </cell>
          <cell r="P419">
            <v>126.41199999999999</v>
          </cell>
          <cell r="Q419">
            <v>151.58000000000001</v>
          </cell>
          <cell r="R419">
            <v>171.29</v>
          </cell>
          <cell r="S419">
            <v>274.39999999999998</v>
          </cell>
          <cell r="T419">
            <v>0.45801749271137021</v>
          </cell>
          <cell r="U419">
            <v>212.49535999999998</v>
          </cell>
          <cell r="V419">
            <v>0.30012589451364957</v>
          </cell>
          <cell r="W419">
            <v>126.41199999999999</v>
          </cell>
          <cell r="X419">
            <v>0.46068513119533527</v>
          </cell>
          <cell r="Y419" t="str">
            <v>Act freight</v>
          </cell>
          <cell r="Z419">
            <v>0</v>
          </cell>
          <cell r="AA419">
            <v>153</v>
          </cell>
          <cell r="AB419">
            <v>127</v>
          </cell>
          <cell r="AC419">
            <v>141</v>
          </cell>
          <cell r="AD419">
            <v>149</v>
          </cell>
          <cell r="AE419">
            <v>156.06</v>
          </cell>
          <cell r="AF419">
            <v>0.18997821350762534</v>
          </cell>
          <cell r="AG419">
            <v>4.7033192361912106E-2</v>
          </cell>
          <cell r="AH419">
            <v>160</v>
          </cell>
          <cell r="AI419">
            <v>163</v>
          </cell>
          <cell r="AJ419">
            <v>0.2244662576687117</v>
          </cell>
          <cell r="AK419">
            <v>166</v>
          </cell>
          <cell r="AL419">
            <v>169</v>
          </cell>
          <cell r="AM419">
            <v>0.25200000000000006</v>
          </cell>
          <cell r="AN419">
            <v>192.59</v>
          </cell>
          <cell r="AO419">
            <v>216.18</v>
          </cell>
          <cell r="AP419">
            <v>239.77</v>
          </cell>
          <cell r="AQ419">
            <v>0</v>
          </cell>
          <cell r="AS419">
            <v>525</v>
          </cell>
        </row>
        <row r="420">
          <cell r="B420" t="str">
            <v>AC</v>
          </cell>
          <cell r="C420" t="str">
            <v>IMP</v>
          </cell>
          <cell r="D420" t="str">
            <v>BT</v>
          </cell>
          <cell r="E420" t="str">
            <v>P3</v>
          </cell>
          <cell r="F420">
            <v>39924</v>
          </cell>
          <cell r="G420">
            <v>40001</v>
          </cell>
          <cell r="H420" t="str">
            <v>A08R0Y0</v>
          </cell>
          <cell r="I420" t="str">
            <v>3KMKPP701PFE</v>
          </cell>
          <cell r="J420" t="str">
            <v>x</v>
          </cell>
          <cell r="K420" t="str">
            <v>PP-701 Pre-Printed Paper Feed Enhance Kit - (For PF701 (15BY) )</v>
          </cell>
          <cell r="L420">
            <v>1260</v>
          </cell>
          <cell r="M420">
            <v>459</v>
          </cell>
          <cell r="N420">
            <v>477.36</v>
          </cell>
          <cell r="O420">
            <v>-0.17647058823529407</v>
          </cell>
          <cell r="P420">
            <v>405.75600000000003</v>
          </cell>
          <cell r="Q420">
            <v>486.54</v>
          </cell>
          <cell r="R420">
            <v>549.79</v>
          </cell>
          <cell r="S420">
            <v>688.3</v>
          </cell>
          <cell r="T420">
            <v>0.30646520412610773</v>
          </cell>
          <cell r="U420">
            <v>533.01951999999994</v>
          </cell>
          <cell r="V420">
            <v>0.1044230425182176</v>
          </cell>
          <cell r="W420">
            <v>405.75600000000003</v>
          </cell>
          <cell r="X420">
            <v>0.58950457649280841</v>
          </cell>
          <cell r="Y420" t="str">
            <v>Act freight</v>
          </cell>
          <cell r="Z420">
            <v>0</v>
          </cell>
          <cell r="AA420">
            <v>491</v>
          </cell>
          <cell r="AB420">
            <v>406</v>
          </cell>
          <cell r="AC420">
            <v>451</v>
          </cell>
          <cell r="AD420">
            <v>476</v>
          </cell>
          <cell r="AE420">
            <v>500.93</v>
          </cell>
          <cell r="AF420">
            <v>0.18999461002535281</v>
          </cell>
          <cell r="AG420">
            <v>4.7052482382768039E-2</v>
          </cell>
          <cell r="AH420">
            <v>512</v>
          </cell>
          <cell r="AI420">
            <v>522</v>
          </cell>
          <cell r="AJ420">
            <v>0.22268965517241374</v>
          </cell>
          <cell r="AK420">
            <v>532</v>
          </cell>
          <cell r="AL420">
            <v>542</v>
          </cell>
          <cell r="AM420">
            <v>0.25137269372693721</v>
          </cell>
          <cell r="AN420">
            <v>617.83000000000004</v>
          </cell>
          <cell r="AO420">
            <v>693.66</v>
          </cell>
          <cell r="AP420">
            <v>769.49</v>
          </cell>
          <cell r="AQ420">
            <v>0</v>
          </cell>
          <cell r="AS420">
            <v>1260</v>
          </cell>
        </row>
        <row r="421">
          <cell r="B421" t="str">
            <v>AC</v>
          </cell>
          <cell r="C421" t="str">
            <v>IMP</v>
          </cell>
          <cell r="D421" t="str">
            <v>BT</v>
          </cell>
          <cell r="E421" t="str">
            <v>P3</v>
          </cell>
          <cell r="F421">
            <v>39924</v>
          </cell>
          <cell r="G421">
            <v>40001</v>
          </cell>
          <cell r="H421" t="str">
            <v>A090WW0</v>
          </cell>
          <cell r="I421" t="str">
            <v>3KMHEK602USBHB</v>
          </cell>
          <cell r="J421">
            <v>0</v>
          </cell>
          <cell r="K421" t="str">
            <v>EK-602 USB Host Board (Local I/F Kit)</v>
          </cell>
          <cell r="L421">
            <v>189</v>
          </cell>
          <cell r="M421">
            <v>61</v>
          </cell>
          <cell r="N421">
            <v>63.440000000000005</v>
          </cell>
          <cell r="O421">
            <v>-0.17647058823529421</v>
          </cell>
          <cell r="P421">
            <v>53.923999999999999</v>
          </cell>
          <cell r="Q421">
            <v>64.66</v>
          </cell>
          <cell r="R421">
            <v>73.069999999999993</v>
          </cell>
          <cell r="S421">
            <v>105</v>
          </cell>
          <cell r="T421">
            <v>0.39580952380952378</v>
          </cell>
          <cell r="U421">
            <v>81.311999999999998</v>
          </cell>
          <cell r="V421">
            <v>0.21979535615899243</v>
          </cell>
          <cell r="W421">
            <v>53.923999999999999</v>
          </cell>
          <cell r="X421">
            <v>0.51356190476190478</v>
          </cell>
          <cell r="Y421" t="str">
            <v>Act freight</v>
          </cell>
          <cell r="Z421">
            <v>0</v>
          </cell>
          <cell r="AA421">
            <v>65</v>
          </cell>
          <cell r="AB421">
            <v>54</v>
          </cell>
          <cell r="AC421">
            <v>60</v>
          </cell>
          <cell r="AD421">
            <v>64</v>
          </cell>
          <cell r="AE421">
            <v>66.569999999999993</v>
          </cell>
          <cell r="AF421">
            <v>0.18996544990235834</v>
          </cell>
          <cell r="AG421">
            <v>4.7018176355715618E-2</v>
          </cell>
          <cell r="AH421">
            <v>69</v>
          </cell>
          <cell r="AI421">
            <v>70</v>
          </cell>
          <cell r="AJ421">
            <v>0.22965714285714287</v>
          </cell>
          <cell r="AK421">
            <v>71</v>
          </cell>
          <cell r="AL421">
            <v>72</v>
          </cell>
          <cell r="AM421">
            <v>0.25105555555555559</v>
          </cell>
          <cell r="AN421">
            <v>82.09</v>
          </cell>
          <cell r="AO421">
            <v>92.18</v>
          </cell>
          <cell r="AP421">
            <v>102.27</v>
          </cell>
          <cell r="AQ421">
            <v>0</v>
          </cell>
          <cell r="AS421">
            <v>189</v>
          </cell>
        </row>
        <row r="422">
          <cell r="B422" t="str">
            <v>AC</v>
          </cell>
          <cell r="C422" t="str">
            <v>IMP</v>
          </cell>
          <cell r="D422" t="str">
            <v>BT</v>
          </cell>
          <cell r="E422" t="str">
            <v>P3</v>
          </cell>
          <cell r="F422">
            <v>39924</v>
          </cell>
          <cell r="G422">
            <v>40001</v>
          </cell>
          <cell r="H422" t="str">
            <v>A091WW0</v>
          </cell>
          <cell r="I422" t="str">
            <v>3KMHVI504IFKIT</v>
          </cell>
          <cell r="J422" t="str">
            <v>x</v>
          </cell>
          <cell r="K422" t="str">
            <v>VI-504 Video Interface Kit for IC-409</v>
          </cell>
          <cell r="L422">
            <v>279</v>
          </cell>
          <cell r="M422">
            <v>129</v>
          </cell>
          <cell r="N422">
            <v>134.16</v>
          </cell>
          <cell r="O422">
            <v>-0.17647058823529421</v>
          </cell>
          <cell r="P422">
            <v>114.03599999999999</v>
          </cell>
          <cell r="Q422">
            <v>136.74</v>
          </cell>
          <cell r="R422">
            <v>154.52000000000001</v>
          </cell>
          <cell r="S422">
            <v>173.3</v>
          </cell>
          <cell r="T422">
            <v>0.22585112521638784</v>
          </cell>
          <cell r="U422">
            <v>149.03800000000001</v>
          </cell>
          <cell r="V422">
            <v>9.9826889786497494E-2</v>
          </cell>
          <cell r="W422">
            <v>114.03599999999999</v>
          </cell>
          <cell r="X422">
            <v>0.65802654356607027</v>
          </cell>
          <cell r="Y422" t="str">
            <v>Act freight</v>
          </cell>
          <cell r="Z422">
            <v>0</v>
          </cell>
          <cell r="AA422">
            <v>138</v>
          </cell>
          <cell r="AB422">
            <v>115</v>
          </cell>
          <cell r="AC422">
            <v>127</v>
          </cell>
          <cell r="AD422">
            <v>134</v>
          </cell>
          <cell r="AE422">
            <v>140.79</v>
          </cell>
          <cell r="AF422">
            <v>0.19002770083102496</v>
          </cell>
          <cell r="AG422">
            <v>4.7091412742382245E-2</v>
          </cell>
          <cell r="AH422">
            <v>144</v>
          </cell>
          <cell r="AI422">
            <v>147</v>
          </cell>
          <cell r="AJ422">
            <v>0.22424489795918376</v>
          </cell>
          <cell r="AK422">
            <v>150</v>
          </cell>
          <cell r="AL422">
            <v>153</v>
          </cell>
          <cell r="AM422">
            <v>0.25466666666666676</v>
          </cell>
          <cell r="AN422">
            <v>174.14</v>
          </cell>
          <cell r="AO422">
            <v>195.28</v>
          </cell>
          <cell r="AP422">
            <v>216.42</v>
          </cell>
          <cell r="AQ422">
            <v>0</v>
          </cell>
          <cell r="AS422">
            <v>279</v>
          </cell>
        </row>
        <row r="423">
          <cell r="B423" t="str">
            <v>AC</v>
          </cell>
          <cell r="C423" t="str">
            <v>IMP</v>
          </cell>
          <cell r="D423" t="str">
            <v>BT</v>
          </cell>
          <cell r="E423" t="str">
            <v>08</v>
          </cell>
          <cell r="F423">
            <v>39924</v>
          </cell>
          <cell r="G423">
            <v>40001</v>
          </cell>
          <cell r="H423" t="str">
            <v>A092WW0</v>
          </cell>
          <cell r="I423" t="str">
            <v>3KMCOT503OPT</v>
          </cell>
          <cell r="J423">
            <v>0</v>
          </cell>
          <cell r="K423" t="str">
            <v>OT-503 Output Tray Unit (Exit Tray)</v>
          </cell>
          <cell r="L423">
            <v>105</v>
          </cell>
          <cell r="M423">
            <v>31</v>
          </cell>
          <cell r="N423">
            <v>32.24</v>
          </cell>
          <cell r="O423">
            <v>0.30276816608996537</v>
          </cell>
          <cell r="P423">
            <v>46.24</v>
          </cell>
          <cell r="Q423">
            <v>32.86</v>
          </cell>
          <cell r="R423">
            <v>37.130000000000003</v>
          </cell>
          <cell r="S423">
            <v>57.8</v>
          </cell>
          <cell r="T423">
            <v>0.44221453287197227</v>
          </cell>
          <cell r="U423">
            <v>44.760319999999993</v>
          </cell>
          <cell r="V423">
            <v>0.27971917984500544</v>
          </cell>
          <cell r="W423">
            <v>46.24</v>
          </cell>
          <cell r="X423">
            <v>0.8</v>
          </cell>
          <cell r="Y423" t="str">
            <v>Act freight</v>
          </cell>
          <cell r="Z423">
            <v>0</v>
          </cell>
          <cell r="AA423">
            <v>56</v>
          </cell>
          <cell r="AB423">
            <v>47</v>
          </cell>
          <cell r="AC423">
            <v>52</v>
          </cell>
          <cell r="AD423">
            <v>55</v>
          </cell>
          <cell r="AE423">
            <v>57.09</v>
          </cell>
          <cell r="AF423">
            <v>0.19005079698721319</v>
          </cell>
          <cell r="AG423">
            <v>0.43527763180942369</v>
          </cell>
          <cell r="AH423">
            <v>65</v>
          </cell>
          <cell r="AI423">
            <v>71</v>
          </cell>
          <cell r="AJ423">
            <v>0.34873239436619713</v>
          </cell>
          <cell r="AK423">
            <v>77</v>
          </cell>
          <cell r="AL423">
            <v>83</v>
          </cell>
          <cell r="AM423">
            <v>0.44289156626506021</v>
          </cell>
          <cell r="AN423">
            <v>88.5</v>
          </cell>
          <cell r="AO423">
            <v>94</v>
          </cell>
          <cell r="AP423">
            <v>99.5</v>
          </cell>
          <cell r="AQ423">
            <v>0</v>
          </cell>
          <cell r="AS423">
            <v>105</v>
          </cell>
        </row>
        <row r="424">
          <cell r="B424" t="str">
            <v>AC</v>
          </cell>
          <cell r="C424" t="str">
            <v>IMP</v>
          </cell>
          <cell r="D424" t="str">
            <v>BT</v>
          </cell>
          <cell r="E424" t="str">
            <v>P3</v>
          </cell>
          <cell r="F424">
            <v>39924</v>
          </cell>
          <cell r="G424">
            <v>40190</v>
          </cell>
          <cell r="H424" t="str">
            <v>A093010</v>
          </cell>
          <cell r="I424" t="str">
            <v>6KMPC405LCC_N</v>
          </cell>
          <cell r="J424">
            <v>0</v>
          </cell>
          <cell r="K424" t="str">
            <v>PC-405 Large Capacity Cabinet</v>
          </cell>
          <cell r="L424">
            <v>1323</v>
          </cell>
          <cell r="M424">
            <v>408</v>
          </cell>
          <cell r="N424">
            <v>424.32</v>
          </cell>
          <cell r="O424">
            <v>-0.17647058823529421</v>
          </cell>
          <cell r="P424">
            <v>360.67199999999997</v>
          </cell>
          <cell r="Q424">
            <v>432.48</v>
          </cell>
          <cell r="R424">
            <v>488.7</v>
          </cell>
          <cell r="S424">
            <v>792.8</v>
          </cell>
          <cell r="T424">
            <v>0.46478304742684157</v>
          </cell>
          <cell r="U424">
            <v>613.94431999999995</v>
          </cell>
          <cell r="V424">
            <v>0.30886240628466105</v>
          </cell>
          <cell r="W424">
            <v>360.67199999999997</v>
          </cell>
          <cell r="X424">
            <v>0.45493440968718463</v>
          </cell>
          <cell r="Y424" t="str">
            <v>Act freight</v>
          </cell>
          <cell r="Z424">
            <v>0</v>
          </cell>
          <cell r="AA424">
            <v>436</v>
          </cell>
          <cell r="AB424">
            <v>361</v>
          </cell>
          <cell r="AC424">
            <v>401</v>
          </cell>
          <cell r="AD424">
            <v>424</v>
          </cell>
          <cell r="AE424">
            <v>445.27</v>
          </cell>
          <cell r="AF424">
            <v>0.18999258876636652</v>
          </cell>
          <cell r="AG424">
            <v>4.7050104431019354E-2</v>
          </cell>
          <cell r="AH424">
            <v>455</v>
          </cell>
          <cell r="AI424">
            <v>464</v>
          </cell>
          <cell r="AJ424">
            <v>0.22268965517241385</v>
          </cell>
          <cell r="AK424">
            <v>472.5</v>
          </cell>
          <cell r="AL424">
            <v>481</v>
          </cell>
          <cell r="AM424">
            <v>0.25016216216216225</v>
          </cell>
          <cell r="AN424">
            <v>548.6</v>
          </cell>
          <cell r="AO424">
            <v>616.20000000000005</v>
          </cell>
          <cell r="AP424">
            <v>683.8</v>
          </cell>
          <cell r="AQ424">
            <v>0</v>
          </cell>
          <cell r="AS424">
            <v>1323</v>
          </cell>
        </row>
        <row r="425">
          <cell r="B425" t="str">
            <v>AC</v>
          </cell>
          <cell r="C425" t="str">
            <v>IMP</v>
          </cell>
          <cell r="D425" t="str">
            <v>BT</v>
          </cell>
          <cell r="E425" t="str">
            <v>P3</v>
          </cell>
          <cell r="F425">
            <v>39924</v>
          </cell>
          <cell r="G425">
            <v>40190</v>
          </cell>
          <cell r="H425" t="str">
            <v>A0930Y0</v>
          </cell>
          <cell r="I425" t="str">
            <v>6KMPC104PC_N</v>
          </cell>
          <cell r="J425">
            <v>0</v>
          </cell>
          <cell r="K425" t="str">
            <v>PC-104 500 x 1 Paper Cabinet</v>
          </cell>
          <cell r="L425">
            <v>861</v>
          </cell>
          <cell r="M425">
            <v>286</v>
          </cell>
          <cell r="N425">
            <v>297.44</v>
          </cell>
          <cell r="O425">
            <v>-0.17647058823529418</v>
          </cell>
          <cell r="P425">
            <v>252.82399999999998</v>
          </cell>
          <cell r="Q425">
            <v>303.16000000000003</v>
          </cell>
          <cell r="R425">
            <v>342.57</v>
          </cell>
          <cell r="S425">
            <v>514.5</v>
          </cell>
          <cell r="T425">
            <v>0.42188532555879493</v>
          </cell>
          <cell r="U425">
            <v>398.42879999999997</v>
          </cell>
          <cell r="V425">
            <v>0.25346762081455954</v>
          </cell>
          <cell r="W425">
            <v>252.82399999999998</v>
          </cell>
          <cell r="X425">
            <v>0.49139747327502425</v>
          </cell>
          <cell r="Y425" t="str">
            <v>Act freight</v>
          </cell>
          <cell r="Z425">
            <v>0</v>
          </cell>
          <cell r="AA425">
            <v>306</v>
          </cell>
          <cell r="AB425">
            <v>253</v>
          </cell>
          <cell r="AC425">
            <v>281</v>
          </cell>
          <cell r="AD425">
            <v>297</v>
          </cell>
          <cell r="AE425">
            <v>312.13</v>
          </cell>
          <cell r="AF425">
            <v>0.19000416493127867</v>
          </cell>
          <cell r="AG425">
            <v>4.7063723448563091E-2</v>
          </cell>
          <cell r="AH425">
            <v>320</v>
          </cell>
          <cell r="AI425">
            <v>326</v>
          </cell>
          <cell r="AJ425">
            <v>0.2244662576687117</v>
          </cell>
          <cell r="AK425">
            <v>332</v>
          </cell>
          <cell r="AL425">
            <v>338</v>
          </cell>
          <cell r="AM425">
            <v>0.25200000000000006</v>
          </cell>
          <cell r="AN425">
            <v>385.18</v>
          </cell>
          <cell r="AO425">
            <v>432.36</v>
          </cell>
          <cell r="AP425">
            <v>479.54</v>
          </cell>
          <cell r="AQ425">
            <v>0</v>
          </cell>
          <cell r="AS425">
            <v>861</v>
          </cell>
        </row>
        <row r="426">
          <cell r="B426" t="str">
            <v>AC</v>
          </cell>
          <cell r="C426" t="str">
            <v>IMP</v>
          </cell>
          <cell r="D426" t="str">
            <v>BT</v>
          </cell>
          <cell r="E426" t="str">
            <v>P3</v>
          </cell>
          <cell r="F426">
            <v>39924</v>
          </cell>
          <cell r="G426">
            <v>40190</v>
          </cell>
          <cell r="H426" t="str">
            <v>A0930Y1</v>
          </cell>
          <cell r="I426" t="str">
            <v>6KMPC204PC_N</v>
          </cell>
          <cell r="J426">
            <v>0</v>
          </cell>
          <cell r="K426" t="str">
            <v>PC-204 500x2 Paper Cabinet</v>
          </cell>
          <cell r="L426">
            <v>1124</v>
          </cell>
          <cell r="M426">
            <v>408</v>
          </cell>
          <cell r="N426">
            <v>424.32</v>
          </cell>
          <cell r="O426">
            <v>-0.17647058823529421</v>
          </cell>
          <cell r="P426">
            <v>360.67199999999997</v>
          </cell>
          <cell r="Q426">
            <v>432.48</v>
          </cell>
          <cell r="R426">
            <v>488.7</v>
          </cell>
          <cell r="S426">
            <v>672</v>
          </cell>
          <cell r="T426">
            <v>0.36857142857142861</v>
          </cell>
          <cell r="U426">
            <v>520.39679999999998</v>
          </cell>
          <cell r="V426">
            <v>0.18462219598583235</v>
          </cell>
          <cell r="W426">
            <v>360.67199999999997</v>
          </cell>
          <cell r="X426">
            <v>0.5367142857142857</v>
          </cell>
          <cell r="Y426" t="str">
            <v>Act freight</v>
          </cell>
          <cell r="Z426">
            <v>0</v>
          </cell>
          <cell r="AA426">
            <v>436</v>
          </cell>
          <cell r="AB426">
            <v>361</v>
          </cell>
          <cell r="AC426">
            <v>401</v>
          </cell>
          <cell r="AD426">
            <v>424</v>
          </cell>
          <cell r="AE426">
            <v>445.27</v>
          </cell>
          <cell r="AF426">
            <v>0.18999258876636652</v>
          </cell>
          <cell r="AG426">
            <v>4.7050104431019354E-2</v>
          </cell>
          <cell r="AH426">
            <v>455</v>
          </cell>
          <cell r="AI426">
            <v>464</v>
          </cell>
          <cell r="AJ426">
            <v>0.22268965517241385</v>
          </cell>
          <cell r="AK426">
            <v>472.5</v>
          </cell>
          <cell r="AL426">
            <v>481</v>
          </cell>
          <cell r="AM426">
            <v>0.25016216216216225</v>
          </cell>
          <cell r="AN426">
            <v>548.6</v>
          </cell>
          <cell r="AO426">
            <v>616.20000000000005</v>
          </cell>
          <cell r="AP426">
            <v>683.8</v>
          </cell>
          <cell r="AQ426">
            <v>0</v>
          </cell>
          <cell r="AS426">
            <v>1124</v>
          </cell>
        </row>
        <row r="427">
          <cell r="B427" t="str">
            <v>AC</v>
          </cell>
          <cell r="C427" t="str">
            <v>IMP</v>
          </cell>
          <cell r="D427" t="str">
            <v>BT</v>
          </cell>
          <cell r="E427" t="str">
            <v>P3</v>
          </cell>
          <cell r="F427">
            <v>39924</v>
          </cell>
          <cell r="G427">
            <v>40190</v>
          </cell>
          <cell r="H427" t="str">
            <v>A0930Y3</v>
          </cell>
          <cell r="I427" t="str">
            <v>6KMDK504CD_N</v>
          </cell>
          <cell r="J427">
            <v>0</v>
          </cell>
          <cell r="K427" t="str">
            <v>DK-504 Copy Desk</v>
          </cell>
          <cell r="L427">
            <v>209</v>
          </cell>
          <cell r="M427">
            <v>82</v>
          </cell>
          <cell r="N427">
            <v>85.28</v>
          </cell>
          <cell r="O427">
            <v>-0.17647058823529413</v>
          </cell>
          <cell r="P427">
            <v>72.488</v>
          </cell>
          <cell r="Q427">
            <v>86.92</v>
          </cell>
          <cell r="R427">
            <v>98.22</v>
          </cell>
          <cell r="S427">
            <v>125.5</v>
          </cell>
          <cell r="T427">
            <v>0.32047808764940239</v>
          </cell>
          <cell r="U427">
            <v>97.18719999999999</v>
          </cell>
          <cell r="V427">
            <v>0.12251819169602571</v>
          </cell>
          <cell r="W427">
            <v>72.488</v>
          </cell>
          <cell r="X427">
            <v>0.57759362549800797</v>
          </cell>
          <cell r="Y427" t="str">
            <v>Act freight</v>
          </cell>
          <cell r="Z427">
            <v>0</v>
          </cell>
          <cell r="AA427">
            <v>88</v>
          </cell>
          <cell r="AB427">
            <v>73</v>
          </cell>
          <cell r="AC427">
            <v>81</v>
          </cell>
          <cell r="AD427">
            <v>86</v>
          </cell>
          <cell r="AE427">
            <v>89.49</v>
          </cell>
          <cell r="AF427">
            <v>0.18998770812381269</v>
          </cell>
          <cell r="AG427">
            <v>4.704436249860313E-2</v>
          </cell>
          <cell r="AH427">
            <v>92</v>
          </cell>
          <cell r="AI427">
            <v>94</v>
          </cell>
          <cell r="AJ427">
            <v>0.22885106382978723</v>
          </cell>
          <cell r="AK427">
            <v>95.5</v>
          </cell>
          <cell r="AL427">
            <v>97</v>
          </cell>
          <cell r="AM427">
            <v>0.25270103092783508</v>
          </cell>
          <cell r="AN427">
            <v>110.5</v>
          </cell>
          <cell r="AO427">
            <v>124</v>
          </cell>
          <cell r="AP427">
            <v>137.5</v>
          </cell>
          <cell r="AQ427">
            <v>0</v>
          </cell>
          <cell r="AS427">
            <v>209</v>
          </cell>
        </row>
        <row r="428">
          <cell r="B428" t="str">
            <v>AC</v>
          </cell>
          <cell r="C428" t="str">
            <v>IMP</v>
          </cell>
          <cell r="D428" t="str">
            <v>BT</v>
          </cell>
          <cell r="E428" t="str">
            <v>08</v>
          </cell>
          <cell r="F428">
            <v>39924</v>
          </cell>
          <cell r="G428">
            <v>40001</v>
          </cell>
          <cell r="H428" t="str">
            <v>A09MWY0</v>
          </cell>
          <cell r="I428" t="str">
            <v>3KMHAU101BAU</v>
          </cell>
          <cell r="J428" t="str">
            <v>in both mfp and solutions</v>
          </cell>
          <cell r="K428" t="str">
            <v>AU-101 Biometric Authentication Unit</v>
          </cell>
          <cell r="L428">
            <v>893</v>
          </cell>
          <cell r="M428">
            <v>306</v>
          </cell>
          <cell r="N428">
            <v>318.24</v>
          </cell>
          <cell r="O428">
            <v>0.21071428571428566</v>
          </cell>
          <cell r="P428">
            <v>403.2</v>
          </cell>
          <cell r="Q428">
            <v>324.36</v>
          </cell>
          <cell r="R428">
            <v>366.53</v>
          </cell>
          <cell r="S428">
            <v>504</v>
          </cell>
          <cell r="T428">
            <v>0.36857142857142855</v>
          </cell>
          <cell r="U428">
            <v>390.29759999999999</v>
          </cell>
          <cell r="V428">
            <v>0.18462219598583229</v>
          </cell>
          <cell r="W428">
            <v>403.2</v>
          </cell>
          <cell r="X428">
            <v>0.79999999999999993</v>
          </cell>
          <cell r="Y428" t="str">
            <v>Act freight</v>
          </cell>
          <cell r="Z428">
            <v>0</v>
          </cell>
          <cell r="AA428">
            <v>488</v>
          </cell>
          <cell r="AB428">
            <v>404</v>
          </cell>
          <cell r="AC428">
            <v>448</v>
          </cell>
          <cell r="AD428">
            <v>473</v>
          </cell>
          <cell r="AE428">
            <v>497.78</v>
          </cell>
          <cell r="AF428">
            <v>0.19000361605528546</v>
          </cell>
          <cell r="AG428">
            <v>0.36068142552935029</v>
          </cell>
          <cell r="AH428">
            <v>554</v>
          </cell>
          <cell r="AI428">
            <v>609</v>
          </cell>
          <cell r="AJ428">
            <v>0.33793103448275863</v>
          </cell>
          <cell r="AK428">
            <v>664.5</v>
          </cell>
          <cell r="AL428">
            <v>720</v>
          </cell>
          <cell r="AM428">
            <v>0.44</v>
          </cell>
          <cell r="AN428">
            <v>763.25</v>
          </cell>
          <cell r="AO428">
            <v>806.5</v>
          </cell>
          <cell r="AP428">
            <v>849.75</v>
          </cell>
          <cell r="AQ428">
            <v>0</v>
          </cell>
          <cell r="AS428">
            <v>893</v>
          </cell>
        </row>
        <row r="429">
          <cell r="B429" t="str">
            <v>AC</v>
          </cell>
          <cell r="C429" t="str">
            <v>IMP</v>
          </cell>
          <cell r="D429" t="str">
            <v>BT</v>
          </cell>
          <cell r="E429" t="str">
            <v>08</v>
          </cell>
          <cell r="F429">
            <v>39924</v>
          </cell>
          <cell r="G429">
            <v>40001</v>
          </cell>
          <cell r="H429" t="str">
            <v>A0CJ013</v>
          </cell>
          <cell r="I429" t="str">
            <v>6KMFK506_N</v>
          </cell>
          <cell r="J429">
            <v>0</v>
          </cell>
          <cell r="K429" t="str">
            <v>FK-506 Fax Kit</v>
          </cell>
          <cell r="L429">
            <v>672</v>
          </cell>
          <cell r="M429">
            <v>240</v>
          </cell>
          <cell r="N429">
            <v>249.60000000000002</v>
          </cell>
          <cell r="O429">
            <v>0.1065292096219931</v>
          </cell>
          <cell r="P429">
            <v>279.36</v>
          </cell>
          <cell r="Q429">
            <v>254.4</v>
          </cell>
          <cell r="R429">
            <v>287.47000000000003</v>
          </cell>
          <cell r="S429">
            <v>349.2</v>
          </cell>
          <cell r="T429">
            <v>0.28522336769759443</v>
          </cell>
          <cell r="U429">
            <v>270.42048</v>
          </cell>
          <cell r="V429">
            <v>7.6992985146687024E-2</v>
          </cell>
          <cell r="W429">
            <v>279.36</v>
          </cell>
          <cell r="X429">
            <v>0.8</v>
          </cell>
          <cell r="Y429" t="str">
            <v>Act freight</v>
          </cell>
          <cell r="Z429">
            <v>0</v>
          </cell>
          <cell r="AA429">
            <v>338</v>
          </cell>
          <cell r="AB429">
            <v>280</v>
          </cell>
          <cell r="AC429">
            <v>311</v>
          </cell>
          <cell r="AD429">
            <v>328</v>
          </cell>
          <cell r="AE429">
            <v>344.89</v>
          </cell>
          <cell r="AF429">
            <v>0.19000260952767542</v>
          </cell>
          <cell r="AG429">
            <v>0.27629099133056906</v>
          </cell>
          <cell r="AH429">
            <v>384</v>
          </cell>
          <cell r="AI429">
            <v>422</v>
          </cell>
          <cell r="AJ429">
            <v>0.33800947867298575</v>
          </cell>
          <cell r="AK429">
            <v>460.5</v>
          </cell>
          <cell r="AL429">
            <v>499</v>
          </cell>
          <cell r="AM429">
            <v>0.44016032064128252</v>
          </cell>
          <cell r="AN429">
            <v>542.25</v>
          </cell>
          <cell r="AO429">
            <v>585.5</v>
          </cell>
          <cell r="AP429">
            <v>628.75</v>
          </cell>
          <cell r="AQ429">
            <v>0</v>
          </cell>
          <cell r="AS429">
            <v>672</v>
          </cell>
        </row>
        <row r="430">
          <cell r="B430" t="str">
            <v>AC</v>
          </cell>
          <cell r="C430" t="str">
            <v>IMP</v>
          </cell>
          <cell r="D430" t="str">
            <v>BT</v>
          </cell>
          <cell r="E430" t="str">
            <v>08</v>
          </cell>
          <cell r="F430">
            <v>39924</v>
          </cell>
          <cell r="G430">
            <v>40001</v>
          </cell>
          <cell r="H430" t="str">
            <v>A0CJ0Y1</v>
          </cell>
          <cell r="I430" t="str">
            <v>4KMIC206PCL_N</v>
          </cell>
          <cell r="J430">
            <v>0</v>
          </cell>
          <cell r="K430" t="str">
            <v>IC-206 PCL Image Controller (w NC-503 NIC)</v>
          </cell>
          <cell r="L430">
            <v>630</v>
          </cell>
          <cell r="M430">
            <v>214</v>
          </cell>
          <cell r="N430">
            <v>222.56</v>
          </cell>
          <cell r="O430">
            <v>0.10976</v>
          </cell>
          <cell r="P430">
            <v>250</v>
          </cell>
          <cell r="Q430">
            <v>226.84</v>
          </cell>
          <cell r="R430">
            <v>256.33</v>
          </cell>
          <cell r="S430">
            <v>312.5</v>
          </cell>
          <cell r="T430">
            <v>0.28780800000000001</v>
          </cell>
          <cell r="U430">
            <v>242</v>
          </cell>
          <cell r="V430">
            <v>8.033057851239668E-2</v>
          </cell>
          <cell r="W430">
            <v>250</v>
          </cell>
          <cell r="X430">
            <v>0.8</v>
          </cell>
          <cell r="Y430" t="str">
            <v>Act freight</v>
          </cell>
          <cell r="Z430">
            <v>0</v>
          </cell>
          <cell r="AA430">
            <v>302</v>
          </cell>
          <cell r="AB430">
            <v>250</v>
          </cell>
          <cell r="AC430">
            <v>278</v>
          </cell>
          <cell r="AD430">
            <v>294</v>
          </cell>
          <cell r="AE430">
            <v>308.64</v>
          </cell>
          <cell r="AF430">
            <v>0.18999481596682216</v>
          </cell>
          <cell r="AG430">
            <v>0.27890098496630372</v>
          </cell>
          <cell r="AH430">
            <v>344</v>
          </cell>
          <cell r="AI430">
            <v>378</v>
          </cell>
          <cell r="AJ430">
            <v>0.33862433862433861</v>
          </cell>
          <cell r="AK430">
            <v>412.5</v>
          </cell>
          <cell r="AL430">
            <v>447</v>
          </cell>
          <cell r="AM430">
            <v>0.4407158836689038</v>
          </cell>
          <cell r="AN430">
            <v>492.75</v>
          </cell>
          <cell r="AO430">
            <v>538.5</v>
          </cell>
          <cell r="AP430">
            <v>584.25</v>
          </cell>
          <cell r="AQ430">
            <v>0</v>
          </cell>
          <cell r="AS430">
            <v>630</v>
          </cell>
        </row>
        <row r="431">
          <cell r="B431" t="str">
            <v>AC</v>
          </cell>
          <cell r="C431" t="str">
            <v>IMP</v>
          </cell>
          <cell r="D431" t="str">
            <v>BT</v>
          </cell>
          <cell r="E431" t="str">
            <v>08</v>
          </cell>
          <cell r="F431">
            <v>39924</v>
          </cell>
          <cell r="G431">
            <v>40001</v>
          </cell>
          <cell r="H431" t="str">
            <v>A0CJ0Y2</v>
          </cell>
          <cell r="I431" t="str">
            <v>6KMNC503_N</v>
          </cell>
          <cell r="J431">
            <v>0</v>
          </cell>
          <cell r="K431" t="str">
            <v>NC-503 Network Interface Card</v>
          </cell>
          <cell r="L431">
            <v>405</v>
          </cell>
          <cell r="M431">
            <v>153</v>
          </cell>
          <cell r="N431">
            <v>159.12</v>
          </cell>
          <cell r="O431">
            <v>0.11442564559216385</v>
          </cell>
          <cell r="P431">
            <v>179.68</v>
          </cell>
          <cell r="Q431">
            <v>162.18</v>
          </cell>
          <cell r="R431">
            <v>183.26</v>
          </cell>
          <cell r="S431">
            <v>224.6</v>
          </cell>
          <cell r="T431">
            <v>0.29154051647373103</v>
          </cell>
          <cell r="U431">
            <v>173.93024</v>
          </cell>
          <cell r="V431">
            <v>8.5150460322483273E-2</v>
          </cell>
          <cell r="W431">
            <v>179.68</v>
          </cell>
          <cell r="X431">
            <v>0.8</v>
          </cell>
          <cell r="Y431" t="str">
            <v>Act freight</v>
          </cell>
          <cell r="Z431">
            <v>0</v>
          </cell>
          <cell r="AA431">
            <v>217</v>
          </cell>
          <cell r="AB431">
            <v>180</v>
          </cell>
          <cell r="AC431">
            <v>200</v>
          </cell>
          <cell r="AD431">
            <v>211</v>
          </cell>
          <cell r="AE431">
            <v>221.83</v>
          </cell>
          <cell r="AF431">
            <v>0.19001036830004961</v>
          </cell>
          <cell r="AG431">
            <v>0.28269395483027543</v>
          </cell>
          <cell r="AH431">
            <v>247</v>
          </cell>
          <cell r="AI431">
            <v>272</v>
          </cell>
          <cell r="AJ431">
            <v>0.3394117647058823</v>
          </cell>
          <cell r="AK431">
            <v>296.5</v>
          </cell>
          <cell r="AL431">
            <v>321</v>
          </cell>
          <cell r="AM431">
            <v>0.44024922118380061</v>
          </cell>
          <cell r="AN431">
            <v>342</v>
          </cell>
          <cell r="AO431">
            <v>363</v>
          </cell>
          <cell r="AP431">
            <v>384</v>
          </cell>
          <cell r="AQ431">
            <v>0</v>
          </cell>
          <cell r="AS431">
            <v>405</v>
          </cell>
        </row>
        <row r="432">
          <cell r="B432" t="str">
            <v>AC</v>
          </cell>
          <cell r="C432" t="str">
            <v>IMP</v>
          </cell>
          <cell r="D432" t="str">
            <v>BT</v>
          </cell>
          <cell r="E432" t="str">
            <v>08</v>
          </cell>
          <cell r="F432">
            <v>39924</v>
          </cell>
          <cell r="G432">
            <v>40001</v>
          </cell>
          <cell r="H432" t="str">
            <v>A0CJWY1</v>
          </cell>
          <cell r="I432" t="str">
            <v>3KMMEM103128MB</v>
          </cell>
          <cell r="J432">
            <v>0</v>
          </cell>
          <cell r="K432" t="str">
            <v>EM-103 128MB Copier Memory Upgrade</v>
          </cell>
          <cell r="L432">
            <v>473</v>
          </cell>
          <cell r="M432">
            <v>184</v>
          </cell>
          <cell r="N432">
            <v>191.36</v>
          </cell>
          <cell r="O432">
            <v>6.0855908912445904E-2</v>
          </cell>
          <cell r="P432">
            <v>203.76</v>
          </cell>
          <cell r="Q432">
            <v>195.04</v>
          </cell>
          <cell r="R432">
            <v>220.4</v>
          </cell>
          <cell r="S432">
            <v>254.7</v>
          </cell>
          <cell r="T432">
            <v>0.24868472712995673</v>
          </cell>
          <cell r="U432">
            <v>219.04199999999997</v>
          </cell>
          <cell r="V432">
            <v>0.12637758968599613</v>
          </cell>
          <cell r="W432">
            <v>203.76</v>
          </cell>
          <cell r="X432">
            <v>0.8</v>
          </cell>
          <cell r="Y432" t="str">
            <v>Act freight</v>
          </cell>
          <cell r="Z432">
            <v>0</v>
          </cell>
          <cell r="AA432">
            <v>247</v>
          </cell>
          <cell r="AB432">
            <v>204</v>
          </cell>
          <cell r="AC432">
            <v>227</v>
          </cell>
          <cell r="AD432">
            <v>240</v>
          </cell>
          <cell r="AE432">
            <v>251.56</v>
          </cell>
          <cell r="AF432">
            <v>0.1900143107012244</v>
          </cell>
          <cell r="AG432">
            <v>0.2393067260295754</v>
          </cell>
          <cell r="AH432">
            <v>280</v>
          </cell>
          <cell r="AI432">
            <v>308</v>
          </cell>
          <cell r="AJ432">
            <v>0.33844155844155849</v>
          </cell>
          <cell r="AK432">
            <v>336</v>
          </cell>
          <cell r="AL432">
            <v>364</v>
          </cell>
          <cell r="AM432">
            <v>0.44021978021978025</v>
          </cell>
          <cell r="AN432">
            <v>391.25</v>
          </cell>
          <cell r="AO432">
            <v>418.5</v>
          </cell>
          <cell r="AP432">
            <v>445.75</v>
          </cell>
          <cell r="AQ432">
            <v>0</v>
          </cell>
          <cell r="AS432">
            <v>473</v>
          </cell>
        </row>
        <row r="433">
          <cell r="B433" t="str">
            <v>AC</v>
          </cell>
          <cell r="C433" t="str">
            <v>IMP</v>
          </cell>
          <cell r="D433" t="str">
            <v>BT</v>
          </cell>
          <cell r="E433" t="str">
            <v>P3</v>
          </cell>
          <cell r="F433">
            <v>39924</v>
          </cell>
          <cell r="G433">
            <v>40001</v>
          </cell>
          <cell r="H433" t="str">
            <v>A0D50Y0</v>
          </cell>
          <cell r="I433" t="str">
            <v>6KMJS504JS_N</v>
          </cell>
          <cell r="J433" t="str">
            <v>x</v>
          </cell>
          <cell r="K433" t="str">
            <v>JS-504 Job Separator</v>
          </cell>
          <cell r="L433">
            <v>472</v>
          </cell>
          <cell r="M433">
            <v>153</v>
          </cell>
          <cell r="N433">
            <v>159.12</v>
          </cell>
          <cell r="O433">
            <v>-0.17647058823529407</v>
          </cell>
          <cell r="P433">
            <v>135.25200000000001</v>
          </cell>
          <cell r="Q433">
            <v>162.18</v>
          </cell>
          <cell r="R433">
            <v>183.26</v>
          </cell>
          <cell r="S433">
            <v>246.5</v>
          </cell>
          <cell r="T433">
            <v>0.35448275862068962</v>
          </cell>
          <cell r="U433">
            <v>190.8896</v>
          </cell>
          <cell r="V433">
            <v>0.16642918210316326</v>
          </cell>
          <cell r="W433">
            <v>135.25200000000001</v>
          </cell>
          <cell r="X433">
            <v>0.54868965517241386</v>
          </cell>
          <cell r="Y433" t="str">
            <v>Act freight</v>
          </cell>
          <cell r="Z433">
            <v>0</v>
          </cell>
          <cell r="AA433">
            <v>164</v>
          </cell>
          <cell r="AB433">
            <v>136</v>
          </cell>
          <cell r="AC433">
            <v>151</v>
          </cell>
          <cell r="AD433">
            <v>159</v>
          </cell>
          <cell r="AE433">
            <v>166.98</v>
          </cell>
          <cell r="AF433">
            <v>0.19001077973409977</v>
          </cell>
          <cell r="AG433">
            <v>4.7071505569529201E-2</v>
          </cell>
          <cell r="AH433">
            <v>171</v>
          </cell>
          <cell r="AI433">
            <v>174</v>
          </cell>
          <cell r="AJ433">
            <v>0.22268965517241374</v>
          </cell>
          <cell r="AK433">
            <v>177.5</v>
          </cell>
          <cell r="AL433">
            <v>181</v>
          </cell>
          <cell r="AM433">
            <v>0.25275138121546958</v>
          </cell>
          <cell r="AN433">
            <v>206.19</v>
          </cell>
          <cell r="AO433">
            <v>231.38</v>
          </cell>
          <cell r="AP433">
            <v>256.57</v>
          </cell>
          <cell r="AQ433">
            <v>0</v>
          </cell>
          <cell r="AS433">
            <v>472</v>
          </cell>
        </row>
        <row r="434">
          <cell r="B434" t="str">
            <v>AC</v>
          </cell>
          <cell r="C434" t="str">
            <v>IMP</v>
          </cell>
          <cell r="D434" t="str">
            <v>BT</v>
          </cell>
          <cell r="E434" t="str">
            <v>08</v>
          </cell>
          <cell r="F434">
            <v>39924</v>
          </cell>
          <cell r="G434">
            <v>40231</v>
          </cell>
          <cell r="H434" t="str">
            <v>A0D60Y0</v>
          </cell>
          <cell r="I434" t="str">
            <v>6KMFS609BKFIN_N</v>
          </cell>
          <cell r="J434" t="str">
            <v>changed to 08</v>
          </cell>
          <cell r="K434" t="str">
            <v>FS-609 Saddle Finisher</v>
          </cell>
          <cell r="L434">
            <v>3150</v>
          </cell>
          <cell r="M434">
            <v>1097</v>
          </cell>
          <cell r="N434">
            <v>1140.8800000000001</v>
          </cell>
          <cell r="O434">
            <v>0.24544973544973539</v>
          </cell>
          <cell r="P434">
            <v>1512</v>
          </cell>
          <cell r="Q434">
            <v>1162.82</v>
          </cell>
          <cell r="R434">
            <v>1313.99</v>
          </cell>
          <cell r="S434">
            <v>1890</v>
          </cell>
          <cell r="T434">
            <v>0.3963597883597883</v>
          </cell>
          <cell r="U434">
            <v>1463.616</v>
          </cell>
          <cell r="V434">
            <v>0.2205059250513795</v>
          </cell>
          <cell r="W434">
            <v>1512</v>
          </cell>
          <cell r="X434">
            <v>0.8</v>
          </cell>
          <cell r="Y434" t="str">
            <v>Act freight</v>
          </cell>
          <cell r="Z434">
            <v>0</v>
          </cell>
          <cell r="AA434">
            <v>1829</v>
          </cell>
          <cell r="AB434">
            <v>1512</v>
          </cell>
          <cell r="AC434">
            <v>1680</v>
          </cell>
          <cell r="AD434">
            <v>1774</v>
          </cell>
          <cell r="AE434">
            <v>1866.67</v>
          </cell>
          <cell r="AF434">
            <v>0.19000144642598857</v>
          </cell>
          <cell r="AG434">
            <v>0.38881537711539799</v>
          </cell>
          <cell r="AH434">
            <v>2076</v>
          </cell>
          <cell r="AI434">
            <v>2284</v>
          </cell>
          <cell r="AJ434">
            <v>0.33800350262697021</v>
          </cell>
          <cell r="AK434">
            <v>2492</v>
          </cell>
          <cell r="AL434">
            <v>2700</v>
          </cell>
          <cell r="AM434">
            <v>0.44</v>
          </cell>
          <cell r="AN434">
            <v>2812.5</v>
          </cell>
          <cell r="AO434">
            <v>2925</v>
          </cell>
          <cell r="AP434">
            <v>3037.5</v>
          </cell>
          <cell r="AQ434">
            <v>0</v>
          </cell>
          <cell r="AS434">
            <v>3150</v>
          </cell>
        </row>
        <row r="435">
          <cell r="B435" t="str">
            <v>AC</v>
          </cell>
          <cell r="C435" t="str">
            <v>IMP</v>
          </cell>
          <cell r="D435" t="str">
            <v>BT</v>
          </cell>
          <cell r="E435" t="str">
            <v>P3</v>
          </cell>
          <cell r="F435">
            <v>39924</v>
          </cell>
          <cell r="G435">
            <v>40001</v>
          </cell>
          <cell r="H435" t="str">
            <v>A0D8WY0</v>
          </cell>
          <cell r="I435" t="str">
            <v>6KMOC507OC_N</v>
          </cell>
          <cell r="J435" t="str">
            <v>x</v>
          </cell>
          <cell r="K435" t="str">
            <v>OC-507 Original Cover</v>
          </cell>
          <cell r="L435">
            <v>89</v>
          </cell>
          <cell r="M435">
            <v>29</v>
          </cell>
          <cell r="N435">
            <v>30.16</v>
          </cell>
          <cell r="O435">
            <v>-0.17647058823529416</v>
          </cell>
          <cell r="P435">
            <v>25.635999999999999</v>
          </cell>
          <cell r="Q435">
            <v>30.74</v>
          </cell>
          <cell r="R435">
            <v>34.74</v>
          </cell>
          <cell r="S435">
            <v>45.9</v>
          </cell>
          <cell r="T435">
            <v>0.34291938997821347</v>
          </cell>
          <cell r="U435">
            <v>35.544959999999996</v>
          </cell>
          <cell r="V435">
            <v>0.15149714614955248</v>
          </cell>
          <cell r="W435">
            <v>25.635999999999999</v>
          </cell>
          <cell r="X435">
            <v>0.55851851851851853</v>
          </cell>
          <cell r="Y435" t="str">
            <v>Act freight</v>
          </cell>
          <cell r="Z435">
            <v>0</v>
          </cell>
          <cell r="AA435">
            <v>31</v>
          </cell>
          <cell r="AB435">
            <v>26</v>
          </cell>
          <cell r="AC435">
            <v>29</v>
          </cell>
          <cell r="AD435">
            <v>31</v>
          </cell>
          <cell r="AE435">
            <v>31.65</v>
          </cell>
          <cell r="AF435">
            <v>0.19001579778830963</v>
          </cell>
          <cell r="AG435">
            <v>4.7077409162717174E-2</v>
          </cell>
          <cell r="AH435">
            <v>33</v>
          </cell>
          <cell r="AI435">
            <v>34</v>
          </cell>
          <cell r="AJ435">
            <v>0.24600000000000002</v>
          </cell>
          <cell r="AK435">
            <v>34.5</v>
          </cell>
          <cell r="AL435">
            <v>35</v>
          </cell>
          <cell r="AM435">
            <v>0.26754285714285714</v>
          </cell>
          <cell r="AN435">
            <v>39.6</v>
          </cell>
          <cell r="AO435">
            <v>44.2</v>
          </cell>
          <cell r="AP435">
            <v>48.8</v>
          </cell>
          <cell r="AQ435">
            <v>0</v>
          </cell>
          <cell r="AS435">
            <v>89</v>
          </cell>
        </row>
        <row r="436">
          <cell r="B436" t="str">
            <v>AC</v>
          </cell>
          <cell r="C436" t="str">
            <v>IMP</v>
          </cell>
          <cell r="D436" t="str">
            <v>BT</v>
          </cell>
          <cell r="E436" t="str">
            <v>P3</v>
          </cell>
          <cell r="F436">
            <v>39924</v>
          </cell>
          <cell r="G436">
            <v>40001</v>
          </cell>
          <cell r="H436" t="str">
            <v>A0D9WY0</v>
          </cell>
          <cell r="I436" t="str">
            <v>3KMMK713BPG</v>
          </cell>
          <cell r="J436" t="str">
            <v>x</v>
          </cell>
          <cell r="K436" t="str">
            <v>MK-713 Banner Guide</v>
          </cell>
          <cell r="L436">
            <v>798</v>
          </cell>
          <cell r="M436">
            <v>255</v>
          </cell>
          <cell r="N436">
            <v>265.2</v>
          </cell>
          <cell r="O436">
            <v>-0.17647058823529413</v>
          </cell>
          <cell r="P436">
            <v>225.42</v>
          </cell>
          <cell r="Q436">
            <v>270.3</v>
          </cell>
          <cell r="R436">
            <v>305.44</v>
          </cell>
          <cell r="S436">
            <v>379.1</v>
          </cell>
          <cell r="T436">
            <v>0.30044843049327363</v>
          </cell>
          <cell r="U436">
            <v>293.57504</v>
          </cell>
          <cell r="V436">
            <v>9.6653448467553693E-2</v>
          </cell>
          <cell r="W436">
            <v>225.42</v>
          </cell>
          <cell r="X436">
            <v>0.59461883408071747</v>
          </cell>
          <cell r="Y436" t="str">
            <v>Act freight</v>
          </cell>
          <cell r="Z436">
            <v>0</v>
          </cell>
          <cell r="AA436">
            <v>273</v>
          </cell>
          <cell r="AB436">
            <v>226</v>
          </cell>
          <cell r="AC436">
            <v>251</v>
          </cell>
          <cell r="AD436">
            <v>265</v>
          </cell>
          <cell r="AE436">
            <v>278.3</v>
          </cell>
          <cell r="AF436">
            <v>0.19001077973409997</v>
          </cell>
          <cell r="AG436">
            <v>4.7071505569529368E-2</v>
          </cell>
          <cell r="AH436">
            <v>285</v>
          </cell>
          <cell r="AI436">
            <v>290</v>
          </cell>
          <cell r="AJ436">
            <v>0.22268965517241385</v>
          </cell>
          <cell r="AK436">
            <v>295.5</v>
          </cell>
          <cell r="AL436">
            <v>301</v>
          </cell>
          <cell r="AM436">
            <v>0.25109634551495019</v>
          </cell>
          <cell r="AN436">
            <v>343.16</v>
          </cell>
          <cell r="AO436">
            <v>385.32</v>
          </cell>
          <cell r="AP436">
            <v>427.48</v>
          </cell>
          <cell r="AQ436">
            <v>0</v>
          </cell>
          <cell r="AR436">
            <v>288</v>
          </cell>
          <cell r="AS436">
            <v>798</v>
          </cell>
        </row>
        <row r="437">
          <cell r="B437" t="str">
            <v>AC</v>
          </cell>
          <cell r="C437" t="str">
            <v>IMP</v>
          </cell>
          <cell r="D437" t="str">
            <v>BT</v>
          </cell>
          <cell r="E437" t="str">
            <v>P3</v>
          </cell>
          <cell r="F437">
            <v>39924</v>
          </cell>
          <cell r="G437">
            <v>40001</v>
          </cell>
          <cell r="H437" t="str">
            <v>A0DCWY0</v>
          </cell>
          <cell r="I437" t="str">
            <v>3KMHMK711</v>
          </cell>
          <cell r="J437" t="str">
            <v>x</v>
          </cell>
          <cell r="K437" t="str">
            <v>MK-711 Option Connection</v>
          </cell>
          <cell r="L437">
            <v>200</v>
          </cell>
          <cell r="M437">
            <v>51</v>
          </cell>
          <cell r="N437">
            <v>53.04</v>
          </cell>
          <cell r="O437">
            <v>-0.17647058823529421</v>
          </cell>
          <cell r="P437">
            <v>45.083999999999996</v>
          </cell>
          <cell r="Q437">
            <v>54.06</v>
          </cell>
          <cell r="R437">
            <v>61.09</v>
          </cell>
          <cell r="S437">
            <v>120.8</v>
          </cell>
          <cell r="T437">
            <v>0.56092715231788071</v>
          </cell>
          <cell r="U437">
            <v>93.547519999999992</v>
          </cell>
          <cell r="V437">
            <v>0.43301543429478406</v>
          </cell>
          <cell r="W437">
            <v>45.083999999999996</v>
          </cell>
          <cell r="X437">
            <v>0.37321192052980129</v>
          </cell>
          <cell r="Y437" t="str">
            <v>Act freight</v>
          </cell>
          <cell r="Z437">
            <v>0</v>
          </cell>
          <cell r="AA437">
            <v>55</v>
          </cell>
          <cell r="AB437">
            <v>46</v>
          </cell>
          <cell r="AC437">
            <v>51</v>
          </cell>
          <cell r="AD437">
            <v>54</v>
          </cell>
          <cell r="AE437">
            <v>55.66</v>
          </cell>
          <cell r="AF437">
            <v>0.19001077973409991</v>
          </cell>
          <cell r="AG437">
            <v>4.7071505569529243E-2</v>
          </cell>
          <cell r="AH437">
            <v>58</v>
          </cell>
          <cell r="AI437">
            <v>59</v>
          </cell>
          <cell r="AJ437">
            <v>0.23586440677966108</v>
          </cell>
          <cell r="AK437">
            <v>60</v>
          </cell>
          <cell r="AL437">
            <v>61</v>
          </cell>
          <cell r="AM437">
            <v>0.2609180327868853</v>
          </cell>
          <cell r="AN437">
            <v>69.23</v>
          </cell>
          <cell r="AO437">
            <v>77.459999999999994</v>
          </cell>
          <cell r="AP437">
            <v>85.69</v>
          </cell>
          <cell r="AQ437">
            <v>0</v>
          </cell>
          <cell r="AR437">
            <v>288</v>
          </cell>
          <cell r="AS437">
            <v>200</v>
          </cell>
        </row>
        <row r="438">
          <cell r="B438" t="str">
            <v>AC</v>
          </cell>
          <cell r="C438" t="str">
            <v>IMP</v>
          </cell>
          <cell r="D438" t="str">
            <v>BT</v>
          </cell>
          <cell r="E438" t="str">
            <v>08</v>
          </cell>
          <cell r="F438">
            <v>39924</v>
          </cell>
          <cell r="G438">
            <v>40231</v>
          </cell>
          <cell r="H438" t="str">
            <v>A0DDWY0</v>
          </cell>
          <cell r="I438" t="str">
            <v>3KMKHD508HDD</v>
          </cell>
          <cell r="J438" t="str">
            <v>changed to 08</v>
          </cell>
          <cell r="K438" t="str">
            <v>HD-508 (For C353P)</v>
          </cell>
          <cell r="L438">
            <v>473</v>
          </cell>
          <cell r="M438">
            <v>189</v>
          </cell>
          <cell r="N438">
            <v>196.56</v>
          </cell>
          <cell r="O438">
            <v>0.22</v>
          </cell>
          <cell r="P438">
            <v>252</v>
          </cell>
          <cell r="Q438">
            <v>200.34</v>
          </cell>
          <cell r="R438">
            <v>226.38</v>
          </cell>
          <cell r="S438">
            <v>315</v>
          </cell>
          <cell r="T438">
            <v>0.376</v>
          </cell>
          <cell r="U438">
            <v>243.93599999999998</v>
          </cell>
          <cell r="V438">
            <v>0.19421487603305776</v>
          </cell>
          <cell r="W438">
            <v>252</v>
          </cell>
          <cell r="X438">
            <v>0.8</v>
          </cell>
          <cell r="Y438" t="str">
            <v>Act freight</v>
          </cell>
          <cell r="Z438">
            <v>0</v>
          </cell>
          <cell r="AA438">
            <v>305</v>
          </cell>
          <cell r="AB438">
            <v>252</v>
          </cell>
          <cell r="AC438">
            <v>280</v>
          </cell>
          <cell r="AD438">
            <v>296</v>
          </cell>
          <cell r="AE438">
            <v>311.11</v>
          </cell>
          <cell r="AF438">
            <v>0.18999710713252552</v>
          </cell>
          <cell r="AG438">
            <v>0.36819774356336987</v>
          </cell>
          <cell r="AH438">
            <v>347</v>
          </cell>
          <cell r="AI438">
            <v>381</v>
          </cell>
          <cell r="AJ438">
            <v>0.33858267716535434</v>
          </cell>
          <cell r="AK438">
            <v>415.5</v>
          </cell>
          <cell r="AL438">
            <v>450</v>
          </cell>
          <cell r="AM438">
            <v>0.44</v>
          </cell>
          <cell r="AN438">
            <v>455.75</v>
          </cell>
          <cell r="AO438">
            <v>461.5</v>
          </cell>
          <cell r="AP438">
            <v>467.25</v>
          </cell>
          <cell r="AQ438">
            <v>0</v>
          </cell>
          <cell r="AS438">
            <v>473</v>
          </cell>
        </row>
        <row r="439">
          <cell r="B439" t="str">
            <v>AC</v>
          </cell>
          <cell r="C439" t="str">
            <v>IMP</v>
          </cell>
          <cell r="D439" t="str">
            <v>BT</v>
          </cell>
          <cell r="E439" t="str">
            <v>08</v>
          </cell>
          <cell r="F439">
            <v>39924</v>
          </cell>
          <cell r="G439">
            <v>40231</v>
          </cell>
          <cell r="H439" t="str">
            <v>A0DHWY1</v>
          </cell>
          <cell r="I439" t="str">
            <v>6KMPK515PK_N</v>
          </cell>
          <cell r="J439" t="str">
            <v>changed to 08</v>
          </cell>
          <cell r="K439" t="str">
            <v>PK-515 Punch Kit for FS-519</v>
          </cell>
          <cell r="L439">
            <v>525</v>
          </cell>
          <cell r="M439">
            <v>179</v>
          </cell>
          <cell r="N439">
            <v>186.16</v>
          </cell>
          <cell r="O439">
            <v>0.20580204778156999</v>
          </cell>
          <cell r="P439">
            <v>234.4</v>
          </cell>
          <cell r="Q439">
            <v>189.74</v>
          </cell>
          <cell r="R439">
            <v>214.41</v>
          </cell>
          <cell r="S439">
            <v>293</v>
          </cell>
          <cell r="T439">
            <v>0.36464163822525597</v>
          </cell>
          <cell r="U439">
            <v>226.89920000000001</v>
          </cell>
          <cell r="V439">
            <v>0.17954757002228305</v>
          </cell>
          <cell r="W439">
            <v>234.4</v>
          </cell>
          <cell r="X439">
            <v>0.8</v>
          </cell>
          <cell r="Y439" t="str">
            <v>Act freight</v>
          </cell>
          <cell r="Z439">
            <v>0</v>
          </cell>
          <cell r="AA439">
            <v>284</v>
          </cell>
          <cell r="AB439">
            <v>235</v>
          </cell>
          <cell r="AC439">
            <v>261</v>
          </cell>
          <cell r="AD439">
            <v>276</v>
          </cell>
          <cell r="AE439">
            <v>289.38</v>
          </cell>
          <cell r="AF439">
            <v>0.18999239753956731</v>
          </cell>
          <cell r="AG439">
            <v>0.35669362084456424</v>
          </cell>
          <cell r="AH439">
            <v>323</v>
          </cell>
          <cell r="AI439">
            <v>355</v>
          </cell>
          <cell r="AJ439">
            <v>0.33971830985915491</v>
          </cell>
          <cell r="AK439">
            <v>387</v>
          </cell>
          <cell r="AL439">
            <v>419</v>
          </cell>
          <cell r="AM439">
            <v>0.44057279236276847</v>
          </cell>
          <cell r="AN439">
            <v>445.5</v>
          </cell>
          <cell r="AO439">
            <v>472</v>
          </cell>
          <cell r="AP439">
            <v>498.5</v>
          </cell>
          <cell r="AQ439">
            <v>0</v>
          </cell>
          <cell r="AS439">
            <v>525</v>
          </cell>
        </row>
        <row r="440">
          <cell r="B440" t="str">
            <v>AC</v>
          </cell>
          <cell r="C440" t="str">
            <v>IMP</v>
          </cell>
          <cell r="D440" t="str">
            <v>BT</v>
          </cell>
          <cell r="E440" t="str">
            <v>P3</v>
          </cell>
          <cell r="F440">
            <v>39924</v>
          </cell>
          <cell r="G440">
            <v>40001</v>
          </cell>
          <cell r="H440" t="str">
            <v>A0DPWW0</v>
          </cell>
          <cell r="I440" t="str">
            <v>3KMEK603USBHK</v>
          </cell>
          <cell r="J440" t="str">
            <v>x</v>
          </cell>
          <cell r="K440" t="str">
            <v>EK-603 USB Host Kit</v>
          </cell>
          <cell r="L440">
            <v>189</v>
          </cell>
          <cell r="M440">
            <v>61</v>
          </cell>
          <cell r="N440">
            <v>63.440000000000005</v>
          </cell>
          <cell r="O440">
            <v>-0.17647058823529421</v>
          </cell>
          <cell r="P440">
            <v>53.923999999999999</v>
          </cell>
          <cell r="Q440">
            <v>64.66</v>
          </cell>
          <cell r="R440">
            <v>73.069999999999993</v>
          </cell>
          <cell r="S440">
            <v>105</v>
          </cell>
          <cell r="T440">
            <v>0.39580952380952378</v>
          </cell>
          <cell r="U440">
            <v>81.311999999999998</v>
          </cell>
          <cell r="V440">
            <v>0.21979535615899243</v>
          </cell>
          <cell r="W440">
            <v>53.923999999999999</v>
          </cell>
          <cell r="X440">
            <v>0.51356190476190478</v>
          </cell>
          <cell r="Y440" t="str">
            <v>Act freight</v>
          </cell>
          <cell r="Z440">
            <v>0</v>
          </cell>
          <cell r="AA440">
            <v>65</v>
          </cell>
          <cell r="AB440">
            <v>54</v>
          </cell>
          <cell r="AC440">
            <v>60</v>
          </cell>
          <cell r="AD440">
            <v>64</v>
          </cell>
          <cell r="AE440">
            <v>66.569999999999993</v>
          </cell>
          <cell r="AF440">
            <v>0.18996544990235834</v>
          </cell>
          <cell r="AG440">
            <v>4.7018176355715618E-2</v>
          </cell>
          <cell r="AH440">
            <v>69</v>
          </cell>
          <cell r="AI440">
            <v>70</v>
          </cell>
          <cell r="AJ440">
            <v>0.22965714285714287</v>
          </cell>
          <cell r="AK440">
            <v>71</v>
          </cell>
          <cell r="AL440">
            <v>72</v>
          </cell>
          <cell r="AM440">
            <v>0.25105555555555559</v>
          </cell>
          <cell r="AN440">
            <v>82.09</v>
          </cell>
          <cell r="AO440">
            <v>92.18</v>
          </cell>
          <cell r="AP440">
            <v>102.27</v>
          </cell>
          <cell r="AQ440">
            <v>0</v>
          </cell>
          <cell r="AS440">
            <v>189</v>
          </cell>
        </row>
        <row r="441">
          <cell r="B441" t="str">
            <v>AC</v>
          </cell>
          <cell r="C441" t="str">
            <v>IMP</v>
          </cell>
          <cell r="D441" t="str">
            <v>BT</v>
          </cell>
          <cell r="E441" t="str">
            <v>P3</v>
          </cell>
          <cell r="F441">
            <v>39924</v>
          </cell>
          <cell r="G441">
            <v>40001</v>
          </cell>
          <cell r="H441" t="str">
            <v>A0DR0Y0</v>
          </cell>
          <cell r="I441" t="str">
            <v>6KMFS520STPFN_N</v>
          </cell>
          <cell r="J441">
            <v>0</v>
          </cell>
          <cell r="K441" t="str">
            <v>FS-520 staple FNS</v>
          </cell>
          <cell r="L441">
            <v>2993</v>
          </cell>
          <cell r="M441">
            <v>984</v>
          </cell>
          <cell r="N441">
            <v>1023.36</v>
          </cell>
          <cell r="O441">
            <v>-0.17647058823529413</v>
          </cell>
          <cell r="P441">
            <v>869.85599999999999</v>
          </cell>
          <cell r="Q441">
            <v>1043.04</v>
          </cell>
          <cell r="R441">
            <v>1178.6400000000001</v>
          </cell>
          <cell r="S441">
            <v>1589.1</v>
          </cell>
          <cell r="T441">
            <v>0.35601283745516327</v>
          </cell>
          <cell r="U441">
            <v>1230.5990399999998</v>
          </cell>
          <cell r="V441">
            <v>0.16840500704437397</v>
          </cell>
          <cell r="W441">
            <v>869.85599999999999</v>
          </cell>
          <cell r="X441">
            <v>0.54738908816311127</v>
          </cell>
          <cell r="Y441" t="str">
            <v>Act freight</v>
          </cell>
          <cell r="Z441">
            <v>0</v>
          </cell>
          <cell r="AA441">
            <v>1052</v>
          </cell>
          <cell r="AB441">
            <v>870</v>
          </cell>
          <cell r="AC441">
            <v>967</v>
          </cell>
          <cell r="AD441">
            <v>1021</v>
          </cell>
          <cell r="AE441">
            <v>1073.9000000000001</v>
          </cell>
          <cell r="AF441">
            <v>0.19000279355619712</v>
          </cell>
          <cell r="AG441">
            <v>4.7062110066114229E-2</v>
          </cell>
          <cell r="AH441">
            <v>1096</v>
          </cell>
          <cell r="AI441">
            <v>1117</v>
          </cell>
          <cell r="AJ441">
            <v>0.22125693822739481</v>
          </cell>
          <cell r="AK441">
            <v>1138.5</v>
          </cell>
          <cell r="AL441">
            <v>1160</v>
          </cell>
          <cell r="AM441">
            <v>0.2501241379310345</v>
          </cell>
          <cell r="AN441">
            <v>1323.05</v>
          </cell>
          <cell r="AO441">
            <v>1486.1</v>
          </cell>
          <cell r="AP441">
            <v>1649.15</v>
          </cell>
          <cell r="AQ441">
            <v>0</v>
          </cell>
          <cell r="AS441">
            <v>2993</v>
          </cell>
        </row>
        <row r="442">
          <cell r="B442" t="str">
            <v>AC</v>
          </cell>
          <cell r="C442" t="str">
            <v>IMP</v>
          </cell>
          <cell r="D442" t="str">
            <v>BT</v>
          </cell>
          <cell r="E442" t="str">
            <v>08</v>
          </cell>
          <cell r="F442">
            <v>39924</v>
          </cell>
          <cell r="G442">
            <v>40001</v>
          </cell>
          <cell r="H442" t="str">
            <v>A0DRWW0</v>
          </cell>
          <cell r="I442" t="str">
            <v>6KMFS520STPFN_N</v>
          </cell>
          <cell r="J442">
            <v>0</v>
          </cell>
          <cell r="K442" t="str">
            <v>FS-520 staple FNS</v>
          </cell>
          <cell r="L442">
            <v>2993</v>
          </cell>
          <cell r="M442">
            <v>984</v>
          </cell>
          <cell r="N442">
            <v>1023.36</v>
          </cell>
          <cell r="O442">
            <v>0.1950160468189541</v>
          </cell>
          <cell r="P442">
            <v>1271.28</v>
          </cell>
          <cell r="Q442">
            <v>1043.04</v>
          </cell>
          <cell r="R442">
            <v>1178.6400000000001</v>
          </cell>
          <cell r="S442">
            <v>1589.1</v>
          </cell>
          <cell r="T442">
            <v>0.35601283745516327</v>
          </cell>
          <cell r="U442">
            <v>1230.5990399999998</v>
          </cell>
          <cell r="V442">
            <v>0.16840500704437397</v>
          </cell>
          <cell r="W442">
            <v>1271.28</v>
          </cell>
          <cell r="X442">
            <v>0.8</v>
          </cell>
          <cell r="Y442" t="str">
            <v>Act freight</v>
          </cell>
          <cell r="Z442">
            <v>0</v>
          </cell>
          <cell r="AA442">
            <v>1538</v>
          </cell>
          <cell r="AB442">
            <v>1272</v>
          </cell>
          <cell r="AC442">
            <v>1413</v>
          </cell>
          <cell r="AD442">
            <v>1492</v>
          </cell>
          <cell r="AE442">
            <v>1569.48</v>
          </cell>
          <cell r="AF442">
            <v>0.18999923541555166</v>
          </cell>
          <cell r="AG442">
            <v>0.34796238244514105</v>
          </cell>
          <cell r="AH442">
            <v>1746</v>
          </cell>
          <cell r="AI442">
            <v>1921</v>
          </cell>
          <cell r="AJ442">
            <v>0.33821967725143154</v>
          </cell>
          <cell r="AK442">
            <v>2096</v>
          </cell>
          <cell r="AL442">
            <v>2271</v>
          </cell>
          <cell r="AM442">
            <v>0.44021136063408189</v>
          </cell>
          <cell r="AN442">
            <v>2451.5</v>
          </cell>
          <cell r="AO442">
            <v>2632</v>
          </cell>
          <cell r="AP442">
            <v>2812.5</v>
          </cell>
          <cell r="AQ442">
            <v>0</v>
          </cell>
          <cell r="AS442">
            <v>2993</v>
          </cell>
        </row>
        <row r="443">
          <cell r="B443" t="str">
            <v>AC</v>
          </cell>
          <cell r="C443" t="str">
            <v>IMP</v>
          </cell>
          <cell r="D443" t="str">
            <v>BT</v>
          </cell>
          <cell r="E443" t="str">
            <v>P3</v>
          </cell>
          <cell r="F443">
            <v>39924</v>
          </cell>
          <cell r="G443">
            <v>40190</v>
          </cell>
          <cell r="H443" t="str">
            <v>A0EN0Y0</v>
          </cell>
          <cell r="I443" t="str">
            <v>6KMADUAD505_N</v>
          </cell>
          <cell r="J443">
            <v>0</v>
          </cell>
          <cell r="K443" t="str">
            <v>AD-505 Automatic Duplex Unit</v>
          </cell>
          <cell r="L443">
            <v>231</v>
          </cell>
          <cell r="M443">
            <v>77</v>
          </cell>
          <cell r="N443">
            <v>80.08</v>
          </cell>
          <cell r="O443">
            <v>-0.17647058823529413</v>
          </cell>
          <cell r="P443">
            <v>68.067999999999998</v>
          </cell>
          <cell r="Q443">
            <v>81.62</v>
          </cell>
          <cell r="R443">
            <v>92.23</v>
          </cell>
          <cell r="S443">
            <v>126</v>
          </cell>
          <cell r="T443">
            <v>0.36444444444444446</v>
          </cell>
          <cell r="U443">
            <v>97.574399999999997</v>
          </cell>
          <cell r="V443">
            <v>0.17929292929292928</v>
          </cell>
          <cell r="W443">
            <v>68.067999999999998</v>
          </cell>
          <cell r="X443">
            <v>0.54022222222222216</v>
          </cell>
          <cell r="Y443" t="str">
            <v>Act freight</v>
          </cell>
          <cell r="Z443">
            <v>0</v>
          </cell>
          <cell r="AA443">
            <v>82</v>
          </cell>
          <cell r="AB443">
            <v>69</v>
          </cell>
          <cell r="AC443">
            <v>76</v>
          </cell>
          <cell r="AD443">
            <v>81</v>
          </cell>
          <cell r="AE443">
            <v>84.03</v>
          </cell>
          <cell r="AF443">
            <v>0.18995596810662863</v>
          </cell>
          <cell r="AG443">
            <v>4.7007021301916016E-2</v>
          </cell>
          <cell r="AH443">
            <v>87</v>
          </cell>
          <cell r="AI443">
            <v>88</v>
          </cell>
          <cell r="AJ443">
            <v>0.22650000000000003</v>
          </cell>
          <cell r="AK443">
            <v>89.5</v>
          </cell>
          <cell r="AL443">
            <v>91</v>
          </cell>
          <cell r="AM443">
            <v>0.252</v>
          </cell>
          <cell r="AN443">
            <v>103.7</v>
          </cell>
          <cell r="AO443">
            <v>116.4</v>
          </cell>
          <cell r="AP443">
            <v>129.1</v>
          </cell>
          <cell r="AQ443">
            <v>0</v>
          </cell>
          <cell r="AS443">
            <v>231</v>
          </cell>
        </row>
        <row r="444">
          <cell r="B444" t="str">
            <v>AC</v>
          </cell>
          <cell r="C444" t="str">
            <v>IMP</v>
          </cell>
          <cell r="D444" t="str">
            <v>BT</v>
          </cell>
          <cell r="E444" t="str">
            <v>P3</v>
          </cell>
          <cell r="F444">
            <v>39924</v>
          </cell>
          <cell r="G444">
            <v>40190</v>
          </cell>
          <cell r="H444" t="str">
            <v>A0EP0Y0</v>
          </cell>
          <cell r="I444" t="str">
            <v>3KMHMB502</v>
          </cell>
          <cell r="J444">
            <v>0</v>
          </cell>
          <cell r="K444" t="str">
            <v>MB-502 Multi Bypass Tray</v>
          </cell>
          <cell r="L444">
            <v>153</v>
          </cell>
          <cell r="M444">
            <v>51</v>
          </cell>
          <cell r="N444">
            <v>53.04</v>
          </cell>
          <cell r="O444">
            <v>-0.17647058823529421</v>
          </cell>
          <cell r="P444">
            <v>45.083999999999996</v>
          </cell>
          <cell r="Q444">
            <v>54.06</v>
          </cell>
          <cell r="R444">
            <v>61.09</v>
          </cell>
          <cell r="S444">
            <v>84</v>
          </cell>
          <cell r="T444">
            <v>0.36857142857142861</v>
          </cell>
          <cell r="U444">
            <v>65.049599999999998</v>
          </cell>
          <cell r="V444">
            <v>0.18462219598583235</v>
          </cell>
          <cell r="W444">
            <v>45.083999999999996</v>
          </cell>
          <cell r="X444">
            <v>0.5367142857142857</v>
          </cell>
          <cell r="Y444" t="str">
            <v>Act freight</v>
          </cell>
          <cell r="Z444">
            <v>0</v>
          </cell>
          <cell r="AA444">
            <v>55</v>
          </cell>
          <cell r="AB444">
            <v>46</v>
          </cell>
          <cell r="AC444">
            <v>51</v>
          </cell>
          <cell r="AD444">
            <v>54</v>
          </cell>
          <cell r="AE444">
            <v>55.66</v>
          </cell>
          <cell r="AF444">
            <v>0.19001077973409991</v>
          </cell>
          <cell r="AG444">
            <v>4.7071505569529243E-2</v>
          </cell>
          <cell r="AH444">
            <v>58</v>
          </cell>
          <cell r="AI444">
            <v>59</v>
          </cell>
          <cell r="AJ444">
            <v>0.23586440677966108</v>
          </cell>
          <cell r="AK444">
            <v>60</v>
          </cell>
          <cell r="AL444">
            <v>61</v>
          </cell>
          <cell r="AM444">
            <v>0.2609180327868853</v>
          </cell>
          <cell r="AN444">
            <v>69.23</v>
          </cell>
          <cell r="AO444">
            <v>77.459999999999994</v>
          </cell>
          <cell r="AP444">
            <v>85.69</v>
          </cell>
          <cell r="AQ444">
            <v>0</v>
          </cell>
          <cell r="AS444">
            <v>153</v>
          </cell>
        </row>
        <row r="445">
          <cell r="B445" t="str">
            <v>AC</v>
          </cell>
          <cell r="C445" t="str">
            <v>IMP</v>
          </cell>
          <cell r="D445" t="str">
            <v>BT</v>
          </cell>
          <cell r="E445" t="str">
            <v>P3</v>
          </cell>
          <cell r="F445">
            <v>39924</v>
          </cell>
          <cell r="G445">
            <v>40190</v>
          </cell>
          <cell r="H445" t="str">
            <v>A0ER0Y0</v>
          </cell>
          <cell r="I445" t="str">
            <v>3KMHOC508</v>
          </cell>
          <cell r="J445">
            <v>0</v>
          </cell>
          <cell r="K445" t="str">
            <v>OC-508 Original Cover</v>
          </cell>
          <cell r="L445">
            <v>89</v>
          </cell>
          <cell r="M445">
            <v>29</v>
          </cell>
          <cell r="N445">
            <v>30.16</v>
          </cell>
          <cell r="O445">
            <v>-0.17647058823529416</v>
          </cell>
          <cell r="P445">
            <v>25.635999999999999</v>
          </cell>
          <cell r="Q445">
            <v>30.74</v>
          </cell>
          <cell r="R445">
            <v>34.74</v>
          </cell>
          <cell r="S445">
            <v>45.9</v>
          </cell>
          <cell r="T445">
            <v>0.34291938997821347</v>
          </cell>
          <cell r="U445">
            <v>35.544959999999996</v>
          </cell>
          <cell r="V445">
            <v>0.15149714614955248</v>
          </cell>
          <cell r="W445">
            <v>25.635999999999999</v>
          </cell>
          <cell r="X445">
            <v>0.55851851851851853</v>
          </cell>
          <cell r="Y445" t="str">
            <v>Act freight</v>
          </cell>
          <cell r="Z445">
            <v>0</v>
          </cell>
          <cell r="AA445">
            <v>31</v>
          </cell>
          <cell r="AB445">
            <v>26</v>
          </cell>
          <cell r="AC445">
            <v>29</v>
          </cell>
          <cell r="AD445">
            <v>31</v>
          </cell>
          <cell r="AE445">
            <v>31.65</v>
          </cell>
          <cell r="AF445">
            <v>0.19001579778830963</v>
          </cell>
          <cell r="AG445">
            <v>4.7077409162717174E-2</v>
          </cell>
          <cell r="AH445">
            <v>33</v>
          </cell>
          <cell r="AI445">
            <v>34</v>
          </cell>
          <cell r="AJ445">
            <v>0.24600000000000002</v>
          </cell>
          <cell r="AK445">
            <v>34.5</v>
          </cell>
          <cell r="AL445">
            <v>35</v>
          </cell>
          <cell r="AM445">
            <v>0.26754285714285714</v>
          </cell>
          <cell r="AN445">
            <v>39.6</v>
          </cell>
          <cell r="AO445">
            <v>44.2</v>
          </cell>
          <cell r="AP445">
            <v>48.8</v>
          </cell>
          <cell r="AQ445">
            <v>0</v>
          </cell>
          <cell r="AS445">
            <v>89</v>
          </cell>
        </row>
        <row r="446">
          <cell r="B446" t="str">
            <v>AC</v>
          </cell>
          <cell r="C446" t="str">
            <v>IMP</v>
          </cell>
          <cell r="D446" t="str">
            <v>BT</v>
          </cell>
          <cell r="E446" t="str">
            <v>P3</v>
          </cell>
          <cell r="F446">
            <v>39924</v>
          </cell>
          <cell r="G446">
            <v>40190</v>
          </cell>
          <cell r="H446" t="str">
            <v>A0EY0Y0</v>
          </cell>
          <cell r="I446" t="str">
            <v>7KMRADFDF612_N</v>
          </cell>
          <cell r="J446">
            <v>0</v>
          </cell>
          <cell r="K446" t="str">
            <v>DF-612 RADF</v>
          </cell>
          <cell r="L446">
            <v>1418</v>
          </cell>
          <cell r="M446">
            <v>479</v>
          </cell>
          <cell r="N446">
            <v>498.16</v>
          </cell>
          <cell r="O446">
            <v>-0.17647058823529407</v>
          </cell>
          <cell r="P446">
            <v>423.43600000000004</v>
          </cell>
          <cell r="Q446">
            <v>507.74</v>
          </cell>
          <cell r="R446">
            <v>573.75</v>
          </cell>
          <cell r="S446">
            <v>787.5</v>
          </cell>
          <cell r="T446">
            <v>0.36741587301587297</v>
          </cell>
          <cell r="U446">
            <v>609.84</v>
          </cell>
          <cell r="V446">
            <v>0.1831300013118195</v>
          </cell>
          <cell r="W446">
            <v>423.43600000000004</v>
          </cell>
          <cell r="X446">
            <v>0.53769650793650803</v>
          </cell>
          <cell r="Y446" t="str">
            <v>Act freight</v>
          </cell>
          <cell r="Z446">
            <v>0</v>
          </cell>
          <cell r="AA446">
            <v>512</v>
          </cell>
          <cell r="AB446">
            <v>424</v>
          </cell>
          <cell r="AC446">
            <v>471</v>
          </cell>
          <cell r="AD446">
            <v>497</v>
          </cell>
          <cell r="AE446">
            <v>522.76</v>
          </cell>
          <cell r="AF446">
            <v>0.18999923483051487</v>
          </cell>
          <cell r="AG446">
            <v>4.7057923330017536E-2</v>
          </cell>
          <cell r="AH446">
            <v>534</v>
          </cell>
          <cell r="AI446">
            <v>544</v>
          </cell>
          <cell r="AJ446">
            <v>0.22162499999999993</v>
          </cell>
          <cell r="AK446">
            <v>554.5</v>
          </cell>
          <cell r="AL446">
            <v>565</v>
          </cell>
          <cell r="AM446">
            <v>0.25055575221238929</v>
          </cell>
          <cell r="AN446">
            <v>644.29</v>
          </cell>
          <cell r="AO446">
            <v>723.58</v>
          </cell>
          <cell r="AP446">
            <v>802.87</v>
          </cell>
          <cell r="AQ446">
            <v>0</v>
          </cell>
          <cell r="AS446">
            <v>1418</v>
          </cell>
        </row>
        <row r="447">
          <cell r="B447" t="str">
            <v>AC</v>
          </cell>
          <cell r="C447" t="str">
            <v>IMP</v>
          </cell>
          <cell r="D447" t="str">
            <v>BT</v>
          </cell>
          <cell r="E447" t="str">
            <v>P3</v>
          </cell>
          <cell r="F447">
            <v>39924</v>
          </cell>
          <cell r="G447">
            <v>40190</v>
          </cell>
          <cell r="H447" t="str">
            <v>A0F0010</v>
          </cell>
          <cell r="I447" t="str">
            <v>3KMKFK507</v>
          </cell>
          <cell r="J447">
            <v>0</v>
          </cell>
          <cell r="K447" t="str">
            <v>FK-507 Fax Kit</v>
          </cell>
          <cell r="L447">
            <v>1150</v>
          </cell>
          <cell r="M447">
            <v>357</v>
          </cell>
          <cell r="N447">
            <v>371.28000000000003</v>
          </cell>
          <cell r="O447">
            <v>-0.17647058823529413</v>
          </cell>
          <cell r="P447">
            <v>315.58800000000002</v>
          </cell>
          <cell r="Q447">
            <v>378.42</v>
          </cell>
          <cell r="R447">
            <v>427.61</v>
          </cell>
          <cell r="S447">
            <v>634.79999999999995</v>
          </cell>
          <cell r="T447">
            <v>0.41512287334593562</v>
          </cell>
          <cell r="U447">
            <v>491.58911999999992</v>
          </cell>
          <cell r="V447">
            <v>0.24473511537440029</v>
          </cell>
          <cell r="W447">
            <v>315.58800000000002</v>
          </cell>
          <cell r="X447">
            <v>0.4971455576559547</v>
          </cell>
          <cell r="Y447" t="str">
            <v>Act freight</v>
          </cell>
          <cell r="Z447">
            <v>0</v>
          </cell>
          <cell r="AA447">
            <v>382</v>
          </cell>
          <cell r="AB447">
            <v>316</v>
          </cell>
          <cell r="AC447">
            <v>351</v>
          </cell>
          <cell r="AD447">
            <v>371</v>
          </cell>
          <cell r="AE447">
            <v>389.61</v>
          </cell>
          <cell r="AF447">
            <v>0.18998998998998995</v>
          </cell>
          <cell r="AG447">
            <v>4.7047047047047007E-2</v>
          </cell>
          <cell r="AH447">
            <v>398</v>
          </cell>
          <cell r="AI447">
            <v>406</v>
          </cell>
          <cell r="AJ447">
            <v>0.22268965517241374</v>
          </cell>
          <cell r="AK447">
            <v>413.5</v>
          </cell>
          <cell r="AL447">
            <v>421</v>
          </cell>
          <cell r="AM447">
            <v>0.25038479809976244</v>
          </cell>
          <cell r="AN447">
            <v>480.12</v>
          </cell>
          <cell r="AO447">
            <v>539.24</v>
          </cell>
          <cell r="AP447">
            <v>598.36</v>
          </cell>
          <cell r="AQ447">
            <v>0</v>
          </cell>
          <cell r="AS447">
            <v>1150</v>
          </cell>
        </row>
        <row r="448">
          <cell r="B448" t="str">
            <v>AC</v>
          </cell>
          <cell r="C448" t="str">
            <v>IMP</v>
          </cell>
          <cell r="D448" t="str">
            <v>BT</v>
          </cell>
          <cell r="E448" t="str">
            <v>P3</v>
          </cell>
          <cell r="F448">
            <v>39924</v>
          </cell>
          <cell r="G448">
            <v>40190</v>
          </cell>
          <cell r="H448" t="str">
            <v>A0F10Y0</v>
          </cell>
          <cell r="I448" t="str">
            <v>3KMKML504</v>
          </cell>
          <cell r="J448">
            <v>0</v>
          </cell>
          <cell r="K448" t="str">
            <v>ML-504 Multi-Line Kit</v>
          </cell>
          <cell r="L448">
            <v>1103</v>
          </cell>
          <cell r="M448">
            <v>408</v>
          </cell>
          <cell r="N448">
            <v>424.32</v>
          </cell>
          <cell r="O448">
            <v>-0.17647058823529421</v>
          </cell>
          <cell r="P448">
            <v>360.67199999999997</v>
          </cell>
          <cell r="Q448">
            <v>432.48</v>
          </cell>
          <cell r="R448">
            <v>488.7</v>
          </cell>
          <cell r="S448">
            <v>628.5</v>
          </cell>
          <cell r="T448">
            <v>0.32486873508353226</v>
          </cell>
          <cell r="U448">
            <v>486.71039999999999</v>
          </cell>
          <cell r="V448">
            <v>0.12818793270084222</v>
          </cell>
          <cell r="W448">
            <v>360.67199999999997</v>
          </cell>
          <cell r="X448">
            <v>0.57386157517899761</v>
          </cell>
          <cell r="Y448" t="str">
            <v>Act freight</v>
          </cell>
          <cell r="Z448">
            <v>0</v>
          </cell>
          <cell r="AA448">
            <v>436</v>
          </cell>
          <cell r="AB448">
            <v>361</v>
          </cell>
          <cell r="AC448">
            <v>401</v>
          </cell>
          <cell r="AD448">
            <v>424</v>
          </cell>
          <cell r="AE448">
            <v>445.27</v>
          </cell>
          <cell r="AF448">
            <v>0.18999258876636652</v>
          </cell>
          <cell r="AG448">
            <v>4.7050104431019354E-2</v>
          </cell>
          <cell r="AH448">
            <v>455</v>
          </cell>
          <cell r="AI448">
            <v>464</v>
          </cell>
          <cell r="AJ448">
            <v>0.22268965517241385</v>
          </cell>
          <cell r="AK448">
            <v>472.5</v>
          </cell>
          <cell r="AL448">
            <v>481</v>
          </cell>
          <cell r="AM448">
            <v>0.25016216216216225</v>
          </cell>
          <cell r="AN448">
            <v>548.6</v>
          </cell>
          <cell r="AO448">
            <v>616.20000000000005</v>
          </cell>
          <cell r="AP448">
            <v>683.8</v>
          </cell>
          <cell r="AQ448">
            <v>0</v>
          </cell>
          <cell r="AS448">
            <v>1103</v>
          </cell>
        </row>
        <row r="449">
          <cell r="B449" t="str">
            <v>AC</v>
          </cell>
          <cell r="C449" t="str">
            <v>IMP</v>
          </cell>
          <cell r="D449" t="str">
            <v>BT</v>
          </cell>
          <cell r="E449" t="str">
            <v>P3</v>
          </cell>
          <cell r="F449">
            <v>39924</v>
          </cell>
          <cell r="G449">
            <v>40190</v>
          </cell>
          <cell r="H449" t="str">
            <v>A0F20Y0</v>
          </cell>
          <cell r="I449" t="str">
            <v>3KMHSP503</v>
          </cell>
          <cell r="J449">
            <v>0</v>
          </cell>
          <cell r="K449" t="str">
            <v>SP-503 Stamp Unit</v>
          </cell>
          <cell r="L449">
            <v>48</v>
          </cell>
          <cell r="M449">
            <v>12</v>
          </cell>
          <cell r="N449">
            <v>12.48</v>
          </cell>
          <cell r="O449">
            <v>-0.1764705882352941</v>
          </cell>
          <cell r="P449">
            <v>10.608000000000001</v>
          </cell>
          <cell r="Q449">
            <v>12.72</v>
          </cell>
          <cell r="R449">
            <v>14.37</v>
          </cell>
          <cell r="S449">
            <v>23</v>
          </cell>
          <cell r="T449">
            <v>0.45739130434782604</v>
          </cell>
          <cell r="U449">
            <v>17.811199999999999</v>
          </cell>
          <cell r="V449">
            <v>0.29931728350700676</v>
          </cell>
          <cell r="W449">
            <v>10.608000000000001</v>
          </cell>
          <cell r="X449">
            <v>0.46121739130434786</v>
          </cell>
          <cell r="Y449" t="str">
            <v>Act freight</v>
          </cell>
          <cell r="Z449">
            <v>0</v>
          </cell>
          <cell r="AA449">
            <v>13</v>
          </cell>
          <cell r="AB449">
            <v>11</v>
          </cell>
          <cell r="AC449">
            <v>12</v>
          </cell>
          <cell r="AD449">
            <v>13</v>
          </cell>
          <cell r="AE449">
            <v>13.1</v>
          </cell>
          <cell r="AF449">
            <v>0.19022900763358772</v>
          </cell>
          <cell r="AG449">
            <v>4.7328244274809105E-2</v>
          </cell>
          <cell r="AH449">
            <v>15</v>
          </cell>
          <cell r="AI449">
            <v>15</v>
          </cell>
          <cell r="AJ449">
            <v>0.29279999999999995</v>
          </cell>
          <cell r="AK449">
            <v>15</v>
          </cell>
          <cell r="AL449">
            <v>15</v>
          </cell>
          <cell r="AM449">
            <v>0.29279999999999995</v>
          </cell>
          <cell r="AN449">
            <v>16.78</v>
          </cell>
          <cell r="AO449">
            <v>18.559999999999999</v>
          </cell>
          <cell r="AP449">
            <v>20.34</v>
          </cell>
          <cell r="AQ449">
            <v>0</v>
          </cell>
          <cell r="AS449">
            <v>48</v>
          </cell>
        </row>
        <row r="450">
          <cell r="B450" t="str">
            <v>AC</v>
          </cell>
          <cell r="C450" t="str">
            <v>IMP</v>
          </cell>
          <cell r="D450" t="str">
            <v>BT</v>
          </cell>
          <cell r="E450" t="str">
            <v>P3</v>
          </cell>
          <cell r="F450">
            <v>39924</v>
          </cell>
          <cell r="G450">
            <v>40190</v>
          </cell>
          <cell r="H450" t="str">
            <v>A0F30Y0</v>
          </cell>
          <cell r="I450" t="str">
            <v>3KMHMS501</v>
          </cell>
          <cell r="J450">
            <v>0</v>
          </cell>
          <cell r="K450" t="str">
            <v>MS-501 Spare Stamp</v>
          </cell>
          <cell r="L450">
            <v>27</v>
          </cell>
          <cell r="M450">
            <v>7</v>
          </cell>
          <cell r="N450">
            <v>7.28</v>
          </cell>
          <cell r="O450">
            <v>-0.17647058823529421</v>
          </cell>
          <cell r="P450">
            <v>6.1879999999999997</v>
          </cell>
          <cell r="Q450">
            <v>7.42</v>
          </cell>
          <cell r="R450">
            <v>8.3800000000000008</v>
          </cell>
          <cell r="S450">
            <v>13.7</v>
          </cell>
          <cell r="T450">
            <v>0.46861313868613136</v>
          </cell>
          <cell r="U450">
            <v>10.609279999999998</v>
          </cell>
          <cell r="V450">
            <v>0.31380828859262822</v>
          </cell>
          <cell r="W450">
            <v>6.1879999999999997</v>
          </cell>
          <cell r="X450">
            <v>0.45167883211678833</v>
          </cell>
          <cell r="Y450" t="str">
            <v>Act freight</v>
          </cell>
          <cell r="Z450">
            <v>0</v>
          </cell>
          <cell r="AA450">
            <v>7</v>
          </cell>
          <cell r="AB450">
            <v>7</v>
          </cell>
          <cell r="AC450">
            <v>7</v>
          </cell>
          <cell r="AD450">
            <v>8</v>
          </cell>
          <cell r="AE450">
            <v>7.64</v>
          </cell>
          <cell r="AF450">
            <v>0.19005235602094242</v>
          </cell>
          <cell r="AG450">
            <v>4.7120418848167464E-2</v>
          </cell>
          <cell r="AH450">
            <v>9</v>
          </cell>
          <cell r="AI450">
            <v>9</v>
          </cell>
          <cell r="AJ450">
            <v>0.31244444444444447</v>
          </cell>
          <cell r="AK450">
            <v>9</v>
          </cell>
          <cell r="AL450">
            <v>9</v>
          </cell>
          <cell r="AM450">
            <v>0.31244444444444447</v>
          </cell>
          <cell r="AN450">
            <v>9.9700000000000006</v>
          </cell>
          <cell r="AO450">
            <v>10.94</v>
          </cell>
          <cell r="AP450">
            <v>11.91</v>
          </cell>
          <cell r="AQ450">
            <v>0</v>
          </cell>
          <cell r="AS450">
            <v>27</v>
          </cell>
        </row>
        <row r="451">
          <cell r="B451" t="str">
            <v>AC</v>
          </cell>
          <cell r="C451" t="str">
            <v>IMP</v>
          </cell>
          <cell r="D451" t="str">
            <v>BT</v>
          </cell>
          <cell r="E451" t="str">
            <v>P3</v>
          </cell>
          <cell r="F451">
            <v>39924</v>
          </cell>
          <cell r="G451">
            <v>40190</v>
          </cell>
          <cell r="H451" t="str">
            <v>A0F40Y0</v>
          </cell>
          <cell r="I451" t="str">
            <v>3KMMEM310</v>
          </cell>
          <cell r="J451">
            <v>0</v>
          </cell>
          <cell r="K451" t="str">
            <v>EM-310 Expanded Memory Unit</v>
          </cell>
          <cell r="L451">
            <v>192</v>
          </cell>
          <cell r="M451">
            <v>77</v>
          </cell>
          <cell r="N451">
            <v>80.08</v>
          </cell>
          <cell r="O451">
            <v>-0.17647058823529413</v>
          </cell>
          <cell r="P451">
            <v>68.067999999999998</v>
          </cell>
          <cell r="Q451">
            <v>81.62</v>
          </cell>
          <cell r="R451">
            <v>92.23</v>
          </cell>
          <cell r="S451">
            <v>105</v>
          </cell>
          <cell r="T451">
            <v>0.23733333333333334</v>
          </cell>
          <cell r="U451">
            <v>90.3</v>
          </cell>
          <cell r="V451">
            <v>0.1131782945736434</v>
          </cell>
          <cell r="W451">
            <v>68.067999999999998</v>
          </cell>
          <cell r="X451">
            <v>0.64826666666666666</v>
          </cell>
          <cell r="Y451" t="str">
            <v>Act freight</v>
          </cell>
          <cell r="Z451">
            <v>0</v>
          </cell>
          <cell r="AA451">
            <v>82</v>
          </cell>
          <cell r="AB451">
            <v>69</v>
          </cell>
          <cell r="AC451">
            <v>76</v>
          </cell>
          <cell r="AD451">
            <v>81</v>
          </cell>
          <cell r="AE451">
            <v>84.03</v>
          </cell>
          <cell r="AF451">
            <v>0.18995596810662863</v>
          </cell>
          <cell r="AG451">
            <v>4.7007021301916016E-2</v>
          </cell>
          <cell r="AH451">
            <v>87</v>
          </cell>
          <cell r="AI451">
            <v>88</v>
          </cell>
          <cell r="AJ451">
            <v>0.22650000000000003</v>
          </cell>
          <cell r="AK451">
            <v>89.5</v>
          </cell>
          <cell r="AL451">
            <v>91</v>
          </cell>
          <cell r="AM451">
            <v>0.252</v>
          </cell>
          <cell r="AN451">
            <v>103.7</v>
          </cell>
          <cell r="AO451">
            <v>116.4</v>
          </cell>
          <cell r="AP451">
            <v>129.1</v>
          </cell>
          <cell r="AQ451">
            <v>0</v>
          </cell>
          <cell r="AR451">
            <v>200</v>
          </cell>
          <cell r="AS451">
            <v>192</v>
          </cell>
        </row>
        <row r="452">
          <cell r="B452" t="str">
            <v>AC</v>
          </cell>
          <cell r="C452" t="str">
            <v>IMP</v>
          </cell>
          <cell r="D452" t="str">
            <v>BT</v>
          </cell>
          <cell r="E452" t="str">
            <v>P3</v>
          </cell>
          <cell r="F452">
            <v>39924</v>
          </cell>
          <cell r="G452">
            <v>40085</v>
          </cell>
          <cell r="H452" t="str">
            <v>A0GYWY1</v>
          </cell>
          <cell r="I452" t="str">
            <v>6KMFS521_N</v>
          </cell>
          <cell r="J452">
            <v>0</v>
          </cell>
          <cell r="K452" t="str">
            <v>FS-521 100 Sheet Stapling Finisher</v>
          </cell>
          <cell r="L452">
            <v>7140</v>
          </cell>
          <cell r="M452">
            <v>2356</v>
          </cell>
          <cell r="N452">
            <v>2450.2400000000002</v>
          </cell>
          <cell r="O452">
            <v>-0.17647058823529413</v>
          </cell>
          <cell r="P452">
            <v>2082.7040000000002</v>
          </cell>
          <cell r="Q452">
            <v>2497.36</v>
          </cell>
          <cell r="R452">
            <v>2822.02</v>
          </cell>
          <cell r="S452">
            <v>3595.4</v>
          </cell>
          <cell r="T452">
            <v>0.31850698114257103</v>
          </cell>
          <cell r="U452">
            <v>2784.2777599999999</v>
          </cell>
          <cell r="V452">
            <v>0.11997285788038609</v>
          </cell>
          <cell r="W452">
            <v>2082.7040000000002</v>
          </cell>
          <cell r="X452">
            <v>0.57926906602881467</v>
          </cell>
          <cell r="Y452" t="str">
            <v>Act freight</v>
          </cell>
          <cell r="Z452">
            <v>0</v>
          </cell>
          <cell r="AA452">
            <v>2520</v>
          </cell>
          <cell r="AB452">
            <v>2083</v>
          </cell>
          <cell r="AC452">
            <v>2315</v>
          </cell>
          <cell r="AD452">
            <v>2444</v>
          </cell>
          <cell r="AE452">
            <v>2571.2399999999998</v>
          </cell>
          <cell r="AF452">
            <v>0.19000015556696367</v>
          </cell>
          <cell r="AG452">
            <v>4.7059006549369002E-2</v>
          </cell>
          <cell r="AH452">
            <v>2624</v>
          </cell>
          <cell r="AI452">
            <v>2675</v>
          </cell>
          <cell r="AJ452">
            <v>0.22141906542056067</v>
          </cell>
          <cell r="AK452">
            <v>2726</v>
          </cell>
          <cell r="AL452">
            <v>2777</v>
          </cell>
          <cell r="AM452">
            <v>0.25001656463809863</v>
          </cell>
          <cell r="AN452">
            <v>3167.49</v>
          </cell>
          <cell r="AO452">
            <v>3557.98</v>
          </cell>
          <cell r="AP452">
            <v>3948.47</v>
          </cell>
          <cell r="AQ452">
            <v>0</v>
          </cell>
          <cell r="AS452">
            <v>7140</v>
          </cell>
        </row>
        <row r="453">
          <cell r="B453" t="str">
            <v>AC</v>
          </cell>
          <cell r="C453" t="str">
            <v>IMP</v>
          </cell>
          <cell r="D453" t="str">
            <v>BT</v>
          </cell>
          <cell r="E453" t="str">
            <v>08</v>
          </cell>
          <cell r="F453">
            <v>39924</v>
          </cell>
          <cell r="G453">
            <v>40001</v>
          </cell>
          <cell r="H453" t="str">
            <v>A0H0W11</v>
          </cell>
          <cell r="I453" t="str">
            <v>6KMFD503_N</v>
          </cell>
          <cell r="J453">
            <v>0</v>
          </cell>
          <cell r="K453" t="str">
            <v>FD-503 Multi Folding Unit with 2-3 Hole Punch and Post Inserter</v>
          </cell>
          <cell r="L453">
            <v>17850</v>
          </cell>
          <cell r="M453">
            <v>5049</v>
          </cell>
          <cell r="N453">
            <v>5250.96</v>
          </cell>
          <cell r="O453">
            <v>0.21980529900509926</v>
          </cell>
          <cell r="P453">
            <v>6730.32</v>
          </cell>
          <cell r="Q453">
            <v>5351.94</v>
          </cell>
          <cell r="R453">
            <v>6047.69</v>
          </cell>
          <cell r="S453">
            <v>8412.9</v>
          </cell>
          <cell r="T453">
            <v>0.37584423920407944</v>
          </cell>
          <cell r="U453">
            <v>6514.9497599999995</v>
          </cell>
          <cell r="V453">
            <v>0.19401373864163146</v>
          </cell>
          <cell r="W453">
            <v>6730.32</v>
          </cell>
          <cell r="X453">
            <v>0.8</v>
          </cell>
          <cell r="Y453" t="str">
            <v>Act freight</v>
          </cell>
          <cell r="Z453">
            <v>0</v>
          </cell>
          <cell r="AA453">
            <v>8143</v>
          </cell>
          <cell r="AB453">
            <v>6731</v>
          </cell>
          <cell r="AC453">
            <v>7479</v>
          </cell>
          <cell r="AD453">
            <v>7895</v>
          </cell>
          <cell r="AE453">
            <v>8309.0400000000009</v>
          </cell>
          <cell r="AF453">
            <v>0.19000028884203241</v>
          </cell>
          <cell r="AG453">
            <v>0.3680425175471535</v>
          </cell>
          <cell r="AH453">
            <v>9238</v>
          </cell>
          <cell r="AI453">
            <v>10165</v>
          </cell>
          <cell r="AJ453">
            <v>0.33789276930644369</v>
          </cell>
          <cell r="AK453">
            <v>11092</v>
          </cell>
          <cell r="AL453">
            <v>12019</v>
          </cell>
          <cell r="AM453">
            <v>0.44002662451119062</v>
          </cell>
          <cell r="AN453">
            <v>13476.75</v>
          </cell>
          <cell r="AO453">
            <v>14934.5</v>
          </cell>
          <cell r="AP453">
            <v>16392.25</v>
          </cell>
          <cell r="AQ453">
            <v>0</v>
          </cell>
          <cell r="AS453">
            <v>17850</v>
          </cell>
        </row>
        <row r="454">
          <cell r="B454" t="str">
            <v>AC</v>
          </cell>
          <cell r="C454" t="str">
            <v>IMP</v>
          </cell>
          <cell r="D454" t="str">
            <v>BT</v>
          </cell>
          <cell r="E454" t="str">
            <v>08</v>
          </cell>
          <cell r="F454">
            <v>39924</v>
          </cell>
          <cell r="G454">
            <v>40135</v>
          </cell>
          <cell r="H454" t="str">
            <v>A0H1W11</v>
          </cell>
          <cell r="I454" t="str">
            <v>6KMLS505_N</v>
          </cell>
          <cell r="J454" t="str">
            <v>DNU</v>
          </cell>
          <cell r="K454" t="str">
            <v>LS-505 Large Capacity Stacker</v>
          </cell>
          <cell r="L454">
            <v>17325</v>
          </cell>
          <cell r="M454">
            <v>6732</v>
          </cell>
          <cell r="N454">
            <v>7001.2800000000007</v>
          </cell>
          <cell r="O454">
            <v>6.5009989209516894E-2</v>
          </cell>
          <cell r="P454">
            <v>7488.08</v>
          </cell>
          <cell r="Q454">
            <v>7135.92</v>
          </cell>
          <cell r="R454">
            <v>8063.59</v>
          </cell>
          <cell r="S454">
            <v>9360.1</v>
          </cell>
          <cell r="T454">
            <v>0.25200799136761354</v>
          </cell>
          <cell r="U454">
            <v>8049.6860000000006</v>
          </cell>
          <cell r="V454">
            <v>0.13024185042745764</v>
          </cell>
          <cell r="W454">
            <v>7488.08</v>
          </cell>
          <cell r="X454">
            <v>0.79999999999999993</v>
          </cell>
          <cell r="Y454" t="str">
            <v>Act freight</v>
          </cell>
          <cell r="Z454">
            <v>0</v>
          </cell>
          <cell r="AA454">
            <v>9060</v>
          </cell>
          <cell r="AB454">
            <v>7489</v>
          </cell>
          <cell r="AC454">
            <v>8321</v>
          </cell>
          <cell r="AD454">
            <v>8783</v>
          </cell>
          <cell r="AE454">
            <v>9244.5400000000009</v>
          </cell>
          <cell r="AF454">
            <v>0.18999971875290719</v>
          </cell>
          <cell r="AG454">
            <v>0.24265782829648636</v>
          </cell>
          <cell r="AH454">
            <v>10277</v>
          </cell>
          <cell r="AI454">
            <v>11309</v>
          </cell>
          <cell r="AJ454">
            <v>0.33786541692457334</v>
          </cell>
          <cell r="AK454">
            <v>12340.5</v>
          </cell>
          <cell r="AL454">
            <v>13372</v>
          </cell>
          <cell r="AM454">
            <v>0.44001794795094229</v>
          </cell>
          <cell r="AN454">
            <v>14360.25</v>
          </cell>
          <cell r="AO454">
            <v>15348.5</v>
          </cell>
          <cell r="AP454">
            <v>16336.75</v>
          </cell>
          <cell r="AQ454">
            <v>0</v>
          </cell>
          <cell r="AS454">
            <v>17325</v>
          </cell>
        </row>
        <row r="455">
          <cell r="B455" t="str">
            <v>AC</v>
          </cell>
          <cell r="C455" t="str">
            <v>IMP</v>
          </cell>
          <cell r="D455" t="str">
            <v>BT</v>
          </cell>
          <cell r="E455" t="str">
            <v>08</v>
          </cell>
          <cell r="F455">
            <v>39924</v>
          </cell>
          <cell r="G455">
            <v>40001</v>
          </cell>
          <cell r="H455" t="str">
            <v>A0H2WY1</v>
          </cell>
          <cell r="I455" t="str">
            <v>6KMSD506_N</v>
          </cell>
          <cell r="J455">
            <v>0</v>
          </cell>
          <cell r="K455" t="str">
            <v>SD-506 Saddle Stitch Finisher</v>
          </cell>
          <cell r="L455">
            <v>26250</v>
          </cell>
          <cell r="M455">
            <v>9384</v>
          </cell>
          <cell r="N455">
            <v>9759.36</v>
          </cell>
          <cell r="O455">
            <v>0.10078502192901634</v>
          </cell>
          <cell r="P455">
            <v>10853.2</v>
          </cell>
          <cell r="Q455">
            <v>9947.0400000000009</v>
          </cell>
          <cell r="R455">
            <v>11240.16</v>
          </cell>
          <cell r="S455">
            <v>13566.5</v>
          </cell>
          <cell r="T455">
            <v>0.28062801754321304</v>
          </cell>
          <cell r="U455">
            <v>10505.8976</v>
          </cell>
          <cell r="V455">
            <v>7.1058906951463108E-2</v>
          </cell>
          <cell r="W455">
            <v>10853.2</v>
          </cell>
          <cell r="X455">
            <v>0.8</v>
          </cell>
          <cell r="Y455" t="str">
            <v>Act freight</v>
          </cell>
          <cell r="Z455">
            <v>0</v>
          </cell>
          <cell r="AA455">
            <v>13131</v>
          </cell>
          <cell r="AB455">
            <v>10854</v>
          </cell>
          <cell r="AC455">
            <v>12060</v>
          </cell>
          <cell r="AD455">
            <v>12730</v>
          </cell>
          <cell r="AE455">
            <v>13399.01</v>
          </cell>
          <cell r="AF455">
            <v>0.18999985819847881</v>
          </cell>
          <cell r="AG455">
            <v>0.27163574025245146</v>
          </cell>
          <cell r="AH455">
            <v>14896</v>
          </cell>
          <cell r="AI455">
            <v>16391</v>
          </cell>
          <cell r="AJ455">
            <v>0.33785614056494412</v>
          </cell>
          <cell r="AK455">
            <v>17886</v>
          </cell>
          <cell r="AL455">
            <v>19381</v>
          </cell>
          <cell r="AM455">
            <v>0.44000825550797168</v>
          </cell>
          <cell r="AN455">
            <v>21098.25</v>
          </cell>
          <cell r="AO455">
            <v>22815.5</v>
          </cell>
          <cell r="AP455">
            <v>24532.75</v>
          </cell>
          <cell r="AQ455">
            <v>0</v>
          </cell>
          <cell r="AS455">
            <v>26250</v>
          </cell>
        </row>
        <row r="456">
          <cell r="B456" t="str">
            <v>AC</v>
          </cell>
          <cell r="C456" t="str">
            <v>IMP</v>
          </cell>
          <cell r="D456" t="str">
            <v>BT</v>
          </cell>
          <cell r="E456" t="str">
            <v>08</v>
          </cell>
          <cell r="F456">
            <v>39924</v>
          </cell>
          <cell r="G456">
            <v>40001</v>
          </cell>
          <cell r="H456" t="str">
            <v>A0HN0Y1</v>
          </cell>
          <cell r="I456" t="str">
            <v>6KMFS522BF_N</v>
          </cell>
          <cell r="J456">
            <v>0</v>
          </cell>
          <cell r="K456" t="str">
            <v>FS-522 Base Finisher</v>
          </cell>
          <cell r="L456">
            <v>1575</v>
          </cell>
          <cell r="M456">
            <v>541</v>
          </cell>
          <cell r="N456">
            <v>562.64</v>
          </cell>
          <cell r="O456">
            <v>0.21664067721096014</v>
          </cell>
          <cell r="P456">
            <v>718.24</v>
          </cell>
          <cell r="Q456">
            <v>573.46</v>
          </cell>
          <cell r="R456">
            <v>648.01</v>
          </cell>
          <cell r="S456">
            <v>897.8</v>
          </cell>
          <cell r="T456">
            <v>0.3733125417687681</v>
          </cell>
          <cell r="U456">
            <v>695.25631999999996</v>
          </cell>
          <cell r="V456">
            <v>0.19074450125099185</v>
          </cell>
          <cell r="W456">
            <v>718.24</v>
          </cell>
          <cell r="X456">
            <v>0.8</v>
          </cell>
          <cell r="Y456" t="str">
            <v>Act freight</v>
          </cell>
          <cell r="Z456">
            <v>0</v>
          </cell>
          <cell r="AA456">
            <v>869</v>
          </cell>
          <cell r="AB456">
            <v>719</v>
          </cell>
          <cell r="AC456">
            <v>799</v>
          </cell>
          <cell r="AD456">
            <v>843</v>
          </cell>
          <cell r="AE456">
            <v>886.72</v>
          </cell>
          <cell r="AF456">
            <v>0.19000360880548539</v>
          </cell>
          <cell r="AG456">
            <v>0.36548177553229882</v>
          </cell>
          <cell r="AH456">
            <v>986</v>
          </cell>
          <cell r="AI456">
            <v>1085</v>
          </cell>
          <cell r="AJ456">
            <v>0.33802764976958527</v>
          </cell>
          <cell r="AK456">
            <v>1184</v>
          </cell>
          <cell r="AL456">
            <v>1283</v>
          </cell>
          <cell r="AM456">
            <v>0.44018706157443493</v>
          </cell>
          <cell r="AN456">
            <v>1356</v>
          </cell>
          <cell r="AO456">
            <v>1429</v>
          </cell>
          <cell r="AP456">
            <v>1502</v>
          </cell>
          <cell r="AQ456">
            <v>0</v>
          </cell>
          <cell r="AS456">
            <v>1575</v>
          </cell>
        </row>
        <row r="457">
          <cell r="B457" t="str">
            <v>AC</v>
          </cell>
          <cell r="C457" t="str">
            <v>IMP</v>
          </cell>
          <cell r="D457" t="str">
            <v>BT</v>
          </cell>
          <cell r="E457" t="str">
            <v>08</v>
          </cell>
          <cell r="F457">
            <v>39924</v>
          </cell>
          <cell r="G457">
            <v>40001</v>
          </cell>
          <cell r="H457" t="str">
            <v>A0HNW22</v>
          </cell>
          <cell r="I457" t="str">
            <v>6KMFS530_N</v>
          </cell>
          <cell r="J457">
            <v>0</v>
          </cell>
          <cell r="K457" t="str">
            <v>FS-530 Base Finisher</v>
          </cell>
          <cell r="L457">
            <v>1575</v>
          </cell>
          <cell r="M457">
            <v>541</v>
          </cell>
          <cell r="N457">
            <v>562.64</v>
          </cell>
          <cell r="O457">
            <v>0.19979519854363412</v>
          </cell>
          <cell r="P457">
            <v>703.12</v>
          </cell>
          <cell r="Q457">
            <v>573.46</v>
          </cell>
          <cell r="R457">
            <v>648.01</v>
          </cell>
          <cell r="S457">
            <v>878.9</v>
          </cell>
          <cell r="T457">
            <v>0.35983615883490727</v>
          </cell>
          <cell r="U457">
            <v>680.62015999999994</v>
          </cell>
          <cell r="V457">
            <v>0.17334214725582028</v>
          </cell>
          <cell r="W457">
            <v>703.12</v>
          </cell>
          <cell r="X457">
            <v>0.8</v>
          </cell>
          <cell r="Y457" t="str">
            <v>Act freight</v>
          </cell>
          <cell r="Z457">
            <v>0</v>
          </cell>
          <cell r="AA457">
            <v>851</v>
          </cell>
          <cell r="AB457">
            <v>704</v>
          </cell>
          <cell r="AC457">
            <v>782</v>
          </cell>
          <cell r="AD457">
            <v>826</v>
          </cell>
          <cell r="AE457">
            <v>868.05</v>
          </cell>
          <cell r="AF457">
            <v>0.19000057600368639</v>
          </cell>
          <cell r="AG457">
            <v>0.35183457174125915</v>
          </cell>
          <cell r="AH457">
            <v>966</v>
          </cell>
          <cell r="AI457">
            <v>1063</v>
          </cell>
          <cell r="AJ457">
            <v>0.33855126999059265</v>
          </cell>
          <cell r="AK457">
            <v>1159.5</v>
          </cell>
          <cell r="AL457">
            <v>1256</v>
          </cell>
          <cell r="AM457">
            <v>0.44019108280254776</v>
          </cell>
          <cell r="AN457">
            <v>1335.75</v>
          </cell>
          <cell r="AO457">
            <v>1415.5</v>
          </cell>
          <cell r="AP457">
            <v>1495.25</v>
          </cell>
          <cell r="AQ457">
            <v>0</v>
          </cell>
          <cell r="AS457">
            <v>1575</v>
          </cell>
        </row>
        <row r="458">
          <cell r="B458" t="str">
            <v>AC</v>
          </cell>
          <cell r="C458" t="str">
            <v>IMP</v>
          </cell>
          <cell r="D458" t="str">
            <v>BT</v>
          </cell>
          <cell r="E458" t="str">
            <v>08</v>
          </cell>
          <cell r="F458">
            <v>39924</v>
          </cell>
          <cell r="G458">
            <v>40114</v>
          </cell>
          <cell r="H458" t="str">
            <v>A0N9W11</v>
          </cell>
          <cell r="I458" t="str">
            <v>6KMGP501_N</v>
          </cell>
          <cell r="J458">
            <v>0</v>
          </cell>
          <cell r="K458" t="str">
            <v>GP-501 GBC Punch Unit (punch dies sold separately)</v>
          </cell>
          <cell r="L458">
            <v>17115</v>
          </cell>
          <cell r="M458">
            <v>5610</v>
          </cell>
          <cell r="N458">
            <v>5834.4000000000005</v>
          </cell>
          <cell r="O458">
            <v>0.12637757546717765</v>
          </cell>
          <cell r="P458">
            <v>6678.4</v>
          </cell>
          <cell r="Q458">
            <v>5946.6</v>
          </cell>
          <cell r="R458">
            <v>6719.66</v>
          </cell>
          <cell r="S458">
            <v>8348</v>
          </cell>
          <cell r="T458">
            <v>0.30110206037374215</v>
          </cell>
          <cell r="U458">
            <v>6464.6912000000002</v>
          </cell>
          <cell r="V458">
            <v>9.7497495317332344E-2</v>
          </cell>
          <cell r="W458">
            <v>6678.4</v>
          </cell>
          <cell r="X458">
            <v>0.79999999999999993</v>
          </cell>
          <cell r="Y458" t="str">
            <v>Act freight</v>
          </cell>
          <cell r="Z458">
            <v>0</v>
          </cell>
          <cell r="AA458">
            <v>8080</v>
          </cell>
          <cell r="AB458">
            <v>6679</v>
          </cell>
          <cell r="AC458">
            <v>7421</v>
          </cell>
          <cell r="AD458">
            <v>7833</v>
          </cell>
          <cell r="AE458">
            <v>8244.94</v>
          </cell>
          <cell r="AF458">
            <v>0.19000016980111448</v>
          </cell>
          <cell r="AG458">
            <v>0.29236598447047518</v>
          </cell>
          <cell r="AH458">
            <v>9166</v>
          </cell>
          <cell r="AI458">
            <v>10086</v>
          </cell>
          <cell r="AJ458">
            <v>0.33785445171524892</v>
          </cell>
          <cell r="AK458">
            <v>11006</v>
          </cell>
          <cell r="AL458">
            <v>11926</v>
          </cell>
          <cell r="AM458">
            <v>0.44001341606573874</v>
          </cell>
          <cell r="AN458">
            <v>13223.25</v>
          </cell>
          <cell r="AO458">
            <v>14520.5</v>
          </cell>
          <cell r="AP458">
            <v>15817.75</v>
          </cell>
          <cell r="AQ458">
            <v>0</v>
          </cell>
          <cell r="AS458">
            <v>17115</v>
          </cell>
        </row>
        <row r="459">
          <cell r="B459" t="str">
            <v>AC</v>
          </cell>
          <cell r="C459" t="str">
            <v>IMP</v>
          </cell>
          <cell r="D459" t="str">
            <v>BT</v>
          </cell>
          <cell r="E459" t="str">
            <v>08</v>
          </cell>
          <cell r="F459">
            <v>39924</v>
          </cell>
          <cell r="G459">
            <v>40001</v>
          </cell>
          <cell r="H459" t="str">
            <v>A0P4WY1</v>
          </cell>
          <cell r="I459" t="str">
            <v>3KMKEK703USBIFK</v>
          </cell>
          <cell r="J459">
            <v>0</v>
          </cell>
          <cell r="K459" t="str">
            <v>EK-703 Local Interface Kit</v>
          </cell>
          <cell r="L459">
            <v>263</v>
          </cell>
          <cell r="M459">
            <v>97</v>
          </cell>
          <cell r="N459">
            <v>100.88000000000001</v>
          </cell>
          <cell r="O459">
            <v>0.15764863059452233</v>
          </cell>
          <cell r="P459">
            <v>119.76</v>
          </cell>
          <cell r="Q459">
            <v>102.82</v>
          </cell>
          <cell r="R459">
            <v>116.19</v>
          </cell>
          <cell r="S459">
            <v>149.69999999999999</v>
          </cell>
          <cell r="T459">
            <v>0.32611890447561781</v>
          </cell>
          <cell r="U459">
            <v>115.92767999999998</v>
          </cell>
          <cell r="V459">
            <v>0.12980230433318404</v>
          </cell>
          <cell r="W459">
            <v>119.76</v>
          </cell>
          <cell r="X459">
            <v>0.8</v>
          </cell>
          <cell r="Y459" t="str">
            <v>Act freight</v>
          </cell>
          <cell r="Z459">
            <v>0</v>
          </cell>
          <cell r="AA459">
            <v>145</v>
          </cell>
          <cell r="AB459">
            <v>120</v>
          </cell>
          <cell r="AC459">
            <v>134</v>
          </cell>
          <cell r="AD459">
            <v>141</v>
          </cell>
          <cell r="AE459">
            <v>147.85</v>
          </cell>
          <cell r="AF459">
            <v>0.18998985458234691</v>
          </cell>
          <cell r="AG459">
            <v>0.31768684477510983</v>
          </cell>
          <cell r="AH459">
            <v>165</v>
          </cell>
          <cell r="AI459">
            <v>181</v>
          </cell>
          <cell r="AJ459">
            <v>0.33834254143646408</v>
          </cell>
          <cell r="AK459">
            <v>197.5</v>
          </cell>
          <cell r="AL459">
            <v>214</v>
          </cell>
          <cell r="AM459">
            <v>0.44037383177570089</v>
          </cell>
          <cell r="AN459">
            <v>226.25</v>
          </cell>
          <cell r="AO459">
            <v>238.5</v>
          </cell>
          <cell r="AP459">
            <v>250.75</v>
          </cell>
          <cell r="AQ459">
            <v>0</v>
          </cell>
          <cell r="AS459">
            <v>263</v>
          </cell>
        </row>
        <row r="460">
          <cell r="B460" t="str">
            <v>AC</v>
          </cell>
          <cell r="C460" t="str">
            <v>IMP</v>
          </cell>
          <cell r="D460" t="str">
            <v>BT</v>
          </cell>
          <cell r="E460" t="str">
            <v>08</v>
          </cell>
          <cell r="F460">
            <v>39924</v>
          </cell>
          <cell r="G460">
            <v>40001</v>
          </cell>
          <cell r="H460" t="str">
            <v>A0P50Y1</v>
          </cell>
          <cell r="I460" t="str">
            <v>3KMKMK716</v>
          </cell>
          <cell r="J460">
            <v>0</v>
          </cell>
          <cell r="K460" t="str">
            <v>MK-716 Mount Kit</v>
          </cell>
          <cell r="L460">
            <v>200</v>
          </cell>
          <cell r="M460">
            <v>92</v>
          </cell>
          <cell r="N460">
            <v>95.68</v>
          </cell>
          <cell r="O460">
            <v>9.9337748344370206E-3</v>
          </cell>
          <cell r="P460">
            <v>96.64</v>
          </cell>
          <cell r="Q460">
            <v>97.52</v>
          </cell>
          <cell r="R460">
            <v>110.2</v>
          </cell>
          <cell r="S460">
            <v>120.8</v>
          </cell>
          <cell r="T460">
            <v>0.2079470198675496</v>
          </cell>
          <cell r="U460">
            <v>103.88799999999999</v>
          </cell>
          <cell r="V460">
            <v>7.9008162636685517E-2</v>
          </cell>
          <cell r="W460">
            <v>96.64</v>
          </cell>
          <cell r="X460">
            <v>0.8</v>
          </cell>
          <cell r="Y460" t="str">
            <v>Act freight</v>
          </cell>
          <cell r="Z460">
            <v>0</v>
          </cell>
          <cell r="AA460">
            <v>117</v>
          </cell>
          <cell r="AB460">
            <v>97</v>
          </cell>
          <cell r="AC460">
            <v>108</v>
          </cell>
          <cell r="AD460">
            <v>114</v>
          </cell>
          <cell r="AE460">
            <v>119.31</v>
          </cell>
          <cell r="AF460">
            <v>0.19000921967982567</v>
          </cell>
          <cell r="AG460">
            <v>0.19805548570949622</v>
          </cell>
          <cell r="AH460">
            <v>134</v>
          </cell>
          <cell r="AI460">
            <v>147</v>
          </cell>
          <cell r="AJ460">
            <v>0.34258503401360546</v>
          </cell>
          <cell r="AK460">
            <v>160</v>
          </cell>
          <cell r="AL460">
            <v>173</v>
          </cell>
          <cell r="AM460">
            <v>0.44138728323699422</v>
          </cell>
          <cell r="AN460">
            <v>179.75</v>
          </cell>
          <cell r="AO460">
            <v>186.5</v>
          </cell>
          <cell r="AP460">
            <v>193.25</v>
          </cell>
          <cell r="AQ460">
            <v>0</v>
          </cell>
          <cell r="AS460">
            <v>200</v>
          </cell>
        </row>
        <row r="461">
          <cell r="B461" t="str">
            <v>AC</v>
          </cell>
          <cell r="C461" t="str">
            <v>IMP</v>
          </cell>
          <cell r="D461" t="str">
            <v>BT</v>
          </cell>
          <cell r="E461" t="str">
            <v>08</v>
          </cell>
          <cell r="F461">
            <v>39924</v>
          </cell>
          <cell r="G461">
            <v>39750</v>
          </cell>
          <cell r="H461" t="str">
            <v>A0P6WY1</v>
          </cell>
          <cell r="I461" t="str">
            <v>3KMHHD509HDD</v>
          </cell>
          <cell r="J461" t="str">
            <v>DNU</v>
          </cell>
          <cell r="K461" t="str">
            <v>HD-509 HDD Kit 60GB</v>
          </cell>
          <cell r="L461">
            <v>893</v>
          </cell>
          <cell r="M461">
            <v>316</v>
          </cell>
          <cell r="N461">
            <v>328.64</v>
          </cell>
          <cell r="O461">
            <v>0.19261006289308183</v>
          </cell>
          <cell r="P461">
            <v>407.04</v>
          </cell>
          <cell r="Q461">
            <v>334.96</v>
          </cell>
          <cell r="R461">
            <v>378.5</v>
          </cell>
          <cell r="S461">
            <v>508.8</v>
          </cell>
          <cell r="T461">
            <v>0.35408805031446544</v>
          </cell>
          <cell r="U461">
            <v>394.01472000000001</v>
          </cell>
          <cell r="V461">
            <v>0.16591948645979526</v>
          </cell>
          <cell r="W461">
            <v>407.04</v>
          </cell>
          <cell r="X461">
            <v>0.8</v>
          </cell>
          <cell r="Y461" t="str">
            <v>Act freight</v>
          </cell>
          <cell r="Z461">
            <v>0</v>
          </cell>
          <cell r="AA461">
            <v>492</v>
          </cell>
          <cell r="AB461">
            <v>408</v>
          </cell>
          <cell r="AC461">
            <v>453</v>
          </cell>
          <cell r="AD461">
            <v>478</v>
          </cell>
          <cell r="AE461">
            <v>502.52</v>
          </cell>
          <cell r="AF461">
            <v>0.19000238796465804</v>
          </cell>
          <cell r="AG461">
            <v>0.34601607896203135</v>
          </cell>
          <cell r="AH461">
            <v>559</v>
          </cell>
          <cell r="AI461">
            <v>615</v>
          </cell>
          <cell r="AJ461">
            <v>0.3381463414634146</v>
          </cell>
          <cell r="AK461">
            <v>671</v>
          </cell>
          <cell r="AL461">
            <v>727</v>
          </cell>
          <cell r="AM461">
            <v>0.44011004126547454</v>
          </cell>
          <cell r="AN461">
            <v>768.5</v>
          </cell>
          <cell r="AO461">
            <v>810</v>
          </cell>
          <cell r="AP461">
            <v>851.5</v>
          </cell>
          <cell r="AQ461">
            <v>0</v>
          </cell>
          <cell r="AR461">
            <v>295</v>
          </cell>
          <cell r="AS461">
            <v>893</v>
          </cell>
        </row>
        <row r="462">
          <cell r="B462" t="str">
            <v>AC</v>
          </cell>
          <cell r="C462" t="str">
            <v>IMP</v>
          </cell>
          <cell r="D462" t="str">
            <v>BT</v>
          </cell>
          <cell r="E462" t="str">
            <v>08</v>
          </cell>
          <cell r="F462">
            <v>39924</v>
          </cell>
          <cell r="G462">
            <v>40001</v>
          </cell>
          <cell r="H462" t="str">
            <v>A0P7WY1</v>
          </cell>
          <cell r="I462" t="str">
            <v>3KMKHD510</v>
          </cell>
          <cell r="J462">
            <v>0</v>
          </cell>
          <cell r="K462" t="str">
            <v>HD-510 HDD Kit 60GB</v>
          </cell>
          <cell r="L462">
            <v>840</v>
          </cell>
          <cell r="M462">
            <v>286</v>
          </cell>
          <cell r="N462">
            <v>297.44</v>
          </cell>
          <cell r="O462">
            <v>0.15288220551378448</v>
          </cell>
          <cell r="P462">
            <v>351.12</v>
          </cell>
          <cell r="Q462">
            <v>303.16000000000003</v>
          </cell>
          <cell r="R462">
            <v>342.57</v>
          </cell>
          <cell r="S462">
            <v>438.9</v>
          </cell>
          <cell r="T462">
            <v>0.32230576441102754</v>
          </cell>
          <cell r="U462">
            <v>339.88415999999995</v>
          </cell>
          <cell r="V462">
            <v>0.12487831148118218</v>
          </cell>
          <cell r="W462">
            <v>351.12</v>
          </cell>
          <cell r="X462">
            <v>0.8</v>
          </cell>
          <cell r="Y462" t="str">
            <v>Act freight</v>
          </cell>
          <cell r="Z462">
            <v>0</v>
          </cell>
          <cell r="AA462">
            <v>425</v>
          </cell>
          <cell r="AB462">
            <v>352</v>
          </cell>
          <cell r="AC462">
            <v>391</v>
          </cell>
          <cell r="AD462">
            <v>413</v>
          </cell>
          <cell r="AE462">
            <v>433.48</v>
          </cell>
          <cell r="AF462">
            <v>0.18999723170619176</v>
          </cell>
          <cell r="AG462">
            <v>0.31383224139522009</v>
          </cell>
          <cell r="AH462">
            <v>483</v>
          </cell>
          <cell r="AI462">
            <v>531</v>
          </cell>
          <cell r="AJ462">
            <v>0.33875706214689266</v>
          </cell>
          <cell r="AK462">
            <v>579</v>
          </cell>
          <cell r="AL462">
            <v>627</v>
          </cell>
          <cell r="AM462">
            <v>0.44</v>
          </cell>
          <cell r="AN462">
            <v>680.25</v>
          </cell>
          <cell r="AO462">
            <v>733.5</v>
          </cell>
          <cell r="AP462">
            <v>786.75</v>
          </cell>
          <cell r="AQ462">
            <v>0</v>
          </cell>
          <cell r="AR462">
            <v>295</v>
          </cell>
          <cell r="AS462">
            <v>840</v>
          </cell>
        </row>
        <row r="463">
          <cell r="B463" t="str">
            <v>AC</v>
          </cell>
          <cell r="C463" t="str">
            <v>IMP</v>
          </cell>
          <cell r="D463" t="str">
            <v>BT</v>
          </cell>
          <cell r="E463" t="str">
            <v>08</v>
          </cell>
          <cell r="F463">
            <v>39924</v>
          </cell>
          <cell r="G463">
            <v>40001</v>
          </cell>
          <cell r="H463" t="str">
            <v>A0P80Y1</v>
          </cell>
          <cell r="I463" t="str">
            <v>4KMIC207_N</v>
          </cell>
          <cell r="J463">
            <v>0</v>
          </cell>
          <cell r="K463" t="str">
            <v>IC-207 Imaging Controller</v>
          </cell>
          <cell r="L463">
            <v>1500</v>
          </cell>
          <cell r="M463">
            <v>204</v>
          </cell>
          <cell r="N463">
            <v>212.16</v>
          </cell>
          <cell r="O463">
            <v>0.59200000000000008</v>
          </cell>
          <cell r="P463">
            <v>520</v>
          </cell>
          <cell r="Q463">
            <v>216.24</v>
          </cell>
          <cell r="R463">
            <v>244.35</v>
          </cell>
          <cell r="S463">
            <v>650</v>
          </cell>
          <cell r="T463">
            <v>0.67360000000000009</v>
          </cell>
          <cell r="U463">
            <v>503.36</v>
          </cell>
          <cell r="V463">
            <v>0.57851239669421495</v>
          </cell>
          <cell r="W463">
            <v>520</v>
          </cell>
          <cell r="X463">
            <v>0.8</v>
          </cell>
          <cell r="Y463" t="str">
            <v>Act freight</v>
          </cell>
          <cell r="Z463">
            <v>0</v>
          </cell>
          <cell r="AA463">
            <v>629</v>
          </cell>
          <cell r="AB463">
            <v>520</v>
          </cell>
          <cell r="AC463">
            <v>578</v>
          </cell>
          <cell r="AD463">
            <v>610</v>
          </cell>
          <cell r="AE463">
            <v>641.98</v>
          </cell>
          <cell r="AF463">
            <v>0.19000591918751364</v>
          </cell>
          <cell r="AG463">
            <v>0.66952241502850562</v>
          </cell>
          <cell r="AH463">
            <v>714</v>
          </cell>
          <cell r="AI463">
            <v>786</v>
          </cell>
          <cell r="AJ463">
            <v>0.33842239185750639</v>
          </cell>
          <cell r="AK463">
            <v>857.5</v>
          </cell>
          <cell r="AL463">
            <v>929</v>
          </cell>
          <cell r="AM463">
            <v>0.44025834230355221</v>
          </cell>
          <cell r="AN463">
            <v>1071.75</v>
          </cell>
          <cell r="AO463">
            <v>1214.5</v>
          </cell>
          <cell r="AP463">
            <v>1357.25</v>
          </cell>
          <cell r="AQ463">
            <v>0</v>
          </cell>
          <cell r="AR463">
            <v>295</v>
          </cell>
          <cell r="AS463">
            <v>1500</v>
          </cell>
        </row>
        <row r="464">
          <cell r="B464" t="str">
            <v>AC</v>
          </cell>
          <cell r="C464" t="str">
            <v>IMP</v>
          </cell>
          <cell r="D464" t="str">
            <v>BT</v>
          </cell>
          <cell r="E464" t="str">
            <v>08</v>
          </cell>
          <cell r="F464">
            <v>39924</v>
          </cell>
          <cell r="G464">
            <v>40001</v>
          </cell>
          <cell r="H464" t="str">
            <v>A0P90Y1</v>
          </cell>
          <cell r="I464" t="str">
            <v>3KMHIC208</v>
          </cell>
          <cell r="J464">
            <v>0</v>
          </cell>
          <cell r="K464" t="str">
            <v>IC-208 Print Controller</v>
          </cell>
          <cell r="L464">
            <v>2800</v>
          </cell>
          <cell r="M464">
            <v>398</v>
          </cell>
          <cell r="N464">
            <v>413.92</v>
          </cell>
          <cell r="O464">
            <v>0.64634313055365689</v>
          </cell>
          <cell r="P464">
            <v>1170.4000000000001</v>
          </cell>
          <cell r="Q464">
            <v>421.88</v>
          </cell>
          <cell r="R464">
            <v>476.72</v>
          </cell>
          <cell r="S464">
            <v>1463</v>
          </cell>
          <cell r="T464">
            <v>0.71707450444292542</v>
          </cell>
          <cell r="U464">
            <v>1132.9472000000001</v>
          </cell>
          <cell r="V464">
            <v>0.63465199437361242</v>
          </cell>
          <cell r="W464">
            <v>1170.4000000000001</v>
          </cell>
          <cell r="X464">
            <v>0.8</v>
          </cell>
          <cell r="Y464" t="str">
            <v>Act freight</v>
          </cell>
          <cell r="Z464">
            <v>0</v>
          </cell>
          <cell r="AA464">
            <v>1416</v>
          </cell>
          <cell r="AB464">
            <v>1171</v>
          </cell>
          <cell r="AC464">
            <v>1301</v>
          </cell>
          <cell r="AD464">
            <v>1373</v>
          </cell>
          <cell r="AE464">
            <v>1444.94</v>
          </cell>
          <cell r="AF464">
            <v>0.19000096889836252</v>
          </cell>
          <cell r="AG464">
            <v>0.71353827840602368</v>
          </cell>
          <cell r="AH464">
            <v>1607</v>
          </cell>
          <cell r="AI464">
            <v>1768</v>
          </cell>
          <cell r="AJ464">
            <v>0.33800904977375562</v>
          </cell>
          <cell r="AK464">
            <v>1929</v>
          </cell>
          <cell r="AL464">
            <v>2090</v>
          </cell>
          <cell r="AM464">
            <v>0.43999999999999995</v>
          </cell>
          <cell r="AN464">
            <v>2267.5</v>
          </cell>
          <cell r="AO464">
            <v>2445</v>
          </cell>
          <cell r="AP464">
            <v>2622.5</v>
          </cell>
          <cell r="AQ464">
            <v>0</v>
          </cell>
          <cell r="AS464">
            <v>2800</v>
          </cell>
        </row>
        <row r="465">
          <cell r="B465" t="str">
            <v>AC</v>
          </cell>
          <cell r="C465" t="str">
            <v>IMP</v>
          </cell>
          <cell r="D465" t="str">
            <v>BT</v>
          </cell>
          <cell r="E465" t="str">
            <v>08</v>
          </cell>
          <cell r="F465">
            <v>39924</v>
          </cell>
          <cell r="G465">
            <v>40001</v>
          </cell>
          <cell r="H465" t="str">
            <v>A0PAWY1</v>
          </cell>
          <cell r="I465" t="str">
            <v>3KMKSC505HDDEK</v>
          </cell>
          <cell r="J465">
            <v>0</v>
          </cell>
          <cell r="K465" t="str">
            <v>SC-505 Security Kit</v>
          </cell>
          <cell r="L465">
            <v>525</v>
          </cell>
          <cell r="M465">
            <v>143</v>
          </cell>
          <cell r="N465">
            <v>148.72</v>
          </cell>
          <cell r="O465">
            <v>0.32252186588921289</v>
          </cell>
          <cell r="P465">
            <v>219.52</v>
          </cell>
          <cell r="Q465">
            <v>151.58000000000001</v>
          </cell>
          <cell r="R465">
            <v>171.29</v>
          </cell>
          <cell r="S465">
            <v>274.39999999999998</v>
          </cell>
          <cell r="T465">
            <v>0.45801749271137021</v>
          </cell>
          <cell r="U465">
            <v>212.49535999999998</v>
          </cell>
          <cell r="V465">
            <v>0.30012589451364957</v>
          </cell>
          <cell r="W465">
            <v>219.52</v>
          </cell>
          <cell r="X465">
            <v>0.80000000000000016</v>
          </cell>
          <cell r="Y465" t="str">
            <v>Act freight</v>
          </cell>
          <cell r="Z465">
            <v>0</v>
          </cell>
          <cell r="AA465">
            <v>266</v>
          </cell>
          <cell r="AB465">
            <v>220</v>
          </cell>
          <cell r="AC465">
            <v>244</v>
          </cell>
          <cell r="AD465">
            <v>258</v>
          </cell>
          <cell r="AE465">
            <v>271.01</v>
          </cell>
          <cell r="AF465">
            <v>0.18999298918859076</v>
          </cell>
          <cell r="AG465">
            <v>0.45123796169883029</v>
          </cell>
          <cell r="AH465">
            <v>302</v>
          </cell>
          <cell r="AI465">
            <v>332</v>
          </cell>
          <cell r="AJ465">
            <v>0.33879518072289155</v>
          </cell>
          <cell r="AK465">
            <v>362</v>
          </cell>
          <cell r="AL465">
            <v>392</v>
          </cell>
          <cell r="AM465">
            <v>0.43999999999999995</v>
          </cell>
          <cell r="AN465">
            <v>425.25</v>
          </cell>
          <cell r="AO465">
            <v>458.5</v>
          </cell>
          <cell r="AP465">
            <v>491.75</v>
          </cell>
          <cell r="AQ465">
            <v>0</v>
          </cell>
          <cell r="AS465">
            <v>525</v>
          </cell>
        </row>
        <row r="466">
          <cell r="B466" t="str">
            <v>AC</v>
          </cell>
          <cell r="C466" t="str">
            <v>IMP</v>
          </cell>
          <cell r="D466" t="str">
            <v>BT</v>
          </cell>
          <cell r="E466" t="str">
            <v>08</v>
          </cell>
          <cell r="F466">
            <v>39924</v>
          </cell>
          <cell r="G466">
            <v>40001</v>
          </cell>
          <cell r="H466" t="str">
            <v>A0PCWY1</v>
          </cell>
          <cell r="I466" t="str">
            <v>3KMKSC506</v>
          </cell>
          <cell r="J466">
            <v>0</v>
          </cell>
          <cell r="K466" t="str">
            <v>SC-506 HDD Encryption Kit</v>
          </cell>
          <cell r="L466">
            <v>525</v>
          </cell>
          <cell r="M466">
            <v>143</v>
          </cell>
          <cell r="N466">
            <v>148.72</v>
          </cell>
          <cell r="O466">
            <v>0.32252186588921289</v>
          </cell>
          <cell r="P466">
            <v>219.52</v>
          </cell>
          <cell r="Q466">
            <v>151.58000000000001</v>
          </cell>
          <cell r="R466">
            <v>171.29</v>
          </cell>
          <cell r="S466">
            <v>274.39999999999998</v>
          </cell>
          <cell r="T466">
            <v>0.45801749271137021</v>
          </cell>
          <cell r="U466">
            <v>212.49535999999998</v>
          </cell>
          <cell r="V466">
            <v>0.30012589451364957</v>
          </cell>
          <cell r="W466">
            <v>219.52</v>
          </cell>
          <cell r="X466">
            <v>0.80000000000000016</v>
          </cell>
          <cell r="Y466" t="str">
            <v>Act freight</v>
          </cell>
          <cell r="Z466">
            <v>0</v>
          </cell>
          <cell r="AA466">
            <v>266</v>
          </cell>
          <cell r="AB466">
            <v>220</v>
          </cell>
          <cell r="AC466">
            <v>244</v>
          </cell>
          <cell r="AD466">
            <v>258</v>
          </cell>
          <cell r="AE466">
            <v>271.01</v>
          </cell>
          <cell r="AF466">
            <v>0.18999298918859076</v>
          </cell>
          <cell r="AG466">
            <v>0.45123796169883029</v>
          </cell>
          <cell r="AH466">
            <v>302</v>
          </cell>
          <cell r="AI466">
            <v>332</v>
          </cell>
          <cell r="AJ466">
            <v>0.33879518072289155</v>
          </cell>
          <cell r="AK466">
            <v>362</v>
          </cell>
          <cell r="AL466">
            <v>392</v>
          </cell>
          <cell r="AM466">
            <v>0.43999999999999995</v>
          </cell>
          <cell r="AN466">
            <v>425.25</v>
          </cell>
          <cell r="AO466">
            <v>458.5</v>
          </cell>
          <cell r="AP466">
            <v>491.75</v>
          </cell>
          <cell r="AQ466">
            <v>0</v>
          </cell>
          <cell r="AS466">
            <v>525</v>
          </cell>
        </row>
        <row r="467">
          <cell r="B467" t="str">
            <v>AC</v>
          </cell>
          <cell r="C467" t="str">
            <v>IMP</v>
          </cell>
          <cell r="D467" t="str">
            <v>BT</v>
          </cell>
          <cell r="E467" t="str">
            <v>08</v>
          </cell>
          <cell r="F467">
            <v>39924</v>
          </cell>
          <cell r="G467">
            <v>40085</v>
          </cell>
          <cell r="H467" t="str">
            <v>A0PD011</v>
          </cell>
          <cell r="I467" t="str">
            <v>6KMA0PD011_N</v>
          </cell>
          <cell r="J467">
            <v>0</v>
          </cell>
          <cell r="K467" t="str">
            <v>LK-101 i-Option License Kit (Web Browser/Image Panel)</v>
          </cell>
          <cell r="L467">
            <v>50</v>
          </cell>
          <cell r="M467">
            <v>17</v>
          </cell>
          <cell r="N467">
            <v>17.68</v>
          </cell>
          <cell r="O467">
            <v>0.33030303030303027</v>
          </cell>
          <cell r="P467">
            <v>26.4</v>
          </cell>
          <cell r="Q467">
            <v>18.02</v>
          </cell>
          <cell r="R467">
            <v>20.36</v>
          </cell>
          <cell r="S467">
            <v>33</v>
          </cell>
          <cell r="T467">
            <v>0.46424242424242423</v>
          </cell>
          <cell r="U467">
            <v>25.555199999999999</v>
          </cell>
          <cell r="V467">
            <v>0.30816428750313046</v>
          </cell>
          <cell r="W467">
            <v>26.4</v>
          </cell>
          <cell r="X467">
            <v>0.79999999999999993</v>
          </cell>
          <cell r="Y467" t="str">
            <v>Act freight</v>
          </cell>
          <cell r="Z467">
            <v>0</v>
          </cell>
          <cell r="AA467">
            <v>32</v>
          </cell>
          <cell r="AB467">
            <v>27</v>
          </cell>
          <cell r="AC467">
            <v>30</v>
          </cell>
          <cell r="AD467">
            <v>32</v>
          </cell>
          <cell r="AE467">
            <v>32.590000000000003</v>
          </cell>
          <cell r="AF467">
            <v>0.18993556305615233</v>
          </cell>
          <cell r="AG467">
            <v>0.45750230131942321</v>
          </cell>
          <cell r="AH467">
            <v>37</v>
          </cell>
          <cell r="AI467">
            <v>41</v>
          </cell>
          <cell r="AJ467">
            <v>0.35609756097560979</v>
          </cell>
          <cell r="AK467">
            <v>44.5</v>
          </cell>
          <cell r="AL467">
            <v>48</v>
          </cell>
          <cell r="AM467">
            <v>0.45</v>
          </cell>
          <cell r="AN467">
            <v>48.5</v>
          </cell>
          <cell r="AO467">
            <v>49</v>
          </cell>
          <cell r="AP467">
            <v>49.5</v>
          </cell>
          <cell r="AQ467">
            <v>0</v>
          </cell>
          <cell r="AS467">
            <v>50</v>
          </cell>
        </row>
        <row r="468">
          <cell r="B468" t="str">
            <v>AC</v>
          </cell>
          <cell r="C468" t="str">
            <v>IMP</v>
          </cell>
          <cell r="D468" t="str">
            <v>BT</v>
          </cell>
          <cell r="E468" t="str">
            <v>08</v>
          </cell>
          <cell r="F468">
            <v>39924</v>
          </cell>
          <cell r="G468">
            <v>40058</v>
          </cell>
          <cell r="H468" t="str">
            <v>A0PD012</v>
          </cell>
          <cell r="I468" t="str">
            <v>6KMA0PD012_N</v>
          </cell>
          <cell r="J468">
            <v>0</v>
          </cell>
          <cell r="K468" t="str">
            <v>LK-102 i-Option License Kit (PDF Encryption)</v>
          </cell>
          <cell r="L468">
            <v>945</v>
          </cell>
          <cell r="M468">
            <v>320</v>
          </cell>
          <cell r="N468">
            <v>332.8</v>
          </cell>
          <cell r="O468">
            <v>0.1491102474943751</v>
          </cell>
          <cell r="P468">
            <v>391.12</v>
          </cell>
          <cell r="Q468">
            <v>339.2</v>
          </cell>
          <cell r="R468">
            <v>383.3</v>
          </cell>
          <cell r="S468">
            <v>488.9</v>
          </cell>
          <cell r="T468">
            <v>0.31928819799550007</v>
          </cell>
          <cell r="U468">
            <v>378.60415999999998</v>
          </cell>
          <cell r="V468">
            <v>0.12098166063468498</v>
          </cell>
          <cell r="W468">
            <v>391.12</v>
          </cell>
          <cell r="X468">
            <v>0.8</v>
          </cell>
          <cell r="Y468" t="str">
            <v>Act freight</v>
          </cell>
          <cell r="Z468">
            <v>0</v>
          </cell>
          <cell r="AA468">
            <v>473</v>
          </cell>
          <cell r="AB468">
            <v>392</v>
          </cell>
          <cell r="AC468">
            <v>435</v>
          </cell>
          <cell r="AD468">
            <v>459</v>
          </cell>
          <cell r="AE468">
            <v>482.86</v>
          </cell>
          <cell r="AF468">
            <v>0.18999295862154664</v>
          </cell>
          <cell r="AG468">
            <v>0.31077330903367434</v>
          </cell>
          <cell r="AH468">
            <v>537</v>
          </cell>
          <cell r="AI468">
            <v>591</v>
          </cell>
          <cell r="AJ468">
            <v>0.33820642978003385</v>
          </cell>
          <cell r="AK468">
            <v>645</v>
          </cell>
          <cell r="AL468">
            <v>699</v>
          </cell>
          <cell r="AM468">
            <v>0.44045779685264663</v>
          </cell>
          <cell r="AN468">
            <v>760.5</v>
          </cell>
          <cell r="AO468">
            <v>822</v>
          </cell>
          <cell r="AP468">
            <v>883.5</v>
          </cell>
          <cell r="AQ468">
            <v>0</v>
          </cell>
          <cell r="AS468">
            <v>945</v>
          </cell>
        </row>
        <row r="469">
          <cell r="B469" t="str">
            <v>AC</v>
          </cell>
          <cell r="C469" t="str">
            <v>IMP</v>
          </cell>
          <cell r="D469" t="str">
            <v>BT</v>
          </cell>
          <cell r="E469" t="str">
            <v>08</v>
          </cell>
          <cell r="F469">
            <v>39924</v>
          </cell>
          <cell r="G469">
            <v>40058</v>
          </cell>
          <cell r="H469" t="str">
            <v>A0PD01A</v>
          </cell>
          <cell r="I469" t="str">
            <v>3KMBLK101V2_</v>
          </cell>
          <cell r="J469">
            <v>0</v>
          </cell>
          <cell r="K469" t="str">
            <v>LK-101 v2 i-Option License Kit (Web Browser/Image Panel/Scan-to-SharePoint)</v>
          </cell>
          <cell r="L469">
            <v>50</v>
          </cell>
          <cell r="M469">
            <v>17</v>
          </cell>
          <cell r="N469">
            <v>17.68</v>
          </cell>
          <cell r="O469">
            <v>0.33030303030303027</v>
          </cell>
          <cell r="P469">
            <v>26.4</v>
          </cell>
          <cell r="Q469">
            <v>18.02</v>
          </cell>
          <cell r="R469">
            <v>20.36</v>
          </cell>
          <cell r="S469">
            <v>33</v>
          </cell>
          <cell r="T469">
            <v>0.46424242424242423</v>
          </cell>
          <cell r="U469">
            <v>25.555199999999999</v>
          </cell>
          <cell r="V469">
            <v>0.30816428750313046</v>
          </cell>
          <cell r="W469">
            <v>26.4</v>
          </cell>
          <cell r="X469">
            <v>0.79999999999999993</v>
          </cell>
          <cell r="Y469" t="str">
            <v>Act freight</v>
          </cell>
          <cell r="Z469">
            <v>0</v>
          </cell>
          <cell r="AA469">
            <v>32</v>
          </cell>
          <cell r="AB469">
            <v>27</v>
          </cell>
          <cell r="AC469">
            <v>30</v>
          </cell>
          <cell r="AD469">
            <v>32</v>
          </cell>
          <cell r="AE469">
            <v>32.590000000000003</v>
          </cell>
          <cell r="AF469">
            <v>0.18993556305615233</v>
          </cell>
          <cell r="AG469">
            <v>0.45750230131942321</v>
          </cell>
          <cell r="AH469">
            <v>37</v>
          </cell>
          <cell r="AI469">
            <v>41</v>
          </cell>
          <cell r="AJ469">
            <v>0.35609756097560979</v>
          </cell>
          <cell r="AK469">
            <v>44.5</v>
          </cell>
          <cell r="AL469">
            <v>48</v>
          </cell>
          <cell r="AM469">
            <v>0.45</v>
          </cell>
          <cell r="AN469">
            <v>48.5</v>
          </cell>
          <cell r="AO469">
            <v>49</v>
          </cell>
          <cell r="AP469">
            <v>49.5</v>
          </cell>
          <cell r="AQ469">
            <v>0</v>
          </cell>
          <cell r="AS469">
            <v>50</v>
          </cell>
        </row>
        <row r="470">
          <cell r="B470" t="str">
            <v>AC</v>
          </cell>
          <cell r="C470" t="str">
            <v>IMP</v>
          </cell>
          <cell r="D470" t="str">
            <v>BT</v>
          </cell>
          <cell r="E470" t="str">
            <v>P3</v>
          </cell>
          <cell r="F470">
            <v>39924</v>
          </cell>
          <cell r="G470">
            <v>40091</v>
          </cell>
          <cell r="H470" t="str">
            <v>A0PDWY1</v>
          </cell>
          <cell r="I470" t="str">
            <v>6KMA0PDWY1_N</v>
          </cell>
          <cell r="J470" t="str">
            <v>x</v>
          </cell>
          <cell r="K470" t="str">
            <v>UK-201 Upgrade Kit</v>
          </cell>
          <cell r="L470">
            <v>294</v>
          </cell>
          <cell r="M470">
            <v>50</v>
          </cell>
          <cell r="N470">
            <v>52</v>
          </cell>
          <cell r="O470">
            <v>-0.17647058823529424</v>
          </cell>
          <cell r="P470">
            <v>44.199999999999996</v>
          </cell>
          <cell r="Q470">
            <v>53</v>
          </cell>
          <cell r="R470">
            <v>59.89</v>
          </cell>
          <cell r="S470">
            <v>152.80000000000001</v>
          </cell>
          <cell r="T470">
            <v>0.65968586387434558</v>
          </cell>
          <cell r="U470">
            <v>118.32832000000001</v>
          </cell>
          <cell r="V470">
            <v>0.56054476223443384</v>
          </cell>
          <cell r="W470">
            <v>44.199999999999996</v>
          </cell>
          <cell r="X470">
            <v>0.28926701570680624</v>
          </cell>
          <cell r="Y470" t="str">
            <v>Act freight</v>
          </cell>
          <cell r="Z470">
            <v>0</v>
          </cell>
          <cell r="AA470">
            <v>53</v>
          </cell>
          <cell r="AB470">
            <v>45</v>
          </cell>
          <cell r="AC470">
            <v>50</v>
          </cell>
          <cell r="AD470">
            <v>53</v>
          </cell>
          <cell r="AE470">
            <v>54.57</v>
          </cell>
          <cell r="AF470">
            <v>0.19003115264797515</v>
          </cell>
          <cell r="AG470">
            <v>4.7095473703500097E-2</v>
          </cell>
          <cell r="AH470">
            <v>56</v>
          </cell>
          <cell r="AI470">
            <v>57</v>
          </cell>
          <cell r="AJ470">
            <v>0.22456140350877202</v>
          </cell>
          <cell r="AK470">
            <v>58</v>
          </cell>
          <cell r="AL470">
            <v>59</v>
          </cell>
          <cell r="AM470">
            <v>0.25084745762711874</v>
          </cell>
          <cell r="AN470">
            <v>67.27</v>
          </cell>
          <cell r="AO470">
            <v>75.540000000000006</v>
          </cell>
          <cell r="AP470">
            <v>83.81</v>
          </cell>
          <cell r="AQ470">
            <v>0</v>
          </cell>
          <cell r="AS470">
            <v>294</v>
          </cell>
        </row>
        <row r="471">
          <cell r="B471" t="str">
            <v>AC</v>
          </cell>
          <cell r="C471" t="str">
            <v>IMP</v>
          </cell>
          <cell r="D471" t="str">
            <v>BT</v>
          </cell>
          <cell r="E471" t="str">
            <v>08</v>
          </cell>
          <cell r="F471">
            <v>39924</v>
          </cell>
          <cell r="G471">
            <v>40001</v>
          </cell>
          <cell r="H471" t="str">
            <v>A0PGW21</v>
          </cell>
          <cell r="I471" t="str">
            <v>6KMSD507SSK_N</v>
          </cell>
          <cell r="J471">
            <v>0</v>
          </cell>
          <cell r="K471" t="str">
            <v>SD-507 Saddle Kit</v>
          </cell>
          <cell r="L471">
            <v>1355</v>
          </cell>
          <cell r="M471">
            <v>459</v>
          </cell>
          <cell r="N471">
            <v>477.36</v>
          </cell>
          <cell r="O471">
            <v>0.21165279429250888</v>
          </cell>
          <cell r="P471">
            <v>605.52</v>
          </cell>
          <cell r="Q471">
            <v>486.54</v>
          </cell>
          <cell r="R471">
            <v>549.79</v>
          </cell>
          <cell r="S471">
            <v>756.9</v>
          </cell>
          <cell r="T471">
            <v>0.36932223543400711</v>
          </cell>
          <cell r="U471">
            <v>586.14335999999992</v>
          </cell>
          <cell r="V471">
            <v>0.18559172964102147</v>
          </cell>
          <cell r="W471">
            <v>605.52</v>
          </cell>
          <cell r="X471">
            <v>0.8</v>
          </cell>
          <cell r="Y471" t="str">
            <v>Act freight</v>
          </cell>
          <cell r="Z471">
            <v>0</v>
          </cell>
          <cell r="AA471">
            <v>733</v>
          </cell>
          <cell r="AB471">
            <v>606</v>
          </cell>
          <cell r="AC471">
            <v>673</v>
          </cell>
          <cell r="AD471">
            <v>711</v>
          </cell>
          <cell r="AE471">
            <v>747.56</v>
          </cell>
          <cell r="AF471">
            <v>0.19000481566696983</v>
          </cell>
          <cell r="AG471">
            <v>0.36144255979453149</v>
          </cell>
          <cell r="AH471">
            <v>832</v>
          </cell>
          <cell r="AI471">
            <v>915</v>
          </cell>
          <cell r="AJ471">
            <v>0.33822950819672132</v>
          </cell>
          <cell r="AK471">
            <v>998.5</v>
          </cell>
          <cell r="AL471">
            <v>1082</v>
          </cell>
          <cell r="AM471">
            <v>0.44036968576709801</v>
          </cell>
          <cell r="AN471">
            <v>1150.25</v>
          </cell>
          <cell r="AO471">
            <v>1218.5</v>
          </cell>
          <cell r="AP471">
            <v>1286.75</v>
          </cell>
          <cell r="AQ471">
            <v>0</v>
          </cell>
          <cell r="AS471">
            <v>1355</v>
          </cell>
        </row>
        <row r="472">
          <cell r="B472" t="str">
            <v>AC</v>
          </cell>
          <cell r="C472" t="str">
            <v>IMP</v>
          </cell>
          <cell r="D472" t="str">
            <v>BT</v>
          </cell>
          <cell r="E472" t="str">
            <v>08</v>
          </cell>
          <cell r="F472">
            <v>39924</v>
          </cell>
          <cell r="G472">
            <v>40001</v>
          </cell>
          <cell r="H472" t="str">
            <v>A0PH0Y2</v>
          </cell>
          <cell r="I472" t="str">
            <v>6KMFS523_N</v>
          </cell>
          <cell r="J472">
            <v>0</v>
          </cell>
          <cell r="K472" t="str">
            <v>FS-523 Console Finisher</v>
          </cell>
          <cell r="L472">
            <v>2993</v>
          </cell>
          <cell r="M472">
            <v>918</v>
          </cell>
          <cell r="N472">
            <v>954.72</v>
          </cell>
          <cell r="O472">
            <v>0.20825316791614137</v>
          </cell>
          <cell r="P472">
            <v>1205.8399999999999</v>
          </cell>
          <cell r="Q472">
            <v>973.08</v>
          </cell>
          <cell r="R472">
            <v>1099.58</v>
          </cell>
          <cell r="S472">
            <v>1507.3</v>
          </cell>
          <cell r="T472">
            <v>0.36660253433291312</v>
          </cell>
          <cell r="U472">
            <v>1167.2531199999999</v>
          </cell>
          <cell r="V472">
            <v>0.1820797189216336</v>
          </cell>
          <cell r="W472">
            <v>1205.8399999999999</v>
          </cell>
          <cell r="X472">
            <v>0.79999999999999993</v>
          </cell>
          <cell r="Y472" t="str">
            <v>Act freight</v>
          </cell>
          <cell r="Z472">
            <v>0</v>
          </cell>
          <cell r="AA472">
            <v>1459</v>
          </cell>
          <cell r="AB472">
            <v>1206</v>
          </cell>
          <cell r="AC472">
            <v>1340</v>
          </cell>
          <cell r="AD472">
            <v>1415</v>
          </cell>
          <cell r="AE472">
            <v>1488.69</v>
          </cell>
          <cell r="AF472">
            <v>0.1899992610953255</v>
          </cell>
          <cell r="AG472">
            <v>0.35868448098663924</v>
          </cell>
          <cell r="AH472">
            <v>1656</v>
          </cell>
          <cell r="AI472">
            <v>1822</v>
          </cell>
          <cell r="AJ472">
            <v>0.33817782656421519</v>
          </cell>
          <cell r="AK472">
            <v>1988</v>
          </cell>
          <cell r="AL472">
            <v>2154</v>
          </cell>
          <cell r="AM472">
            <v>0.44018570102135568</v>
          </cell>
          <cell r="AN472">
            <v>2363.75</v>
          </cell>
          <cell r="AO472">
            <v>2573.5</v>
          </cell>
          <cell r="AP472">
            <v>2783.25</v>
          </cell>
          <cell r="AQ472">
            <v>0</v>
          </cell>
          <cell r="AS472">
            <v>2993</v>
          </cell>
        </row>
        <row r="473">
          <cell r="B473" t="str">
            <v>AC</v>
          </cell>
          <cell r="C473" t="str">
            <v>IMP</v>
          </cell>
          <cell r="D473" t="str">
            <v>BT</v>
          </cell>
          <cell r="E473" t="str">
            <v>DLR</v>
          </cell>
          <cell r="F473">
            <v>39924</v>
          </cell>
          <cell r="G473">
            <v>40001</v>
          </cell>
          <cell r="H473" t="str">
            <v>A0PHX001</v>
          </cell>
          <cell r="I473" t="str">
            <v>6KMFS523SF_N</v>
          </cell>
          <cell r="J473">
            <v>0</v>
          </cell>
          <cell r="K473" t="str">
            <v>FS-523 Console Finisher 
(SKU including FS-523 and RU-507)</v>
          </cell>
          <cell r="L473">
            <v>3255</v>
          </cell>
          <cell r="M473">
            <v>1020</v>
          </cell>
          <cell r="N473">
            <v>1060.8</v>
          </cell>
          <cell r="O473">
            <v>0.19971030237189935</v>
          </cell>
          <cell r="P473">
            <v>1325.52</v>
          </cell>
          <cell r="Q473">
            <v>1081.2</v>
          </cell>
          <cell r="R473">
            <v>1221.76</v>
          </cell>
          <cell r="S473">
            <v>1656.9</v>
          </cell>
          <cell r="T473">
            <v>0.35976824189751955</v>
          </cell>
          <cell r="U473">
            <v>1283.1033600000001</v>
          </cell>
          <cell r="V473">
            <v>0.17325444459906963</v>
          </cell>
          <cell r="W473">
            <v>1325.52</v>
          </cell>
          <cell r="X473">
            <v>0.79999999999999993</v>
          </cell>
          <cell r="Y473" t="str">
            <v>Act freight</v>
          </cell>
          <cell r="Z473">
            <v>0</v>
          </cell>
          <cell r="AA473">
            <v>1604</v>
          </cell>
          <cell r="AB473">
            <v>1326</v>
          </cell>
          <cell r="AC473">
            <v>1473</v>
          </cell>
          <cell r="AD473">
            <v>1555</v>
          </cell>
          <cell r="AE473">
            <v>1636.44</v>
          </cell>
          <cell r="AF473">
            <v>0.1899978001026619</v>
          </cell>
          <cell r="AG473">
            <v>0.35176358436606298</v>
          </cell>
          <cell r="AH473">
            <v>1820</v>
          </cell>
          <cell r="AI473">
            <v>2002</v>
          </cell>
          <cell r="AJ473">
            <v>0.33790209790209791</v>
          </cell>
          <cell r="AK473">
            <v>2184.5</v>
          </cell>
          <cell r="AL473">
            <v>2367</v>
          </cell>
          <cell r="AM473">
            <v>0.44</v>
          </cell>
          <cell r="AN473">
            <v>2589</v>
          </cell>
          <cell r="AO473">
            <v>2811</v>
          </cell>
          <cell r="AP473">
            <v>3033</v>
          </cell>
          <cell r="AQ473">
            <v>0</v>
          </cell>
          <cell r="AS473">
            <v>3255</v>
          </cell>
        </row>
        <row r="474">
          <cell r="B474" t="str">
            <v>AC</v>
          </cell>
          <cell r="C474" t="str">
            <v>IMP</v>
          </cell>
          <cell r="D474" t="str">
            <v>BT</v>
          </cell>
          <cell r="E474" t="str">
            <v>DLR</v>
          </cell>
          <cell r="F474">
            <v>39924</v>
          </cell>
          <cell r="G474">
            <v>40001</v>
          </cell>
          <cell r="H474" t="str">
            <v>A0PNX001</v>
          </cell>
          <cell r="I474" t="str">
            <v>3KMKA0PNX001</v>
          </cell>
          <cell r="J474">
            <v>0</v>
          </cell>
          <cell r="K474" t="str">
            <v>Fax Kit for 751/601</v>
          </cell>
          <cell r="L474">
            <v>1208</v>
          </cell>
          <cell r="M474">
            <v>485</v>
          </cell>
          <cell r="N474">
            <v>504.40000000000003</v>
          </cell>
          <cell r="O474">
            <v>0.12974465148378189</v>
          </cell>
          <cell r="P474">
            <v>579.6</v>
          </cell>
          <cell r="Q474">
            <v>514.1</v>
          </cell>
          <cell r="R474">
            <v>580.92999999999995</v>
          </cell>
          <cell r="S474">
            <v>724.5</v>
          </cell>
          <cell r="T474">
            <v>0.30379572118702547</v>
          </cell>
          <cell r="U474">
            <v>561.05279999999993</v>
          </cell>
          <cell r="V474">
            <v>0.10097587963200595</v>
          </cell>
          <cell r="W474">
            <v>579.6</v>
          </cell>
          <cell r="X474">
            <v>0.8</v>
          </cell>
          <cell r="Y474" t="str">
            <v>Act freight</v>
          </cell>
          <cell r="Z474">
            <v>0</v>
          </cell>
          <cell r="AA474">
            <v>701</v>
          </cell>
          <cell r="AB474">
            <v>580</v>
          </cell>
          <cell r="AC474">
            <v>644</v>
          </cell>
          <cell r="AD474">
            <v>680</v>
          </cell>
          <cell r="AE474">
            <v>715.56</v>
          </cell>
          <cell r="AF474">
            <v>0.19000503102465194</v>
          </cell>
          <cell r="AG474">
            <v>0.29509754597797522</v>
          </cell>
          <cell r="AH474">
            <v>796</v>
          </cell>
          <cell r="AI474">
            <v>876</v>
          </cell>
          <cell r="AJ474">
            <v>0.33835616438356164</v>
          </cell>
          <cell r="AK474">
            <v>955.5</v>
          </cell>
          <cell r="AL474">
            <v>1035</v>
          </cell>
          <cell r="AM474">
            <v>0.44</v>
          </cell>
          <cell r="AN474">
            <v>1078.25</v>
          </cell>
          <cell r="AO474">
            <v>1121.5</v>
          </cell>
          <cell r="AP474">
            <v>1164.75</v>
          </cell>
          <cell r="AQ474">
            <v>0</v>
          </cell>
          <cell r="AS474">
            <v>1208</v>
          </cell>
        </row>
        <row r="475">
          <cell r="B475" t="str">
            <v>AC</v>
          </cell>
          <cell r="C475" t="str">
            <v>IMP</v>
          </cell>
          <cell r="D475" t="str">
            <v>BT</v>
          </cell>
          <cell r="E475" t="str">
            <v>08</v>
          </cell>
          <cell r="F475">
            <v>39924</v>
          </cell>
          <cell r="G475">
            <v>40001</v>
          </cell>
          <cell r="H475" t="str">
            <v>A0PR0Y2</v>
          </cell>
          <cell r="I475" t="str">
            <v>6KMLU405_N</v>
          </cell>
          <cell r="J475">
            <v>0</v>
          </cell>
          <cell r="K475" t="str">
            <v>LU-405 Large Capacity Tray (Letter)</v>
          </cell>
          <cell r="L475">
            <v>2100</v>
          </cell>
          <cell r="M475">
            <v>612</v>
          </cell>
          <cell r="N475">
            <v>636.48</v>
          </cell>
          <cell r="O475">
            <v>0.30038691523039041</v>
          </cell>
          <cell r="P475">
            <v>909.76</v>
          </cell>
          <cell r="Q475">
            <v>648.72</v>
          </cell>
          <cell r="R475">
            <v>733.05</v>
          </cell>
          <cell r="S475">
            <v>1137.2</v>
          </cell>
          <cell r="T475">
            <v>0.44030953218431235</v>
          </cell>
          <cell r="U475">
            <v>880.64768000000004</v>
          </cell>
          <cell r="V475">
            <v>0.27725920994875047</v>
          </cell>
          <cell r="W475">
            <v>909.76</v>
          </cell>
          <cell r="X475">
            <v>0.79999999999999993</v>
          </cell>
          <cell r="Y475" t="str">
            <v>Act freight</v>
          </cell>
          <cell r="Z475">
            <v>0</v>
          </cell>
          <cell r="AA475">
            <v>1101</v>
          </cell>
          <cell r="AB475">
            <v>910</v>
          </cell>
          <cell r="AC475">
            <v>1011</v>
          </cell>
          <cell r="AD475">
            <v>1068</v>
          </cell>
          <cell r="AE475">
            <v>1123.1600000000001</v>
          </cell>
          <cell r="AF475">
            <v>0.18999964386196097</v>
          </cell>
          <cell r="AG475">
            <v>0.43331315217778416</v>
          </cell>
          <cell r="AH475">
            <v>1250</v>
          </cell>
          <cell r="AI475">
            <v>1375</v>
          </cell>
          <cell r="AJ475">
            <v>0.33835636363636362</v>
          </cell>
          <cell r="AK475">
            <v>1500</v>
          </cell>
          <cell r="AL475">
            <v>1625</v>
          </cell>
          <cell r="AM475">
            <v>0.4401476923076923</v>
          </cell>
          <cell r="AN475">
            <v>1743.75</v>
          </cell>
          <cell r="AO475">
            <v>1862.5</v>
          </cell>
          <cell r="AP475">
            <v>1981.25</v>
          </cell>
          <cell r="AQ475">
            <v>0</v>
          </cell>
          <cell r="AS475">
            <v>2100</v>
          </cell>
        </row>
        <row r="476">
          <cell r="B476" t="str">
            <v>AC</v>
          </cell>
          <cell r="C476" t="str">
            <v>IMP</v>
          </cell>
          <cell r="D476" t="str">
            <v>BT</v>
          </cell>
          <cell r="E476" t="str">
            <v>08</v>
          </cell>
          <cell r="F476">
            <v>39924</v>
          </cell>
          <cell r="G476">
            <v>40001</v>
          </cell>
          <cell r="H476" t="str">
            <v>A0PT0Y2</v>
          </cell>
          <cell r="I476" t="str">
            <v>6KMLU406_N</v>
          </cell>
          <cell r="J476">
            <v>0</v>
          </cell>
          <cell r="K476" t="str">
            <v>LU-406 Large Capacity Tray (12"x18")</v>
          </cell>
          <cell r="L476">
            <v>3150</v>
          </cell>
          <cell r="M476">
            <v>979</v>
          </cell>
          <cell r="N476">
            <v>1018.1600000000001</v>
          </cell>
          <cell r="O476">
            <v>0.22674524576219693</v>
          </cell>
          <cell r="P476">
            <v>1316.72</v>
          </cell>
          <cell r="Q476">
            <v>1037.74</v>
          </cell>
          <cell r="R476">
            <v>1172.6500000000001</v>
          </cell>
          <cell r="S476">
            <v>1645.9</v>
          </cell>
          <cell r="T476">
            <v>0.38139619660975754</v>
          </cell>
          <cell r="U476">
            <v>1274.5849600000001</v>
          </cell>
          <cell r="V476">
            <v>0.20118310512623658</v>
          </cell>
          <cell r="W476">
            <v>1316.72</v>
          </cell>
          <cell r="X476">
            <v>0.79999999999999993</v>
          </cell>
          <cell r="Y476" t="str">
            <v>Act freight</v>
          </cell>
          <cell r="Z476">
            <v>0</v>
          </cell>
          <cell r="AA476">
            <v>1593</v>
          </cell>
          <cell r="AB476">
            <v>1317</v>
          </cell>
          <cell r="AC476">
            <v>1464</v>
          </cell>
          <cell r="AD476">
            <v>1545</v>
          </cell>
          <cell r="AE476">
            <v>1625.58</v>
          </cell>
          <cell r="AF476">
            <v>0.18999987696699019</v>
          </cell>
          <cell r="AG476">
            <v>0.37366355393151973</v>
          </cell>
          <cell r="AH476">
            <v>1808</v>
          </cell>
          <cell r="AI476">
            <v>1989</v>
          </cell>
          <cell r="AJ476">
            <v>0.3379989944695827</v>
          </cell>
          <cell r="AK476">
            <v>2170.5</v>
          </cell>
          <cell r="AL476">
            <v>2352</v>
          </cell>
          <cell r="AM476">
            <v>0.44017006802721087</v>
          </cell>
          <cell r="AN476">
            <v>2551.5</v>
          </cell>
          <cell r="AO476">
            <v>2751</v>
          </cell>
          <cell r="AP476">
            <v>2950.5</v>
          </cell>
          <cell r="AQ476">
            <v>0</v>
          </cell>
          <cell r="AS476">
            <v>3150</v>
          </cell>
        </row>
        <row r="477">
          <cell r="B477" t="str">
            <v>AC</v>
          </cell>
          <cell r="C477" t="str">
            <v>IMP</v>
          </cell>
          <cell r="D477" t="str">
            <v>BT</v>
          </cell>
          <cell r="E477" t="str">
            <v>08</v>
          </cell>
          <cell r="F477">
            <v>39924</v>
          </cell>
          <cell r="G477">
            <v>40001</v>
          </cell>
          <cell r="H477" t="str">
            <v>A0PUWY1</v>
          </cell>
          <cell r="I477" t="str">
            <v>3KMHOT505_</v>
          </cell>
          <cell r="J477">
            <v>0</v>
          </cell>
          <cell r="K477" t="str">
            <v>OT-505 Output Tray</v>
          </cell>
          <cell r="L477">
            <v>158</v>
          </cell>
          <cell r="M477">
            <v>51</v>
          </cell>
          <cell r="N477">
            <v>53.04</v>
          </cell>
          <cell r="O477">
            <v>0.24573378839590437</v>
          </cell>
          <cell r="P477">
            <v>70.319999999999993</v>
          </cell>
          <cell r="Q477">
            <v>54.06</v>
          </cell>
          <cell r="R477">
            <v>61.09</v>
          </cell>
          <cell r="S477">
            <v>87.9</v>
          </cell>
          <cell r="T477">
            <v>0.39658703071672358</v>
          </cell>
          <cell r="U477">
            <v>68.069760000000002</v>
          </cell>
          <cell r="V477">
            <v>0.22079936817758727</v>
          </cell>
          <cell r="W477">
            <v>70.319999999999993</v>
          </cell>
          <cell r="X477">
            <v>0.79999999999999982</v>
          </cell>
          <cell r="Y477" t="str">
            <v>Act freight</v>
          </cell>
          <cell r="Z477">
            <v>0</v>
          </cell>
          <cell r="AA477">
            <v>85</v>
          </cell>
          <cell r="AB477">
            <v>71</v>
          </cell>
          <cell r="AC477">
            <v>79</v>
          </cell>
          <cell r="AD477">
            <v>83</v>
          </cell>
          <cell r="AE477">
            <v>86.81</v>
          </cell>
          <cell r="AF477">
            <v>0.18995507430019593</v>
          </cell>
          <cell r="AG477">
            <v>0.38901048266328764</v>
          </cell>
          <cell r="AH477">
            <v>97</v>
          </cell>
          <cell r="AI477">
            <v>107</v>
          </cell>
          <cell r="AJ477">
            <v>0.34280373831775707</v>
          </cell>
          <cell r="AK477">
            <v>116.5</v>
          </cell>
          <cell r="AL477">
            <v>126</v>
          </cell>
          <cell r="AM477">
            <v>0.44190476190476197</v>
          </cell>
          <cell r="AN477">
            <v>134</v>
          </cell>
          <cell r="AO477">
            <v>142</v>
          </cell>
          <cell r="AP477">
            <v>150</v>
          </cell>
          <cell r="AQ477">
            <v>0</v>
          </cell>
          <cell r="AS477">
            <v>158</v>
          </cell>
        </row>
        <row r="478">
          <cell r="B478" t="str">
            <v>AC</v>
          </cell>
          <cell r="C478" t="str">
            <v>IMP</v>
          </cell>
          <cell r="D478" t="str">
            <v>BT</v>
          </cell>
          <cell r="E478" t="str">
            <v>08</v>
          </cell>
          <cell r="F478">
            <v>39924</v>
          </cell>
          <cell r="G478">
            <v>40001</v>
          </cell>
          <cell r="H478" t="str">
            <v>A0PV0Y1</v>
          </cell>
          <cell r="I478" t="str">
            <v>6KMPI504_N</v>
          </cell>
          <cell r="J478">
            <v>0</v>
          </cell>
          <cell r="K478" t="str">
            <v>PI-504 Post Inserter</v>
          </cell>
          <cell r="L478">
            <v>1050</v>
          </cell>
          <cell r="M478">
            <v>362</v>
          </cell>
          <cell r="N478">
            <v>376.48</v>
          </cell>
          <cell r="O478">
            <v>0.17235314808301086</v>
          </cell>
          <cell r="P478">
            <v>454.88</v>
          </cell>
          <cell r="Q478">
            <v>383.72</v>
          </cell>
          <cell r="R478">
            <v>433.6</v>
          </cell>
          <cell r="S478">
            <v>568.6</v>
          </cell>
          <cell r="T478">
            <v>0.33788251846640871</v>
          </cell>
          <cell r="U478">
            <v>440.32384000000002</v>
          </cell>
          <cell r="V478">
            <v>0.14499292157335836</v>
          </cell>
          <cell r="W478">
            <v>454.88</v>
          </cell>
          <cell r="X478">
            <v>0.79999999999999993</v>
          </cell>
          <cell r="Y478" t="str">
            <v>Act freight</v>
          </cell>
          <cell r="Z478">
            <v>0</v>
          </cell>
          <cell r="AA478">
            <v>550</v>
          </cell>
          <cell r="AB478">
            <v>455</v>
          </cell>
          <cell r="AC478">
            <v>506</v>
          </cell>
          <cell r="AD478">
            <v>534</v>
          </cell>
          <cell r="AE478">
            <v>561.58000000000004</v>
          </cell>
          <cell r="AF478">
            <v>0.18999964386196097</v>
          </cell>
          <cell r="AG478">
            <v>0.32960575519071195</v>
          </cell>
          <cell r="AH478">
            <v>625</v>
          </cell>
          <cell r="AI478">
            <v>688</v>
          </cell>
          <cell r="AJ478">
            <v>0.33883720930232558</v>
          </cell>
          <cell r="AK478">
            <v>750.5</v>
          </cell>
          <cell r="AL478">
            <v>813</v>
          </cell>
          <cell r="AM478">
            <v>0.4404920049200492</v>
          </cell>
          <cell r="AN478">
            <v>872.25</v>
          </cell>
          <cell r="AO478">
            <v>931.5</v>
          </cell>
          <cell r="AP478">
            <v>990.75</v>
          </cell>
          <cell r="AQ478">
            <v>0</v>
          </cell>
          <cell r="AS478">
            <v>1050</v>
          </cell>
        </row>
        <row r="479">
          <cell r="B479" t="str">
            <v>AC</v>
          </cell>
          <cell r="C479" t="str">
            <v>IMP</v>
          </cell>
          <cell r="D479" t="str">
            <v>BT</v>
          </cell>
          <cell r="E479" t="str">
            <v>08</v>
          </cell>
          <cell r="F479">
            <v>39924</v>
          </cell>
          <cell r="G479">
            <v>40001</v>
          </cell>
          <cell r="H479" t="str">
            <v>A0PWWY1</v>
          </cell>
          <cell r="I479" t="str">
            <v>3KMHWT504</v>
          </cell>
          <cell r="J479">
            <v>0</v>
          </cell>
          <cell r="K479" t="str">
            <v>WT-504 Work Table</v>
          </cell>
          <cell r="L479">
            <v>105</v>
          </cell>
          <cell r="M479">
            <v>31</v>
          </cell>
          <cell r="N479">
            <v>32.24</v>
          </cell>
          <cell r="O479">
            <v>0.23238095238095233</v>
          </cell>
          <cell r="P479">
            <v>42</v>
          </cell>
          <cell r="Q479">
            <v>32.86</v>
          </cell>
          <cell r="R479">
            <v>37.130000000000003</v>
          </cell>
          <cell r="S479">
            <v>52.5</v>
          </cell>
          <cell r="T479">
            <v>0.38590476190476186</v>
          </cell>
          <cell r="U479">
            <v>40.655999999999999</v>
          </cell>
          <cell r="V479">
            <v>0.20700511609602512</v>
          </cell>
          <cell r="W479">
            <v>42</v>
          </cell>
          <cell r="X479">
            <v>0.8</v>
          </cell>
          <cell r="Y479" t="str">
            <v>Act freight</v>
          </cell>
          <cell r="Z479">
            <v>0</v>
          </cell>
          <cell r="AA479">
            <v>51</v>
          </cell>
          <cell r="AB479">
            <v>42</v>
          </cell>
          <cell r="AC479">
            <v>47</v>
          </cell>
          <cell r="AD479">
            <v>50</v>
          </cell>
          <cell r="AE479">
            <v>51.85</v>
          </cell>
          <cell r="AF479">
            <v>0.18997107039537128</v>
          </cell>
          <cell r="AG479">
            <v>0.37820636451301831</v>
          </cell>
          <cell r="AH479">
            <v>58</v>
          </cell>
          <cell r="AI479">
            <v>64</v>
          </cell>
          <cell r="AJ479">
            <v>0.34375</v>
          </cell>
          <cell r="AK479">
            <v>69.5</v>
          </cell>
          <cell r="AL479">
            <v>75</v>
          </cell>
          <cell r="AM479">
            <v>0.44</v>
          </cell>
          <cell r="AN479">
            <v>82.5</v>
          </cell>
          <cell r="AO479">
            <v>90</v>
          </cell>
          <cell r="AP479">
            <v>97.5</v>
          </cell>
          <cell r="AQ479">
            <v>0</v>
          </cell>
          <cell r="AS479">
            <v>105</v>
          </cell>
        </row>
        <row r="480">
          <cell r="B480" t="str">
            <v>AC</v>
          </cell>
          <cell r="C480" t="str">
            <v>IMP</v>
          </cell>
          <cell r="D480" t="str">
            <v>BT</v>
          </cell>
          <cell r="E480" t="str">
            <v>08</v>
          </cell>
          <cell r="F480">
            <v>39924</v>
          </cell>
          <cell r="G480">
            <v>40001</v>
          </cell>
          <cell r="H480" t="str">
            <v>A0PX0Y1</v>
          </cell>
          <cell r="I480" t="str">
            <v>6KMSF602_N</v>
          </cell>
          <cell r="J480">
            <v>0</v>
          </cell>
          <cell r="K480" t="str">
            <v>SF-602 Shift Tray</v>
          </cell>
          <cell r="L480">
            <v>840</v>
          </cell>
          <cell r="M480">
            <v>306</v>
          </cell>
          <cell r="N480">
            <v>318.24</v>
          </cell>
          <cell r="O480">
            <v>0.23308270676691722</v>
          </cell>
          <cell r="P480">
            <v>414.96</v>
          </cell>
          <cell r="Q480">
            <v>324.36</v>
          </cell>
          <cell r="R480">
            <v>366.53</v>
          </cell>
          <cell r="S480">
            <v>518.70000000000005</v>
          </cell>
          <cell r="T480">
            <v>0.38646616541353385</v>
          </cell>
          <cell r="U480">
            <v>401.68128000000002</v>
          </cell>
          <cell r="V480">
            <v>0.20773006897408813</v>
          </cell>
          <cell r="W480">
            <v>414.96</v>
          </cell>
          <cell r="X480">
            <v>0.79999999999999993</v>
          </cell>
          <cell r="Y480" t="str">
            <v>Act freight</v>
          </cell>
          <cell r="Z480">
            <v>0</v>
          </cell>
          <cell r="AA480">
            <v>502</v>
          </cell>
          <cell r="AB480">
            <v>415</v>
          </cell>
          <cell r="AC480">
            <v>462</v>
          </cell>
          <cell r="AD480">
            <v>488</v>
          </cell>
          <cell r="AE480">
            <v>512.29999999999995</v>
          </cell>
          <cell r="AF480">
            <v>0.19000585594378291</v>
          </cell>
          <cell r="AG480">
            <v>0.37880148350575826</v>
          </cell>
          <cell r="AH480">
            <v>570</v>
          </cell>
          <cell r="AI480">
            <v>627</v>
          </cell>
          <cell r="AJ480">
            <v>0.33818181818181819</v>
          </cell>
          <cell r="AK480">
            <v>684</v>
          </cell>
          <cell r="AL480">
            <v>741</v>
          </cell>
          <cell r="AM480">
            <v>0.44</v>
          </cell>
          <cell r="AN480">
            <v>765.75</v>
          </cell>
          <cell r="AO480">
            <v>790.5</v>
          </cell>
          <cell r="AP480">
            <v>815.25</v>
          </cell>
          <cell r="AQ480">
            <v>0</v>
          </cell>
          <cell r="AS480">
            <v>840</v>
          </cell>
        </row>
        <row r="481">
          <cell r="B481" t="str">
            <v>AC</v>
          </cell>
          <cell r="C481" t="str">
            <v>IMP</v>
          </cell>
          <cell r="D481" t="str">
            <v>BT</v>
          </cell>
          <cell r="E481" t="str">
            <v>08</v>
          </cell>
          <cell r="F481">
            <v>39924</v>
          </cell>
          <cell r="G481">
            <v>40001</v>
          </cell>
          <cell r="H481" t="str">
            <v>A0R00Y1</v>
          </cell>
          <cell r="I481" t="str">
            <v>6KMZU605_N</v>
          </cell>
          <cell r="J481">
            <v>0</v>
          </cell>
          <cell r="K481" t="str">
            <v>ZU-605 Z-Fold/Punch Unit (2/3 Hole)</v>
          </cell>
          <cell r="L481">
            <v>5198</v>
          </cell>
          <cell r="M481">
            <v>1989</v>
          </cell>
          <cell r="N481">
            <v>2068.56</v>
          </cell>
          <cell r="O481">
            <v>0.18994360902255639</v>
          </cell>
          <cell r="P481">
            <v>2553.6</v>
          </cell>
          <cell r="Q481">
            <v>2108.34</v>
          </cell>
          <cell r="R481">
            <v>2382.42</v>
          </cell>
          <cell r="S481">
            <v>3192</v>
          </cell>
          <cell r="T481">
            <v>0.35195488721804513</v>
          </cell>
          <cell r="U481">
            <v>2471.8847999999998</v>
          </cell>
          <cell r="V481">
            <v>0.16316488535388052</v>
          </cell>
          <cell r="W481">
            <v>2553.6</v>
          </cell>
          <cell r="X481">
            <v>0.79999999999999993</v>
          </cell>
          <cell r="Y481" t="str">
            <v>Act freight</v>
          </cell>
          <cell r="Z481">
            <v>0</v>
          </cell>
          <cell r="AA481">
            <v>3090</v>
          </cell>
          <cell r="AB481">
            <v>2554</v>
          </cell>
          <cell r="AC481">
            <v>2838</v>
          </cell>
          <cell r="AD481">
            <v>2996</v>
          </cell>
          <cell r="AE481">
            <v>3152.59</v>
          </cell>
          <cell r="AF481">
            <v>0.18999933388103121</v>
          </cell>
          <cell r="AG481">
            <v>0.34385378371434283</v>
          </cell>
          <cell r="AH481">
            <v>3505</v>
          </cell>
          <cell r="AI481">
            <v>3857</v>
          </cell>
          <cell r="AJ481">
            <v>0.33793103448275863</v>
          </cell>
          <cell r="AK481">
            <v>4208.5</v>
          </cell>
          <cell r="AL481">
            <v>4560</v>
          </cell>
          <cell r="AM481">
            <v>0.44</v>
          </cell>
          <cell r="AN481">
            <v>4719.5</v>
          </cell>
          <cell r="AO481">
            <v>4879</v>
          </cell>
          <cell r="AP481">
            <v>5038.5</v>
          </cell>
          <cell r="AQ481">
            <v>0</v>
          </cell>
          <cell r="AS481">
            <v>5198</v>
          </cell>
        </row>
        <row r="482">
          <cell r="B482" t="str">
            <v>AC</v>
          </cell>
          <cell r="C482" t="str">
            <v>IMP</v>
          </cell>
          <cell r="D482" t="str">
            <v>BT</v>
          </cell>
          <cell r="E482" t="str">
            <v>08</v>
          </cell>
          <cell r="F482">
            <v>39924</v>
          </cell>
          <cell r="G482">
            <v>40001</v>
          </cell>
          <cell r="H482" t="str">
            <v>A0R10Y1</v>
          </cell>
          <cell r="I482" t="str">
            <v>6KMFS524_N</v>
          </cell>
          <cell r="J482">
            <v>0</v>
          </cell>
          <cell r="K482" t="str">
            <v>FS-524 Finisher (50 Staple)</v>
          </cell>
          <cell r="L482">
            <v>2993</v>
          </cell>
          <cell r="M482">
            <v>918</v>
          </cell>
          <cell r="N482">
            <v>954.72</v>
          </cell>
          <cell r="O482">
            <v>0.22269263336155798</v>
          </cell>
          <cell r="P482">
            <v>1228.24</v>
          </cell>
          <cell r="Q482">
            <v>973.08</v>
          </cell>
          <cell r="R482">
            <v>1099.58</v>
          </cell>
          <cell r="S482">
            <v>1535.3</v>
          </cell>
          <cell r="T482">
            <v>0.37815410668924637</v>
          </cell>
          <cell r="U482">
            <v>1188.93632</v>
          </cell>
          <cell r="V482">
            <v>0.19699652206772519</v>
          </cell>
          <cell r="W482">
            <v>1228.24</v>
          </cell>
          <cell r="X482">
            <v>0.8</v>
          </cell>
          <cell r="Y482" t="str">
            <v>Act freight</v>
          </cell>
          <cell r="Z482">
            <v>0</v>
          </cell>
          <cell r="AA482">
            <v>1486</v>
          </cell>
          <cell r="AB482">
            <v>1229</v>
          </cell>
          <cell r="AC482">
            <v>1365</v>
          </cell>
          <cell r="AD482">
            <v>1441</v>
          </cell>
          <cell r="AE482">
            <v>1516.35</v>
          </cell>
          <cell r="AF482">
            <v>0.19000230817423414</v>
          </cell>
          <cell r="AG482">
            <v>0.37038282718369764</v>
          </cell>
          <cell r="AH482">
            <v>1687</v>
          </cell>
          <cell r="AI482">
            <v>1856</v>
          </cell>
          <cell r="AJ482">
            <v>0.33823275862068963</v>
          </cell>
          <cell r="AK482">
            <v>2025</v>
          </cell>
          <cell r="AL482">
            <v>2194</v>
          </cell>
          <cell r="AM482">
            <v>0.44018231540565178</v>
          </cell>
          <cell r="AN482">
            <v>2393.75</v>
          </cell>
          <cell r="AO482">
            <v>2593.5</v>
          </cell>
          <cell r="AP482">
            <v>2793.25</v>
          </cell>
          <cell r="AQ482">
            <v>0</v>
          </cell>
          <cell r="AS482">
            <v>2993</v>
          </cell>
        </row>
        <row r="483">
          <cell r="B483" t="str">
            <v>AC</v>
          </cell>
          <cell r="C483" t="str">
            <v>IMP</v>
          </cell>
          <cell r="D483" t="str">
            <v>BT</v>
          </cell>
          <cell r="E483" t="str">
            <v>08</v>
          </cell>
          <cell r="F483">
            <v>39924</v>
          </cell>
          <cell r="G483">
            <v>40001</v>
          </cell>
          <cell r="H483" t="str">
            <v>A0R20Y1</v>
          </cell>
          <cell r="I483" t="str">
            <v>6KMFS525_N</v>
          </cell>
          <cell r="J483">
            <v>0</v>
          </cell>
          <cell r="K483" t="str">
            <v>FS-525 Finisher (100 Staple)</v>
          </cell>
          <cell r="L483">
            <v>4620</v>
          </cell>
          <cell r="M483">
            <v>1581</v>
          </cell>
          <cell r="N483">
            <v>1644.24</v>
          </cell>
          <cell r="O483">
            <v>0.13282139994093073</v>
          </cell>
          <cell r="P483">
            <v>1896.08</v>
          </cell>
          <cell r="Q483">
            <v>1675.86</v>
          </cell>
          <cell r="R483">
            <v>1893.72</v>
          </cell>
          <cell r="S483">
            <v>2370.1</v>
          </cell>
          <cell r="T483">
            <v>0.30625711995274457</v>
          </cell>
          <cell r="U483">
            <v>1835.4054399999998</v>
          </cell>
          <cell r="V483">
            <v>0.10415433878195315</v>
          </cell>
          <cell r="W483">
            <v>1896.08</v>
          </cell>
          <cell r="X483">
            <v>0.8</v>
          </cell>
          <cell r="Y483" t="str">
            <v>Act freight</v>
          </cell>
          <cell r="Z483">
            <v>0</v>
          </cell>
          <cell r="AA483">
            <v>2294</v>
          </cell>
          <cell r="AB483">
            <v>1897</v>
          </cell>
          <cell r="AC483">
            <v>2107</v>
          </cell>
          <cell r="AD483">
            <v>2224</v>
          </cell>
          <cell r="AE483">
            <v>2340.84</v>
          </cell>
          <cell r="AF483">
            <v>0.19000017087882989</v>
          </cell>
          <cell r="AG483">
            <v>0.29758548213461838</v>
          </cell>
          <cell r="AH483">
            <v>2603</v>
          </cell>
          <cell r="AI483">
            <v>2864</v>
          </cell>
          <cell r="AJ483">
            <v>0.33796089385474865</v>
          </cell>
          <cell r="AK483">
            <v>3125</v>
          </cell>
          <cell r="AL483">
            <v>3386</v>
          </cell>
          <cell r="AM483">
            <v>0.44002362669816897</v>
          </cell>
          <cell r="AN483">
            <v>3694.5</v>
          </cell>
          <cell r="AO483">
            <v>4003</v>
          </cell>
          <cell r="AP483">
            <v>4311.5</v>
          </cell>
          <cell r="AQ483">
            <v>0</v>
          </cell>
          <cell r="AS483">
            <v>4620</v>
          </cell>
        </row>
        <row r="484">
          <cell r="B484" t="str">
            <v>AC</v>
          </cell>
          <cell r="C484" t="str">
            <v>IMP</v>
          </cell>
          <cell r="D484" t="str">
            <v>BT</v>
          </cell>
          <cell r="E484" t="str">
            <v>08</v>
          </cell>
          <cell r="F484">
            <v>39924</v>
          </cell>
          <cell r="G484">
            <v>40001</v>
          </cell>
          <cell r="H484" t="str">
            <v>A0R30Y1</v>
          </cell>
          <cell r="I484" t="str">
            <v>6KMFS610_N</v>
          </cell>
          <cell r="J484">
            <v>0</v>
          </cell>
          <cell r="K484" t="str">
            <v>FS-610 Booklet Finisher</v>
          </cell>
          <cell r="L484">
            <v>4725</v>
          </cell>
          <cell r="M484">
            <v>1530</v>
          </cell>
          <cell r="N484">
            <v>1591.2</v>
          </cell>
          <cell r="O484">
            <v>0.17945544554455445</v>
          </cell>
          <cell r="P484">
            <v>1939.2</v>
          </cell>
          <cell r="Q484">
            <v>1621.8</v>
          </cell>
          <cell r="R484">
            <v>1832.63</v>
          </cell>
          <cell r="S484">
            <v>2424</v>
          </cell>
          <cell r="T484">
            <v>0.34356435643564354</v>
          </cell>
          <cell r="U484">
            <v>1877.1455999999998</v>
          </cell>
          <cell r="V484">
            <v>0.15233000572784541</v>
          </cell>
          <cell r="W484">
            <v>1939.2</v>
          </cell>
          <cell r="X484">
            <v>0.8</v>
          </cell>
          <cell r="Y484" t="str">
            <v>Act freight</v>
          </cell>
          <cell r="Z484">
            <v>0</v>
          </cell>
          <cell r="AA484">
            <v>2346</v>
          </cell>
          <cell r="AB484">
            <v>1940</v>
          </cell>
          <cell r="AC484">
            <v>2155</v>
          </cell>
          <cell r="AD484">
            <v>2275</v>
          </cell>
          <cell r="AE484">
            <v>2394.0700000000002</v>
          </cell>
          <cell r="AF484">
            <v>0.18999862159418901</v>
          </cell>
          <cell r="AG484">
            <v>0.33535777984770709</v>
          </cell>
          <cell r="AH484">
            <v>2662</v>
          </cell>
          <cell r="AI484">
            <v>2929</v>
          </cell>
          <cell r="AJ484">
            <v>0.33793103448275863</v>
          </cell>
          <cell r="AK484">
            <v>3196</v>
          </cell>
          <cell r="AL484">
            <v>3463</v>
          </cell>
          <cell r="AM484">
            <v>0.44002310135720474</v>
          </cell>
          <cell r="AN484">
            <v>3778.5</v>
          </cell>
          <cell r="AO484">
            <v>4094</v>
          </cell>
          <cell r="AP484">
            <v>4409.5</v>
          </cell>
          <cell r="AQ484">
            <v>0</v>
          </cell>
          <cell r="AR484">
            <v>295</v>
          </cell>
          <cell r="AS484">
            <v>4725</v>
          </cell>
        </row>
        <row r="485">
          <cell r="B485" t="str">
            <v>AC</v>
          </cell>
          <cell r="C485" t="str">
            <v>IMP</v>
          </cell>
          <cell r="D485" t="str">
            <v>BT</v>
          </cell>
          <cell r="E485" t="str">
            <v>08</v>
          </cell>
          <cell r="F485">
            <v>39924</v>
          </cell>
          <cell r="G485">
            <v>40001</v>
          </cell>
          <cell r="H485" t="str">
            <v>A0R90Y1</v>
          </cell>
          <cell r="I485" t="str">
            <v>6KMLU203LCT_N</v>
          </cell>
          <cell r="J485">
            <v>0</v>
          </cell>
          <cell r="K485" t="str">
            <v>LU-203 Large Capacity Tray (2K sheets)</v>
          </cell>
          <cell r="L485">
            <v>1449</v>
          </cell>
          <cell r="M485">
            <v>449</v>
          </cell>
          <cell r="N485">
            <v>466.96000000000004</v>
          </cell>
          <cell r="O485">
            <v>0.19333886124930894</v>
          </cell>
          <cell r="P485">
            <v>578.88</v>
          </cell>
          <cell r="Q485">
            <v>475.94</v>
          </cell>
          <cell r="R485">
            <v>537.80999999999995</v>
          </cell>
          <cell r="S485">
            <v>723.6</v>
          </cell>
          <cell r="T485">
            <v>0.35467108899944716</v>
          </cell>
          <cell r="U485">
            <v>560.35584000000006</v>
          </cell>
          <cell r="V485">
            <v>0.16667237732366635</v>
          </cell>
          <cell r="W485">
            <v>578.88</v>
          </cell>
          <cell r="X485">
            <v>0.79999999999999993</v>
          </cell>
          <cell r="Y485" t="str">
            <v>Act freight</v>
          </cell>
          <cell r="Z485">
            <v>0</v>
          </cell>
          <cell r="AA485">
            <v>700</v>
          </cell>
          <cell r="AB485">
            <v>579</v>
          </cell>
          <cell r="AC485">
            <v>644</v>
          </cell>
          <cell r="AD485">
            <v>680</v>
          </cell>
          <cell r="AE485">
            <v>714.67</v>
          </cell>
          <cell r="AF485">
            <v>0.19000377796745346</v>
          </cell>
          <cell r="AG485">
            <v>0.34660752515146842</v>
          </cell>
          <cell r="AH485">
            <v>795</v>
          </cell>
          <cell r="AI485">
            <v>875</v>
          </cell>
          <cell r="AJ485">
            <v>0.33842285714285714</v>
          </cell>
          <cell r="AK485">
            <v>954.5</v>
          </cell>
          <cell r="AL485">
            <v>1034</v>
          </cell>
          <cell r="AM485">
            <v>0.44015473887814316</v>
          </cell>
          <cell r="AN485">
            <v>1137.75</v>
          </cell>
          <cell r="AO485">
            <v>1241.5</v>
          </cell>
          <cell r="AP485">
            <v>1345.25</v>
          </cell>
          <cell r="AQ485">
            <v>0</v>
          </cell>
          <cell r="AR485">
            <v>295</v>
          </cell>
          <cell r="AS485">
            <v>1449</v>
          </cell>
        </row>
        <row r="486">
          <cell r="B486" t="str">
            <v>AC</v>
          </cell>
          <cell r="C486" t="str">
            <v>IMP</v>
          </cell>
          <cell r="D486" t="str">
            <v>BT</v>
          </cell>
          <cell r="E486" t="str">
            <v>08</v>
          </cell>
          <cell r="F486">
            <v>39924</v>
          </cell>
          <cell r="G486">
            <v>40001</v>
          </cell>
          <cell r="H486" t="str">
            <v>A0RA0Y1</v>
          </cell>
          <cell r="I486" t="str">
            <v>3KMHOT504OPT</v>
          </cell>
          <cell r="J486">
            <v>0</v>
          </cell>
          <cell r="K486" t="str">
            <v>OT-504 Output Tray</v>
          </cell>
          <cell r="L486">
            <v>158</v>
          </cell>
          <cell r="M486">
            <v>51</v>
          </cell>
          <cell r="N486">
            <v>53.04</v>
          </cell>
          <cell r="O486">
            <v>0.24573378839590437</v>
          </cell>
          <cell r="P486">
            <v>70.319999999999993</v>
          </cell>
          <cell r="Q486">
            <v>54.06</v>
          </cell>
          <cell r="R486">
            <v>61.09</v>
          </cell>
          <cell r="S486">
            <v>87.9</v>
          </cell>
          <cell r="T486">
            <v>0.39658703071672358</v>
          </cell>
          <cell r="U486">
            <v>68.069760000000002</v>
          </cell>
          <cell r="V486">
            <v>0.22079936817758727</v>
          </cell>
          <cell r="W486">
            <v>70.319999999999993</v>
          </cell>
          <cell r="X486">
            <v>0.79999999999999982</v>
          </cell>
          <cell r="Y486" t="str">
            <v>Act freight</v>
          </cell>
          <cell r="Z486">
            <v>0</v>
          </cell>
          <cell r="AA486">
            <v>85</v>
          </cell>
          <cell r="AB486">
            <v>71</v>
          </cell>
          <cell r="AC486">
            <v>79</v>
          </cell>
          <cell r="AD486">
            <v>83</v>
          </cell>
          <cell r="AE486">
            <v>86.81</v>
          </cell>
          <cell r="AF486">
            <v>0.18995507430019593</v>
          </cell>
          <cell r="AG486">
            <v>0.38901048266328764</v>
          </cell>
          <cell r="AH486">
            <v>97</v>
          </cell>
          <cell r="AI486">
            <v>107</v>
          </cell>
          <cell r="AJ486">
            <v>0.34280373831775707</v>
          </cell>
          <cell r="AK486">
            <v>116.5</v>
          </cell>
          <cell r="AL486">
            <v>126</v>
          </cell>
          <cell r="AM486">
            <v>0.44190476190476197</v>
          </cell>
          <cell r="AN486">
            <v>134</v>
          </cell>
          <cell r="AO486">
            <v>142</v>
          </cell>
          <cell r="AP486">
            <v>150</v>
          </cell>
          <cell r="AQ486">
            <v>0</v>
          </cell>
          <cell r="AR486">
            <v>295</v>
          </cell>
          <cell r="AS486">
            <v>158</v>
          </cell>
        </row>
        <row r="487">
          <cell r="B487" t="str">
            <v>AC</v>
          </cell>
          <cell r="C487" t="str">
            <v>IMP</v>
          </cell>
          <cell r="D487" t="str">
            <v>BT</v>
          </cell>
          <cell r="E487" t="str">
            <v>08</v>
          </cell>
          <cell r="F487">
            <v>39924</v>
          </cell>
          <cell r="G487">
            <v>40001</v>
          </cell>
          <cell r="H487" t="str">
            <v>A0RC011</v>
          </cell>
          <cell r="I487" t="str">
            <v>6KMPC407LGC_N</v>
          </cell>
          <cell r="J487">
            <v>0</v>
          </cell>
          <cell r="K487" t="str">
            <v>PC-407 2500 Sheet Large Capacity Tray</v>
          </cell>
          <cell r="L487">
            <v>1323</v>
          </cell>
          <cell r="M487">
            <v>408</v>
          </cell>
          <cell r="N487">
            <v>424.32</v>
          </cell>
          <cell r="O487">
            <v>0.28071602929210737</v>
          </cell>
          <cell r="P487">
            <v>589.91999999999996</v>
          </cell>
          <cell r="Q487">
            <v>432.48</v>
          </cell>
          <cell r="R487">
            <v>488.7</v>
          </cell>
          <cell r="S487">
            <v>737.4</v>
          </cell>
          <cell r="T487">
            <v>0.42457282343368591</v>
          </cell>
          <cell r="U487">
            <v>571.04255999999998</v>
          </cell>
          <cell r="V487">
            <v>0.25693804678936716</v>
          </cell>
          <cell r="W487">
            <v>589.91999999999996</v>
          </cell>
          <cell r="X487">
            <v>0.79999999999999993</v>
          </cell>
          <cell r="Y487" t="str">
            <v>Act freight</v>
          </cell>
          <cell r="Z487">
            <v>0</v>
          </cell>
          <cell r="AA487">
            <v>714</v>
          </cell>
          <cell r="AB487">
            <v>590</v>
          </cell>
          <cell r="AC487">
            <v>656</v>
          </cell>
          <cell r="AD487">
            <v>693</v>
          </cell>
          <cell r="AE487">
            <v>728.3</v>
          </cell>
          <cell r="AF487">
            <v>0.19000411918165591</v>
          </cell>
          <cell r="AG487">
            <v>0.4173829465879445</v>
          </cell>
          <cell r="AH487">
            <v>811</v>
          </cell>
          <cell r="AI487">
            <v>892</v>
          </cell>
          <cell r="AJ487">
            <v>0.33865470852017943</v>
          </cell>
          <cell r="AK487">
            <v>973</v>
          </cell>
          <cell r="AL487">
            <v>1054</v>
          </cell>
          <cell r="AM487">
            <v>0.44030360531309304</v>
          </cell>
          <cell r="AN487">
            <v>1121.25</v>
          </cell>
          <cell r="AO487">
            <v>1188.5</v>
          </cell>
          <cell r="AP487">
            <v>1255.75</v>
          </cell>
          <cell r="AQ487">
            <v>0</v>
          </cell>
          <cell r="AR487">
            <v>288</v>
          </cell>
          <cell r="AS487">
            <v>1323</v>
          </cell>
        </row>
        <row r="488">
          <cell r="B488" t="str">
            <v>AC</v>
          </cell>
          <cell r="C488" t="str">
            <v>IMP</v>
          </cell>
          <cell r="D488" t="str">
            <v>BT</v>
          </cell>
          <cell r="E488" t="str">
            <v>08</v>
          </cell>
          <cell r="F488">
            <v>39924</v>
          </cell>
          <cell r="G488">
            <v>40001</v>
          </cell>
          <cell r="H488" t="str">
            <v>A0RC0Y1</v>
          </cell>
          <cell r="I488" t="str">
            <v>6KMPC206PFC_N</v>
          </cell>
          <cell r="J488">
            <v>0</v>
          </cell>
          <cell r="K488" t="str">
            <v>PC-206 500 x 2 Universal Cassette</v>
          </cell>
          <cell r="L488">
            <v>1124</v>
          </cell>
          <cell r="M488">
            <v>408</v>
          </cell>
          <cell r="N488">
            <v>424.32</v>
          </cell>
          <cell r="O488">
            <v>0.21071428571428577</v>
          </cell>
          <cell r="P488">
            <v>537.6</v>
          </cell>
          <cell r="Q488">
            <v>432.48</v>
          </cell>
          <cell r="R488">
            <v>488.7</v>
          </cell>
          <cell r="S488">
            <v>672</v>
          </cell>
          <cell r="T488">
            <v>0.36857142857142861</v>
          </cell>
          <cell r="U488">
            <v>520.39679999999998</v>
          </cell>
          <cell r="V488">
            <v>0.18462219598583235</v>
          </cell>
          <cell r="W488">
            <v>537.6</v>
          </cell>
          <cell r="X488">
            <v>0.8</v>
          </cell>
          <cell r="Y488" t="str">
            <v>Act freight</v>
          </cell>
          <cell r="Z488">
            <v>0</v>
          </cell>
          <cell r="AA488">
            <v>650</v>
          </cell>
          <cell r="AB488">
            <v>538</v>
          </cell>
          <cell r="AC488">
            <v>598</v>
          </cell>
          <cell r="AD488">
            <v>631</v>
          </cell>
          <cell r="AE488">
            <v>663.7</v>
          </cell>
          <cell r="AF488">
            <v>0.18999547988549045</v>
          </cell>
          <cell r="AG488">
            <v>0.36067500376676215</v>
          </cell>
          <cell r="AH488">
            <v>738</v>
          </cell>
          <cell r="AI488">
            <v>812</v>
          </cell>
          <cell r="AJ488">
            <v>0.33793103448275857</v>
          </cell>
          <cell r="AK488">
            <v>886</v>
          </cell>
          <cell r="AL488">
            <v>960</v>
          </cell>
          <cell r="AM488">
            <v>0.44</v>
          </cell>
          <cell r="AN488">
            <v>1001</v>
          </cell>
          <cell r="AO488">
            <v>1042</v>
          </cell>
          <cell r="AP488">
            <v>1083</v>
          </cell>
          <cell r="AQ488">
            <v>0</v>
          </cell>
          <cell r="AR488">
            <v>288</v>
          </cell>
          <cell r="AS488">
            <v>1124</v>
          </cell>
        </row>
        <row r="489">
          <cell r="B489" t="str">
            <v>AC</v>
          </cell>
          <cell r="C489" t="str">
            <v>IMP</v>
          </cell>
          <cell r="D489" t="str">
            <v>BT</v>
          </cell>
          <cell r="E489" t="str">
            <v>08</v>
          </cell>
          <cell r="F489">
            <v>39924</v>
          </cell>
          <cell r="G489">
            <v>40001</v>
          </cell>
          <cell r="H489" t="str">
            <v>A0RC0Y3</v>
          </cell>
          <cell r="I489" t="str">
            <v>3KMHDK506CD</v>
          </cell>
          <cell r="J489">
            <v>0</v>
          </cell>
          <cell r="K489" t="str">
            <v>DK-506 Desk/Storage Drawer</v>
          </cell>
          <cell r="L489">
            <v>209</v>
          </cell>
          <cell r="M489">
            <v>82</v>
          </cell>
          <cell r="N489">
            <v>85.28</v>
          </cell>
          <cell r="O489">
            <v>0.15059760956175303</v>
          </cell>
          <cell r="P489">
            <v>100.4</v>
          </cell>
          <cell r="Q489">
            <v>86.92</v>
          </cell>
          <cell r="R489">
            <v>98.22</v>
          </cell>
          <cell r="S489">
            <v>125.5</v>
          </cell>
          <cell r="T489">
            <v>0.32047808764940239</v>
          </cell>
          <cell r="U489">
            <v>97.18719999999999</v>
          </cell>
          <cell r="V489">
            <v>0.12251819169602571</v>
          </cell>
          <cell r="W489">
            <v>100.4</v>
          </cell>
          <cell r="X489">
            <v>0.8</v>
          </cell>
          <cell r="Y489" t="str">
            <v>Act freight</v>
          </cell>
          <cell r="Z489">
            <v>0</v>
          </cell>
          <cell r="AA489">
            <v>121</v>
          </cell>
          <cell r="AB489">
            <v>101</v>
          </cell>
          <cell r="AC489">
            <v>112</v>
          </cell>
          <cell r="AD489">
            <v>118</v>
          </cell>
          <cell r="AE489">
            <v>123.95</v>
          </cell>
          <cell r="AF489">
            <v>0.18999596611536906</v>
          </cell>
          <cell r="AG489">
            <v>0.31198063735377168</v>
          </cell>
          <cell r="AH489">
            <v>138</v>
          </cell>
          <cell r="AI489">
            <v>152</v>
          </cell>
          <cell r="AJ489">
            <v>0.33947368421052626</v>
          </cell>
          <cell r="AK489">
            <v>166</v>
          </cell>
          <cell r="AL489">
            <v>180</v>
          </cell>
          <cell r="AM489">
            <v>0.44222222222222218</v>
          </cell>
          <cell r="AN489">
            <v>187.25</v>
          </cell>
          <cell r="AO489">
            <v>194.5</v>
          </cell>
          <cell r="AP489">
            <v>201.75</v>
          </cell>
          <cell r="AQ489">
            <v>0</v>
          </cell>
          <cell r="AS489">
            <v>209</v>
          </cell>
        </row>
        <row r="490">
          <cell r="B490" t="str">
            <v>AC</v>
          </cell>
          <cell r="C490" t="str">
            <v>IMP</v>
          </cell>
          <cell r="D490" t="str">
            <v>BT</v>
          </cell>
          <cell r="E490" t="str">
            <v>08</v>
          </cell>
          <cell r="F490">
            <v>39924</v>
          </cell>
          <cell r="G490">
            <v>40001</v>
          </cell>
          <cell r="H490" t="str">
            <v>A0RCW24</v>
          </cell>
          <cell r="I490" t="str">
            <v>6KMPC108_N</v>
          </cell>
          <cell r="J490">
            <v>0</v>
          </cell>
          <cell r="K490" t="str">
            <v>PC-108 500 Sheet Paper Feed Cabinet with Storage</v>
          </cell>
          <cell r="L490">
            <v>861</v>
          </cell>
          <cell r="M490">
            <v>286</v>
          </cell>
          <cell r="N490">
            <v>297.44</v>
          </cell>
          <cell r="O490">
            <v>0.22298850574712648</v>
          </cell>
          <cell r="P490">
            <v>382.8</v>
          </cell>
          <cell r="Q490">
            <v>303.16000000000003</v>
          </cell>
          <cell r="R490">
            <v>342.57</v>
          </cell>
          <cell r="S490">
            <v>478.5</v>
          </cell>
          <cell r="T490">
            <v>0.37839080459770114</v>
          </cell>
          <cell r="U490">
            <v>370.55039999999997</v>
          </cell>
          <cell r="V490">
            <v>0.19730217535860162</v>
          </cell>
          <cell r="W490">
            <v>382.8</v>
          </cell>
          <cell r="X490">
            <v>0.8</v>
          </cell>
          <cell r="Y490" t="str">
            <v>Act freight</v>
          </cell>
          <cell r="Z490">
            <v>0</v>
          </cell>
          <cell r="AA490">
            <v>463</v>
          </cell>
          <cell r="AB490">
            <v>383</v>
          </cell>
          <cell r="AC490">
            <v>426</v>
          </cell>
          <cell r="AD490">
            <v>450</v>
          </cell>
          <cell r="AE490">
            <v>472.59</v>
          </cell>
          <cell r="AF490">
            <v>0.18999555640195512</v>
          </cell>
          <cell r="AG490">
            <v>0.37061723692841575</v>
          </cell>
          <cell r="AH490">
            <v>526</v>
          </cell>
          <cell r="AI490">
            <v>579</v>
          </cell>
          <cell r="AJ490">
            <v>0.33886010362694297</v>
          </cell>
          <cell r="AK490">
            <v>631.5</v>
          </cell>
          <cell r="AL490">
            <v>684</v>
          </cell>
          <cell r="AM490">
            <v>0.44035087719298244</v>
          </cell>
          <cell r="AN490">
            <v>728.25</v>
          </cell>
          <cell r="AO490">
            <v>772.5</v>
          </cell>
          <cell r="AP490">
            <v>816.75</v>
          </cell>
          <cell r="AQ490">
            <v>0</v>
          </cell>
          <cell r="AS490">
            <v>861</v>
          </cell>
        </row>
        <row r="491">
          <cell r="B491" t="str">
            <v>AC</v>
          </cell>
          <cell r="C491" t="str">
            <v>IMP</v>
          </cell>
          <cell r="D491" t="str">
            <v>BT</v>
          </cell>
          <cell r="E491" t="str">
            <v>08</v>
          </cell>
          <cell r="F491">
            <v>39924</v>
          </cell>
          <cell r="G491">
            <v>40001</v>
          </cell>
          <cell r="H491" t="str">
            <v>A0RD0Y1</v>
          </cell>
          <cell r="I491" t="str">
            <v>3KMHRU507</v>
          </cell>
          <cell r="J491">
            <v>0</v>
          </cell>
          <cell r="K491" t="str">
            <v>RU-507 Relay Unit for FS-523</v>
          </cell>
          <cell r="L491">
            <v>263</v>
          </cell>
          <cell r="M491">
            <v>102</v>
          </cell>
          <cell r="N491">
            <v>106.08</v>
          </cell>
          <cell r="O491">
            <v>0.11422845691382771</v>
          </cell>
          <cell r="P491">
            <v>119.76</v>
          </cell>
          <cell r="Q491">
            <v>108.12</v>
          </cell>
          <cell r="R491">
            <v>122.18</v>
          </cell>
          <cell r="S491">
            <v>149.69999999999999</v>
          </cell>
          <cell r="T491">
            <v>0.29138276553106207</v>
          </cell>
          <cell r="U491">
            <v>115.92767999999998</v>
          </cell>
          <cell r="V491">
            <v>8.4946753010152407E-2</v>
          </cell>
          <cell r="W491">
            <v>119.76</v>
          </cell>
          <cell r="X491">
            <v>0.8</v>
          </cell>
          <cell r="Y491" t="str">
            <v>Act freight</v>
          </cell>
          <cell r="Z491">
            <v>0</v>
          </cell>
          <cell r="AA491">
            <v>145</v>
          </cell>
          <cell r="AB491">
            <v>120</v>
          </cell>
          <cell r="AC491">
            <v>134</v>
          </cell>
          <cell r="AD491">
            <v>141</v>
          </cell>
          <cell r="AE491">
            <v>147.85</v>
          </cell>
          <cell r="AF491">
            <v>0.18998985458234691</v>
          </cell>
          <cell r="AG491">
            <v>0.28251606357795062</v>
          </cell>
          <cell r="AH491">
            <v>165</v>
          </cell>
          <cell r="AI491">
            <v>181</v>
          </cell>
          <cell r="AJ491">
            <v>0.33834254143646408</v>
          </cell>
          <cell r="AK491">
            <v>197.5</v>
          </cell>
          <cell r="AL491">
            <v>214</v>
          </cell>
          <cell r="AM491">
            <v>0.44037383177570089</v>
          </cell>
          <cell r="AN491">
            <v>226.25</v>
          </cell>
          <cell r="AO491">
            <v>238.5</v>
          </cell>
          <cell r="AP491">
            <v>250.75</v>
          </cell>
          <cell r="AQ491">
            <v>0</v>
          </cell>
          <cell r="AS491">
            <v>263</v>
          </cell>
        </row>
        <row r="492">
          <cell r="B492" t="str">
            <v>AC</v>
          </cell>
          <cell r="C492" t="str">
            <v>IMP</v>
          </cell>
          <cell r="D492" t="str">
            <v>BT</v>
          </cell>
          <cell r="E492" t="str">
            <v>08</v>
          </cell>
          <cell r="F492">
            <v>39924</v>
          </cell>
          <cell r="G492">
            <v>40001</v>
          </cell>
          <cell r="H492" t="str">
            <v>A0TJWY2</v>
          </cell>
          <cell r="I492" t="str">
            <v>6KMLU204_N</v>
          </cell>
          <cell r="J492">
            <v>0</v>
          </cell>
          <cell r="K492" t="str">
            <v>LU-204 Large Capacity Unit (2,500 sheets/Letter, Legal, Ledger and 12"x18")</v>
          </cell>
          <cell r="L492">
            <v>3150</v>
          </cell>
          <cell r="M492">
            <v>918</v>
          </cell>
          <cell r="N492">
            <v>954.72</v>
          </cell>
          <cell r="O492">
            <v>0.27492557263503248</v>
          </cell>
          <cell r="P492">
            <v>1316.72</v>
          </cell>
          <cell r="Q492">
            <v>973.08</v>
          </cell>
          <cell r="R492">
            <v>1099.58</v>
          </cell>
          <cell r="S492">
            <v>1645.9</v>
          </cell>
          <cell r="T492">
            <v>0.41994045810802599</v>
          </cell>
          <cell r="U492">
            <v>1274.5849600000001</v>
          </cell>
          <cell r="V492">
            <v>0.25095617007751297</v>
          </cell>
          <cell r="W492">
            <v>1316.72</v>
          </cell>
          <cell r="X492">
            <v>0.79999999999999993</v>
          </cell>
          <cell r="Y492" t="str">
            <v>Act freight</v>
          </cell>
          <cell r="Z492">
            <v>0</v>
          </cell>
          <cell r="AA492">
            <v>1593</v>
          </cell>
          <cell r="AB492">
            <v>1317</v>
          </cell>
          <cell r="AC492">
            <v>1464</v>
          </cell>
          <cell r="AD492">
            <v>1545</v>
          </cell>
          <cell r="AE492">
            <v>1625.58</v>
          </cell>
          <cell r="AF492">
            <v>0.18999987696699019</v>
          </cell>
          <cell r="AG492">
            <v>0.41268962462628717</v>
          </cell>
          <cell r="AH492">
            <v>1808</v>
          </cell>
          <cell r="AI492">
            <v>1989</v>
          </cell>
          <cell r="AJ492">
            <v>0.3379989944695827</v>
          </cell>
          <cell r="AK492">
            <v>2170.5</v>
          </cell>
          <cell r="AL492">
            <v>2352</v>
          </cell>
          <cell r="AM492">
            <v>0.44017006802721087</v>
          </cell>
          <cell r="AN492">
            <v>2551.5</v>
          </cell>
          <cell r="AO492">
            <v>2751</v>
          </cell>
          <cell r="AP492">
            <v>2950.5</v>
          </cell>
          <cell r="AQ492">
            <v>0</v>
          </cell>
          <cell r="AS492">
            <v>3150</v>
          </cell>
        </row>
        <row r="493">
          <cell r="B493" t="str">
            <v>AC</v>
          </cell>
          <cell r="C493" t="str">
            <v>IMP</v>
          </cell>
          <cell r="D493" t="str">
            <v>BT</v>
          </cell>
          <cell r="E493" t="str">
            <v>08</v>
          </cell>
          <cell r="F493">
            <v>39924</v>
          </cell>
          <cell r="G493">
            <v>40001</v>
          </cell>
          <cell r="H493" t="str">
            <v>A0U4WY1</v>
          </cell>
          <cell r="I493" t="str">
            <v>6KMFP602_N</v>
          </cell>
          <cell r="J493">
            <v>0</v>
          </cell>
          <cell r="K493" t="str">
            <v>PF-602 Paper Feed Unit</v>
          </cell>
          <cell r="L493">
            <v>6090</v>
          </cell>
          <cell r="M493">
            <v>2020</v>
          </cell>
          <cell r="N493">
            <v>2100.8000000000002</v>
          </cell>
          <cell r="O493">
            <v>0.18998118387365426</v>
          </cell>
          <cell r="P493">
            <v>2593.52</v>
          </cell>
          <cell r="Q493">
            <v>2141.1999999999998</v>
          </cell>
          <cell r="R493">
            <v>2419.56</v>
          </cell>
          <cell r="S493">
            <v>3241.9</v>
          </cell>
          <cell r="T493">
            <v>0.35198494709892342</v>
          </cell>
          <cell r="U493">
            <v>2510.52736</v>
          </cell>
          <cell r="V493">
            <v>0.1632037023488164</v>
          </cell>
          <cell r="W493">
            <v>2593.52</v>
          </cell>
          <cell r="X493">
            <v>0.79999999999999993</v>
          </cell>
          <cell r="Y493" t="str">
            <v>Act freight</v>
          </cell>
          <cell r="Z493">
            <v>0</v>
          </cell>
          <cell r="AA493">
            <v>3138</v>
          </cell>
          <cell r="AB493">
            <v>2594</v>
          </cell>
          <cell r="AC493">
            <v>2882</v>
          </cell>
          <cell r="AD493">
            <v>3042</v>
          </cell>
          <cell r="AE493">
            <v>3201.88</v>
          </cell>
          <cell r="AF493">
            <v>0.19000087448623937</v>
          </cell>
          <cell r="AG493">
            <v>0.34388546728796826</v>
          </cell>
          <cell r="AH493">
            <v>3560</v>
          </cell>
          <cell r="AI493">
            <v>3917</v>
          </cell>
          <cell r="AJ493">
            <v>0.33788103140158288</v>
          </cell>
          <cell r="AK493">
            <v>4274.5</v>
          </cell>
          <cell r="AL493">
            <v>4632</v>
          </cell>
          <cell r="AM493">
            <v>0.44008635578583766</v>
          </cell>
          <cell r="AN493">
            <v>4996.5</v>
          </cell>
          <cell r="AO493">
            <v>5361</v>
          </cell>
          <cell r="AP493">
            <v>5725.5</v>
          </cell>
          <cell r="AQ493">
            <v>0</v>
          </cell>
          <cell r="AS493">
            <v>6090</v>
          </cell>
        </row>
        <row r="494">
          <cell r="B494" t="str">
            <v>AC</v>
          </cell>
          <cell r="C494" t="str">
            <v>IMP</v>
          </cell>
          <cell r="D494" t="str">
            <v>BT</v>
          </cell>
          <cell r="E494" t="str">
            <v>08</v>
          </cell>
          <cell r="F494">
            <v>39924</v>
          </cell>
          <cell r="G494">
            <v>40009</v>
          </cell>
          <cell r="H494" t="str">
            <v>A0V9011</v>
          </cell>
          <cell r="I494" t="str">
            <v>6KMPB502_N</v>
          </cell>
          <cell r="J494" t="str">
            <v>DNU</v>
          </cell>
          <cell r="K494" t="str">
            <v>PB-502 Perfect Binder</v>
          </cell>
          <cell r="L494">
            <v>36750</v>
          </cell>
          <cell r="M494">
            <v>11730</v>
          </cell>
          <cell r="N494">
            <v>12199.2</v>
          </cell>
          <cell r="O494">
            <v>0.2103382563125297</v>
          </cell>
          <cell r="P494">
            <v>15448.64</v>
          </cell>
          <cell r="Q494">
            <v>12433.8</v>
          </cell>
          <cell r="R494">
            <v>14050.19</v>
          </cell>
          <cell r="S494">
            <v>19310.8</v>
          </cell>
          <cell r="T494">
            <v>0.36827060505002374</v>
          </cell>
          <cell r="U494">
            <v>14954.283519999999</v>
          </cell>
          <cell r="V494">
            <v>0.18423373586005132</v>
          </cell>
          <cell r="W494">
            <v>15448.64</v>
          </cell>
          <cell r="X494">
            <v>0.8</v>
          </cell>
          <cell r="Y494" t="str">
            <v>Act freight</v>
          </cell>
          <cell r="Z494">
            <v>0</v>
          </cell>
          <cell r="AA494">
            <v>18691</v>
          </cell>
          <cell r="AB494">
            <v>15449</v>
          </cell>
          <cell r="AC494">
            <v>17166</v>
          </cell>
          <cell r="AD494">
            <v>18120</v>
          </cell>
          <cell r="AE494">
            <v>19072.400000000001</v>
          </cell>
          <cell r="AF494">
            <v>0.19000020972714507</v>
          </cell>
          <cell r="AG494">
            <v>0.36037415322665212</v>
          </cell>
          <cell r="AH494">
            <v>21202</v>
          </cell>
          <cell r="AI494">
            <v>23330</v>
          </cell>
          <cell r="AJ494">
            <v>0.33782083154736392</v>
          </cell>
          <cell r="AK494">
            <v>25458.5</v>
          </cell>
          <cell r="AL494">
            <v>27587</v>
          </cell>
          <cell r="AM494">
            <v>0.44000289991662744</v>
          </cell>
          <cell r="AN494">
            <v>29877.75</v>
          </cell>
          <cell r="AO494">
            <v>32168.5</v>
          </cell>
          <cell r="AP494">
            <v>34459.25</v>
          </cell>
          <cell r="AQ494">
            <v>0</v>
          </cell>
          <cell r="AS494">
            <v>36750</v>
          </cell>
        </row>
        <row r="495">
          <cell r="B495" t="str">
            <v>AC</v>
          </cell>
          <cell r="C495" t="str">
            <v>IMP</v>
          </cell>
          <cell r="D495" t="str">
            <v>BT</v>
          </cell>
          <cell r="E495" t="str">
            <v>08</v>
          </cell>
          <cell r="F495">
            <v>39924</v>
          </cell>
          <cell r="G495">
            <v>40001</v>
          </cell>
          <cell r="H495" t="str">
            <v>A0W4WY1</v>
          </cell>
          <cell r="I495" t="str">
            <v>3KMHWT506_</v>
          </cell>
          <cell r="J495">
            <v>0</v>
          </cell>
          <cell r="K495" t="str">
            <v>WT-506 Working Table</v>
          </cell>
          <cell r="L495">
            <v>105</v>
          </cell>
          <cell r="M495">
            <v>31</v>
          </cell>
          <cell r="N495">
            <v>32.24</v>
          </cell>
          <cell r="O495">
            <v>0.23238095238095233</v>
          </cell>
          <cell r="P495">
            <v>42</v>
          </cell>
          <cell r="Q495">
            <v>32.86</v>
          </cell>
          <cell r="R495">
            <v>37.130000000000003</v>
          </cell>
          <cell r="S495">
            <v>52.5</v>
          </cell>
          <cell r="T495">
            <v>0.38590476190476186</v>
          </cell>
          <cell r="U495">
            <v>40.655999999999999</v>
          </cell>
          <cell r="V495">
            <v>0.20700511609602512</v>
          </cell>
          <cell r="W495">
            <v>42</v>
          </cell>
          <cell r="X495">
            <v>0.8</v>
          </cell>
          <cell r="Y495" t="str">
            <v>Act freight</v>
          </cell>
          <cell r="Z495">
            <v>0</v>
          </cell>
          <cell r="AA495">
            <v>51</v>
          </cell>
          <cell r="AB495">
            <v>42</v>
          </cell>
          <cell r="AC495">
            <v>47</v>
          </cell>
          <cell r="AD495">
            <v>50</v>
          </cell>
          <cell r="AE495">
            <v>51.85</v>
          </cell>
          <cell r="AF495">
            <v>0.18997107039537128</v>
          </cell>
          <cell r="AG495">
            <v>0.37820636451301831</v>
          </cell>
          <cell r="AH495">
            <v>58</v>
          </cell>
          <cell r="AI495">
            <v>64</v>
          </cell>
          <cell r="AJ495">
            <v>0.34375</v>
          </cell>
          <cell r="AK495">
            <v>69.5</v>
          </cell>
          <cell r="AL495">
            <v>75</v>
          </cell>
          <cell r="AM495">
            <v>0.44</v>
          </cell>
          <cell r="AN495">
            <v>82.5</v>
          </cell>
          <cell r="AO495">
            <v>90</v>
          </cell>
          <cell r="AP495">
            <v>97.5</v>
          </cell>
          <cell r="AQ495">
            <v>0</v>
          </cell>
          <cell r="AS495">
            <v>105</v>
          </cell>
        </row>
        <row r="496">
          <cell r="B496" t="str">
            <v>AC</v>
          </cell>
          <cell r="C496" t="str">
            <v>IMP</v>
          </cell>
          <cell r="D496" t="str">
            <v>BT</v>
          </cell>
          <cell r="E496" t="str">
            <v>08</v>
          </cell>
          <cell r="F496">
            <v>39924</v>
          </cell>
          <cell r="G496">
            <v>40001</v>
          </cell>
          <cell r="H496" t="str">
            <v>A0X9WY1</v>
          </cell>
          <cell r="I496" t="str">
            <v>3KMHAU102_</v>
          </cell>
          <cell r="J496" t="str">
            <v>in both mfp and solutions</v>
          </cell>
          <cell r="K496" t="str">
            <v xml:space="preserve">AU-102 Biometric Authentication Unit </v>
          </cell>
          <cell r="L496">
            <v>893</v>
          </cell>
          <cell r="M496">
            <v>306</v>
          </cell>
          <cell r="N496">
            <v>318.24</v>
          </cell>
          <cell r="O496">
            <v>0.21071428571428566</v>
          </cell>
          <cell r="P496">
            <v>403.2</v>
          </cell>
          <cell r="Q496">
            <v>324.36</v>
          </cell>
          <cell r="R496">
            <v>366.53</v>
          </cell>
          <cell r="S496">
            <v>504</v>
          </cell>
          <cell r="T496">
            <v>0.36857142857142855</v>
          </cell>
          <cell r="U496">
            <v>390.29759999999999</v>
          </cell>
          <cell r="V496">
            <v>0.18462219598583229</v>
          </cell>
          <cell r="W496">
            <v>403.2</v>
          </cell>
          <cell r="X496">
            <v>0.79999999999999993</v>
          </cell>
          <cell r="Y496" t="str">
            <v>Act freight</v>
          </cell>
          <cell r="Z496">
            <v>0</v>
          </cell>
          <cell r="AA496">
            <v>488</v>
          </cell>
          <cell r="AB496">
            <v>404</v>
          </cell>
          <cell r="AC496">
            <v>448</v>
          </cell>
          <cell r="AD496">
            <v>473</v>
          </cell>
          <cell r="AE496">
            <v>497.78</v>
          </cell>
          <cell r="AF496">
            <v>0.19000361605528546</v>
          </cell>
          <cell r="AG496">
            <v>0.36068142552935029</v>
          </cell>
          <cell r="AH496">
            <v>554</v>
          </cell>
          <cell r="AI496">
            <v>609</v>
          </cell>
          <cell r="AJ496">
            <v>0.33793103448275863</v>
          </cell>
          <cell r="AK496">
            <v>664.5</v>
          </cell>
          <cell r="AL496">
            <v>720</v>
          </cell>
          <cell r="AM496">
            <v>0.44</v>
          </cell>
          <cell r="AN496">
            <v>763.25</v>
          </cell>
          <cell r="AO496">
            <v>806.5</v>
          </cell>
          <cell r="AP496">
            <v>849.75</v>
          </cell>
          <cell r="AQ496">
            <v>0</v>
          </cell>
          <cell r="AS496">
            <v>893</v>
          </cell>
        </row>
        <row r="497">
          <cell r="B497" t="str">
            <v>AC</v>
          </cell>
          <cell r="C497" t="str">
            <v>IMP</v>
          </cell>
          <cell r="D497" t="str">
            <v>BT</v>
          </cell>
          <cell r="E497" t="str">
            <v>08</v>
          </cell>
          <cell r="F497">
            <v>39924</v>
          </cell>
          <cell r="G497">
            <v>40001</v>
          </cell>
          <cell r="H497" t="str">
            <v>A0Y6WY1</v>
          </cell>
          <cell r="I497" t="str">
            <v>6KMLU407_N</v>
          </cell>
          <cell r="J497">
            <v>0</v>
          </cell>
          <cell r="K497" t="str">
            <v>LU-407 Large Capacity Tray (LTR)</v>
          </cell>
          <cell r="L497">
            <v>2100</v>
          </cell>
          <cell r="M497">
            <v>714</v>
          </cell>
          <cell r="N497">
            <v>742.56000000000006</v>
          </cell>
          <cell r="O497">
            <v>0.18378473443545543</v>
          </cell>
          <cell r="P497">
            <v>909.76</v>
          </cell>
          <cell r="Q497">
            <v>756.84</v>
          </cell>
          <cell r="R497">
            <v>855.23</v>
          </cell>
          <cell r="S497">
            <v>1137.2</v>
          </cell>
          <cell r="T497">
            <v>0.34702778754836439</v>
          </cell>
          <cell r="U497">
            <v>880.64768000000004</v>
          </cell>
          <cell r="V497">
            <v>0.1568024116068755</v>
          </cell>
          <cell r="W497">
            <v>909.76</v>
          </cell>
          <cell r="X497">
            <v>0.79999999999999993</v>
          </cell>
          <cell r="Y497" t="str">
            <v>Act freight</v>
          </cell>
          <cell r="Z497">
            <v>0</v>
          </cell>
          <cell r="AA497">
            <v>1101</v>
          </cell>
          <cell r="AB497">
            <v>910</v>
          </cell>
          <cell r="AC497">
            <v>1011</v>
          </cell>
          <cell r="AD497">
            <v>1068</v>
          </cell>
          <cell r="AE497">
            <v>1123.1600000000001</v>
          </cell>
          <cell r="AF497">
            <v>0.18999964386196097</v>
          </cell>
          <cell r="AG497">
            <v>0.33886534420741476</v>
          </cell>
          <cell r="AH497">
            <v>1250</v>
          </cell>
          <cell r="AI497">
            <v>1375</v>
          </cell>
          <cell r="AJ497">
            <v>0.33835636363636362</v>
          </cell>
          <cell r="AK497">
            <v>1500</v>
          </cell>
          <cell r="AL497">
            <v>1625</v>
          </cell>
          <cell r="AM497">
            <v>0.4401476923076923</v>
          </cell>
          <cell r="AN497">
            <v>1743.75</v>
          </cell>
          <cell r="AO497">
            <v>1862.5</v>
          </cell>
          <cell r="AP497">
            <v>1981.25</v>
          </cell>
          <cell r="AQ497">
            <v>0</v>
          </cell>
          <cell r="AS497">
            <v>2100</v>
          </cell>
        </row>
        <row r="498">
          <cell r="B498" t="str">
            <v>AC</v>
          </cell>
          <cell r="C498" t="str">
            <v>IMP</v>
          </cell>
          <cell r="D498" t="str">
            <v>BT</v>
          </cell>
          <cell r="E498" t="str">
            <v>08</v>
          </cell>
          <cell r="F498">
            <v>39924</v>
          </cell>
          <cell r="G498">
            <v>40001</v>
          </cell>
          <cell r="H498" t="str">
            <v>A0Y7WY1</v>
          </cell>
          <cell r="I498" t="str">
            <v>6KMLU408_N</v>
          </cell>
          <cell r="J498">
            <v>0</v>
          </cell>
          <cell r="K498" t="str">
            <v>LU-408 Large Capacity Tray (12x18)</v>
          </cell>
          <cell r="L498">
            <v>2940</v>
          </cell>
          <cell r="M498">
            <v>918</v>
          </cell>
          <cell r="N498">
            <v>954.72</v>
          </cell>
          <cell r="O498">
            <v>0.22314802760057284</v>
          </cell>
          <cell r="P498">
            <v>1228.96</v>
          </cell>
          <cell r="Q498">
            <v>973.08</v>
          </cell>
          <cell r="R498">
            <v>1099.58</v>
          </cell>
          <cell r="S498">
            <v>1536.2</v>
          </cell>
          <cell r="T498">
            <v>0.37851842208045827</v>
          </cell>
          <cell r="U498">
            <v>1189.63328</v>
          </cell>
          <cell r="V498">
            <v>0.19746697066174879</v>
          </cell>
          <cell r="W498">
            <v>1228.96</v>
          </cell>
          <cell r="X498">
            <v>0.8</v>
          </cell>
          <cell r="Y498" t="str">
            <v>Act freight</v>
          </cell>
          <cell r="Z498">
            <v>0</v>
          </cell>
          <cell r="AA498">
            <v>1487</v>
          </cell>
          <cell r="AB498">
            <v>1229</v>
          </cell>
          <cell r="AC498">
            <v>1366</v>
          </cell>
          <cell r="AD498">
            <v>1442</v>
          </cell>
          <cell r="AE498">
            <v>1517.23</v>
          </cell>
          <cell r="AF498">
            <v>0.18999756134534643</v>
          </cell>
          <cell r="AG498">
            <v>0.37074800788278639</v>
          </cell>
          <cell r="AH498">
            <v>1688</v>
          </cell>
          <cell r="AI498">
            <v>1857</v>
          </cell>
          <cell r="AJ498">
            <v>0.33820140010770056</v>
          </cell>
          <cell r="AK498">
            <v>2026</v>
          </cell>
          <cell r="AL498">
            <v>2195</v>
          </cell>
          <cell r="AM498">
            <v>0.44010933940774488</v>
          </cell>
          <cell r="AN498">
            <v>2381.25</v>
          </cell>
          <cell r="AO498">
            <v>2567.5</v>
          </cell>
          <cell r="AP498">
            <v>2753.75</v>
          </cell>
          <cell r="AQ498">
            <v>0</v>
          </cell>
          <cell r="AS498">
            <v>2940</v>
          </cell>
        </row>
        <row r="499">
          <cell r="B499" t="str">
            <v>AC</v>
          </cell>
          <cell r="C499" t="str">
            <v>IMP</v>
          </cell>
          <cell r="D499" t="str">
            <v>BT</v>
          </cell>
          <cell r="E499" t="str">
            <v>08</v>
          </cell>
          <cell r="F499">
            <v>39924</v>
          </cell>
          <cell r="G499">
            <v>40001</v>
          </cell>
          <cell r="H499" t="str">
            <v>A0Y9WY1</v>
          </cell>
          <cell r="I499" t="str">
            <v>3KMKSC507</v>
          </cell>
          <cell r="J499">
            <v>0</v>
          </cell>
          <cell r="K499" t="str">
            <v>SC-507 Copy Guard Kit</v>
          </cell>
          <cell r="L499">
            <v>1155</v>
          </cell>
          <cell r="M499">
            <v>377</v>
          </cell>
          <cell r="N499">
            <v>392.08000000000004</v>
          </cell>
          <cell r="O499">
            <v>0.21155083655083642</v>
          </cell>
          <cell r="P499">
            <v>497.28</v>
          </cell>
          <cell r="Q499">
            <v>399.62</v>
          </cell>
          <cell r="R499">
            <v>451.57</v>
          </cell>
          <cell r="S499">
            <v>621.6</v>
          </cell>
          <cell r="T499">
            <v>0.36924066924066917</v>
          </cell>
          <cell r="U499">
            <v>481.36704000000003</v>
          </cell>
          <cell r="V499">
            <v>0.18548640139549227</v>
          </cell>
          <cell r="W499">
            <v>497.28</v>
          </cell>
          <cell r="X499">
            <v>0.79999999999999993</v>
          </cell>
          <cell r="Y499" t="str">
            <v>Act freight</v>
          </cell>
          <cell r="Z499">
            <v>0</v>
          </cell>
          <cell r="AA499">
            <v>602</v>
          </cell>
          <cell r="AB499">
            <v>498</v>
          </cell>
          <cell r="AC499">
            <v>553</v>
          </cell>
          <cell r="AD499">
            <v>584</v>
          </cell>
          <cell r="AE499">
            <v>613.92999999999995</v>
          </cell>
          <cell r="AF499">
            <v>0.19000537520564231</v>
          </cell>
          <cell r="AG499">
            <v>0.36136041568256955</v>
          </cell>
          <cell r="AH499">
            <v>683</v>
          </cell>
          <cell r="AI499">
            <v>751</v>
          </cell>
          <cell r="AJ499">
            <v>0.33784287616511322</v>
          </cell>
          <cell r="AK499">
            <v>819.5</v>
          </cell>
          <cell r="AL499">
            <v>888</v>
          </cell>
          <cell r="AM499">
            <v>0.44000000000000006</v>
          </cell>
          <cell r="AN499">
            <v>954.75</v>
          </cell>
          <cell r="AO499">
            <v>1021.5</v>
          </cell>
          <cell r="AP499">
            <v>1088.25</v>
          </cell>
          <cell r="AQ499">
            <v>0</v>
          </cell>
          <cell r="AS499">
            <v>1155</v>
          </cell>
        </row>
        <row r="500">
          <cell r="B500" t="str">
            <v>AC</v>
          </cell>
          <cell r="C500" t="str">
            <v>IMP</v>
          </cell>
          <cell r="D500" t="str">
            <v>BT</v>
          </cell>
          <cell r="E500" t="str">
            <v>08</v>
          </cell>
          <cell r="F500">
            <v>39924</v>
          </cell>
          <cell r="G500">
            <v>40001</v>
          </cell>
          <cell r="H500" t="str">
            <v>A0YAWY1</v>
          </cell>
          <cell r="I500" t="str">
            <v>3KMKMK720</v>
          </cell>
          <cell r="J500">
            <v>0</v>
          </cell>
          <cell r="K500" t="str">
            <v>MK-720 Mount Kit</v>
          </cell>
          <cell r="L500">
            <v>200</v>
          </cell>
          <cell r="M500">
            <v>41</v>
          </cell>
          <cell r="N500">
            <v>42.64</v>
          </cell>
          <cell r="O500">
            <v>0.55877483443708609</v>
          </cell>
          <cell r="P500">
            <v>96.64</v>
          </cell>
          <cell r="Q500">
            <v>43.46</v>
          </cell>
          <cell r="R500">
            <v>49.11</v>
          </cell>
          <cell r="S500">
            <v>120.8</v>
          </cell>
          <cell r="T500">
            <v>0.64701986754966889</v>
          </cell>
          <cell r="U500">
            <v>93.547519999999992</v>
          </cell>
          <cell r="V500">
            <v>0.54418887855070874</v>
          </cell>
          <cell r="W500">
            <v>96.64</v>
          </cell>
          <cell r="X500">
            <v>0.8</v>
          </cell>
          <cell r="Y500" t="str">
            <v>Act freight</v>
          </cell>
          <cell r="Z500">
            <v>0</v>
          </cell>
          <cell r="AA500">
            <v>117</v>
          </cell>
          <cell r="AB500">
            <v>97</v>
          </cell>
          <cell r="AC500">
            <v>108</v>
          </cell>
          <cell r="AD500">
            <v>114</v>
          </cell>
          <cell r="AE500">
            <v>119.31</v>
          </cell>
          <cell r="AF500">
            <v>0.19000921967982567</v>
          </cell>
          <cell r="AG500">
            <v>0.6426116838487973</v>
          </cell>
          <cell r="AH500">
            <v>134</v>
          </cell>
          <cell r="AI500">
            <v>147</v>
          </cell>
          <cell r="AJ500">
            <v>0.34258503401360546</v>
          </cell>
          <cell r="AK500">
            <v>160</v>
          </cell>
          <cell r="AL500">
            <v>173</v>
          </cell>
          <cell r="AM500">
            <v>0.44138728323699422</v>
          </cell>
          <cell r="AN500">
            <v>179.75</v>
          </cell>
          <cell r="AO500">
            <v>186.5</v>
          </cell>
          <cell r="AP500">
            <v>193.25</v>
          </cell>
          <cell r="AQ500">
            <v>0</v>
          </cell>
          <cell r="AS500">
            <v>200</v>
          </cell>
        </row>
        <row r="501">
          <cell r="B501" t="str">
            <v>AC</v>
          </cell>
          <cell r="C501" t="str">
            <v>IMP</v>
          </cell>
          <cell r="D501" t="str">
            <v>BT</v>
          </cell>
          <cell r="E501" t="str">
            <v>08</v>
          </cell>
          <cell r="F501">
            <v>39924</v>
          </cell>
          <cell r="G501">
            <v>40001</v>
          </cell>
          <cell r="H501" t="str">
            <v>A0YCWY1</v>
          </cell>
          <cell r="I501" t="str">
            <v>3KMHEK605</v>
          </cell>
          <cell r="J501">
            <v>0</v>
          </cell>
          <cell r="K501" t="str">
            <v>EK-605 USB Host Board (Local Interface Kit) with Bluetooth Printing Support</v>
          </cell>
          <cell r="L501">
            <v>263</v>
          </cell>
          <cell r="M501">
            <v>92</v>
          </cell>
          <cell r="N501">
            <v>95.68</v>
          </cell>
          <cell r="O501">
            <v>0.2089947089947089</v>
          </cell>
          <cell r="P501">
            <v>120.96</v>
          </cell>
          <cell r="Q501">
            <v>97.52</v>
          </cell>
          <cell r="R501">
            <v>110.2</v>
          </cell>
          <cell r="S501">
            <v>151.19999999999999</v>
          </cell>
          <cell r="T501">
            <v>0.36719576719576708</v>
          </cell>
          <cell r="U501">
            <v>117.08927999999999</v>
          </cell>
          <cell r="V501">
            <v>0.18284577375486452</v>
          </cell>
          <cell r="W501">
            <v>120.96</v>
          </cell>
          <cell r="X501">
            <v>0.8</v>
          </cell>
          <cell r="Y501" t="str">
            <v>Act freight</v>
          </cell>
          <cell r="Z501">
            <v>0</v>
          </cell>
          <cell r="AA501">
            <v>146</v>
          </cell>
          <cell r="AB501">
            <v>121</v>
          </cell>
          <cell r="AC501">
            <v>135</v>
          </cell>
          <cell r="AD501">
            <v>143</v>
          </cell>
          <cell r="AE501">
            <v>149.33000000000001</v>
          </cell>
          <cell r="AF501">
            <v>0.18998191923926885</v>
          </cell>
          <cell r="AG501">
            <v>0.35927141230831044</v>
          </cell>
          <cell r="AH501">
            <v>167</v>
          </cell>
          <cell r="AI501">
            <v>183</v>
          </cell>
          <cell r="AJ501">
            <v>0.33901639344262297</v>
          </cell>
          <cell r="AK501">
            <v>199.5</v>
          </cell>
          <cell r="AL501">
            <v>216</v>
          </cell>
          <cell r="AM501">
            <v>0.44</v>
          </cell>
          <cell r="AN501">
            <v>227.75</v>
          </cell>
          <cell r="AO501">
            <v>239.5</v>
          </cell>
          <cell r="AP501">
            <v>251.25</v>
          </cell>
          <cell r="AQ501">
            <v>0</v>
          </cell>
          <cell r="AS501">
            <v>263</v>
          </cell>
        </row>
        <row r="502">
          <cell r="B502" t="str">
            <v>AC</v>
          </cell>
          <cell r="C502" t="str">
            <v>IMP</v>
          </cell>
          <cell r="D502" t="str">
            <v>BT</v>
          </cell>
          <cell r="E502" t="str">
            <v>08</v>
          </cell>
          <cell r="F502">
            <v>39924</v>
          </cell>
          <cell r="G502">
            <v>40001</v>
          </cell>
          <cell r="H502" t="str">
            <v>A0YCWY2</v>
          </cell>
          <cell r="I502" t="str">
            <v>3KMKEK604_</v>
          </cell>
          <cell r="J502">
            <v>0</v>
          </cell>
          <cell r="K502" t="str">
            <v>EK-604 USB Host Board (Local Interface Kit)</v>
          </cell>
          <cell r="L502">
            <v>189</v>
          </cell>
          <cell r="M502">
            <v>61</v>
          </cell>
          <cell r="N502">
            <v>63.440000000000005</v>
          </cell>
          <cell r="O502">
            <v>0.24476190476190471</v>
          </cell>
          <cell r="P502">
            <v>84</v>
          </cell>
          <cell r="Q502">
            <v>64.66</v>
          </cell>
          <cell r="R502">
            <v>73.069999999999993</v>
          </cell>
          <cell r="S502">
            <v>105</v>
          </cell>
          <cell r="T502">
            <v>0.39580952380952378</v>
          </cell>
          <cell r="U502">
            <v>81.311999999999998</v>
          </cell>
          <cell r="V502">
            <v>0.21979535615899243</v>
          </cell>
          <cell r="W502">
            <v>84</v>
          </cell>
          <cell r="X502">
            <v>0.8</v>
          </cell>
          <cell r="Y502" t="str">
            <v>Act freight</v>
          </cell>
          <cell r="Z502">
            <v>0</v>
          </cell>
          <cell r="AA502">
            <v>102</v>
          </cell>
          <cell r="AB502">
            <v>84</v>
          </cell>
          <cell r="AC502">
            <v>94</v>
          </cell>
          <cell r="AD502">
            <v>99</v>
          </cell>
          <cell r="AE502">
            <v>103.7</v>
          </cell>
          <cell r="AF502">
            <v>0.18997107039537128</v>
          </cell>
          <cell r="AG502">
            <v>0.38823529411764701</v>
          </cell>
          <cell r="AH502">
            <v>116</v>
          </cell>
          <cell r="AI502">
            <v>127</v>
          </cell>
          <cell r="AJ502">
            <v>0.33858267716535434</v>
          </cell>
          <cell r="AK502">
            <v>138.5</v>
          </cell>
          <cell r="AL502">
            <v>150</v>
          </cell>
          <cell r="AM502">
            <v>0.44</v>
          </cell>
          <cell r="AN502">
            <v>159.75</v>
          </cell>
          <cell r="AO502">
            <v>169.5</v>
          </cell>
          <cell r="AP502">
            <v>179.25</v>
          </cell>
          <cell r="AQ502">
            <v>0</v>
          </cell>
          <cell r="AS502">
            <v>189</v>
          </cell>
        </row>
        <row r="503">
          <cell r="B503" t="str">
            <v>AC</v>
          </cell>
          <cell r="C503" t="str">
            <v>IMP</v>
          </cell>
          <cell r="D503" t="str">
            <v>BT</v>
          </cell>
          <cell r="E503" t="str">
            <v>08</v>
          </cell>
          <cell r="F503">
            <v>39924</v>
          </cell>
          <cell r="G503">
            <v>40058</v>
          </cell>
          <cell r="H503" t="str">
            <v>A0YDWY1</v>
          </cell>
          <cell r="I503" t="str">
            <v>3KMBUK203_</v>
          </cell>
          <cell r="J503">
            <v>0</v>
          </cell>
          <cell r="K503" t="str">
            <v>UK-203 Memory Upgrade Kit (for i-Option and My Panel)</v>
          </cell>
          <cell r="L503">
            <v>100</v>
          </cell>
          <cell r="M503">
            <v>40</v>
          </cell>
          <cell r="N503">
            <v>41.6</v>
          </cell>
          <cell r="O503">
            <v>0.30666666666666664</v>
          </cell>
          <cell r="P503">
            <v>60</v>
          </cell>
          <cell r="Q503">
            <v>42.4</v>
          </cell>
          <cell r="R503">
            <v>47.91</v>
          </cell>
          <cell r="S503">
            <v>75</v>
          </cell>
          <cell r="T503">
            <v>0.4453333333333333</v>
          </cell>
          <cell r="U503">
            <v>58.08</v>
          </cell>
          <cell r="V503">
            <v>0.28374655647382918</v>
          </cell>
          <cell r="W503">
            <v>60</v>
          </cell>
          <cell r="X503">
            <v>0.8</v>
          </cell>
          <cell r="Y503" t="str">
            <v>Act freight</v>
          </cell>
          <cell r="Z503">
            <v>0</v>
          </cell>
          <cell r="AA503">
            <v>73</v>
          </cell>
          <cell r="AB503">
            <v>60</v>
          </cell>
          <cell r="AC503">
            <v>67</v>
          </cell>
          <cell r="AD503">
            <v>71</v>
          </cell>
          <cell r="AE503">
            <v>74.069999999999993</v>
          </cell>
          <cell r="AF503">
            <v>0.18995544754961516</v>
          </cell>
          <cell r="AG503">
            <v>0.43836911030106651</v>
          </cell>
          <cell r="AH503">
            <v>82</v>
          </cell>
          <cell r="AI503">
            <v>88</v>
          </cell>
          <cell r="AJ503">
            <v>0.31818181818181818</v>
          </cell>
          <cell r="AK503">
            <v>94</v>
          </cell>
          <cell r="AL503">
            <v>100</v>
          </cell>
          <cell r="AM503">
            <v>0.4</v>
          </cell>
          <cell r="AN503">
            <v>100</v>
          </cell>
          <cell r="AO503">
            <v>100</v>
          </cell>
          <cell r="AP503">
            <v>100</v>
          </cell>
          <cell r="AQ503">
            <v>0</v>
          </cell>
          <cell r="AS503">
            <v>100</v>
          </cell>
        </row>
        <row r="504">
          <cell r="B504" t="str">
            <v>AC</v>
          </cell>
          <cell r="C504" t="str">
            <v>IMP</v>
          </cell>
          <cell r="D504" t="str">
            <v>BT</v>
          </cell>
          <cell r="E504" t="str">
            <v>08</v>
          </cell>
          <cell r="F504">
            <v>39924</v>
          </cell>
          <cell r="G504">
            <v>40095</v>
          </cell>
          <cell r="H504" t="str">
            <v>A0YEWY1</v>
          </cell>
          <cell r="I504" t="str">
            <v>3KMHVI505_</v>
          </cell>
          <cell r="J504" t="str">
            <v>DNU</v>
          </cell>
          <cell r="K504" t="str">
            <v>VI-505 Video Interface Kit for IC-412</v>
          </cell>
          <cell r="L504">
            <v>279</v>
          </cell>
          <cell r="M504">
            <v>129</v>
          </cell>
          <cell r="N504">
            <v>134.16</v>
          </cell>
          <cell r="O504">
            <v>3.2313906520484638E-2</v>
          </cell>
          <cell r="P504">
            <v>138.63999999999999</v>
          </cell>
          <cell r="Q504">
            <v>136.74</v>
          </cell>
          <cell r="R504">
            <v>154.52000000000001</v>
          </cell>
          <cell r="S504">
            <v>173.3</v>
          </cell>
          <cell r="T504">
            <v>0.22585112521638784</v>
          </cell>
          <cell r="U504">
            <v>149.03800000000001</v>
          </cell>
          <cell r="V504">
            <v>9.9826889786497494E-2</v>
          </cell>
          <cell r="W504">
            <v>138.63999999999999</v>
          </cell>
          <cell r="X504">
            <v>0.79999999999999982</v>
          </cell>
          <cell r="Y504" t="str">
            <v>Act freight</v>
          </cell>
          <cell r="Z504">
            <v>0</v>
          </cell>
          <cell r="AA504">
            <v>168</v>
          </cell>
          <cell r="AB504">
            <v>139</v>
          </cell>
          <cell r="AC504">
            <v>155</v>
          </cell>
          <cell r="AD504">
            <v>164</v>
          </cell>
          <cell r="AE504">
            <v>171.16</v>
          </cell>
          <cell r="AF504">
            <v>0.18999766300537516</v>
          </cell>
          <cell r="AG504">
            <v>0.21617200280439355</v>
          </cell>
          <cell r="AH504">
            <v>191</v>
          </cell>
          <cell r="AI504">
            <v>210</v>
          </cell>
          <cell r="AJ504">
            <v>0.33980952380952389</v>
          </cell>
          <cell r="AK504">
            <v>229</v>
          </cell>
          <cell r="AL504">
            <v>248</v>
          </cell>
          <cell r="AM504">
            <v>0.44096774193548394</v>
          </cell>
          <cell r="AN504">
            <v>255.75</v>
          </cell>
          <cell r="AO504">
            <v>263.5</v>
          </cell>
          <cell r="AP504">
            <v>271.25</v>
          </cell>
          <cell r="AQ504">
            <v>0</v>
          </cell>
          <cell r="AS504">
            <v>279</v>
          </cell>
        </row>
        <row r="505">
          <cell r="B505" t="str">
            <v>AC</v>
          </cell>
          <cell r="C505" t="str">
            <v>IMP</v>
          </cell>
          <cell r="D505" t="str">
            <v>BT</v>
          </cell>
          <cell r="E505" t="str">
            <v>08</v>
          </cell>
          <cell r="F505">
            <v>39924</v>
          </cell>
          <cell r="G505">
            <v>40001</v>
          </cell>
          <cell r="H505" t="str">
            <v>A109W11</v>
          </cell>
          <cell r="I505" t="str">
            <v>6KMZU606_N</v>
          </cell>
          <cell r="J505">
            <v>0</v>
          </cell>
          <cell r="K505" t="str">
            <v>ZU-606 Z-Folding Unit for FS-526</v>
          </cell>
          <cell r="L505">
            <v>5198</v>
          </cell>
          <cell r="M505">
            <v>1989</v>
          </cell>
          <cell r="N505">
            <v>2068.56</v>
          </cell>
          <cell r="O505">
            <v>0.23044642857142858</v>
          </cell>
          <cell r="P505">
            <v>2688</v>
          </cell>
          <cell r="Q505">
            <v>2108.34</v>
          </cell>
          <cell r="R505">
            <v>2382.42</v>
          </cell>
          <cell r="S505">
            <v>3360</v>
          </cell>
          <cell r="T505">
            <v>0.3843571428571429</v>
          </cell>
          <cell r="U505">
            <v>2601.9839999999999</v>
          </cell>
          <cell r="V505">
            <v>0.20500664108618655</v>
          </cell>
          <cell r="W505">
            <v>2688</v>
          </cell>
          <cell r="X505">
            <v>0.8</v>
          </cell>
          <cell r="Y505" t="str">
            <v>Act freight</v>
          </cell>
          <cell r="Z505">
            <v>0</v>
          </cell>
          <cell r="AA505">
            <v>3252</v>
          </cell>
          <cell r="AB505">
            <v>2688</v>
          </cell>
          <cell r="AC505">
            <v>2987</v>
          </cell>
          <cell r="AD505">
            <v>3153</v>
          </cell>
          <cell r="AE505">
            <v>3318.52</v>
          </cell>
          <cell r="AF505">
            <v>0.19000036160698142</v>
          </cell>
          <cell r="AG505">
            <v>0.37666188541880119</v>
          </cell>
          <cell r="AH505">
            <v>3690</v>
          </cell>
          <cell r="AI505">
            <v>4060</v>
          </cell>
          <cell r="AJ505">
            <v>0.33793103448275863</v>
          </cell>
          <cell r="AK505">
            <v>4430</v>
          </cell>
          <cell r="AL505">
            <v>4800</v>
          </cell>
          <cell r="AM505">
            <v>0.44</v>
          </cell>
          <cell r="AN505">
            <v>4899.5</v>
          </cell>
          <cell r="AO505">
            <v>4999</v>
          </cell>
          <cell r="AP505">
            <v>5098.5</v>
          </cell>
          <cell r="AQ505">
            <v>0</v>
          </cell>
          <cell r="AS505">
            <v>5198</v>
          </cell>
        </row>
        <row r="506">
          <cell r="B506" t="str">
            <v>AC</v>
          </cell>
          <cell r="C506" t="str">
            <v>IMP</v>
          </cell>
          <cell r="D506" t="str">
            <v>BT</v>
          </cell>
          <cell r="E506" t="str">
            <v>08</v>
          </cell>
          <cell r="F506">
            <v>39924</v>
          </cell>
          <cell r="G506">
            <v>40001</v>
          </cell>
          <cell r="H506" t="str">
            <v>A10AWY1</v>
          </cell>
          <cell r="I506" t="str">
            <v>6KMPI505_N</v>
          </cell>
          <cell r="J506">
            <v>0</v>
          </cell>
          <cell r="K506" t="str">
            <v>PI-505 Post Inserter for FS-526</v>
          </cell>
          <cell r="L506">
            <v>1050</v>
          </cell>
          <cell r="M506">
            <v>362</v>
          </cell>
          <cell r="N506">
            <v>376.48</v>
          </cell>
          <cell r="O506">
            <v>0.17235314808301086</v>
          </cell>
          <cell r="P506">
            <v>454.88</v>
          </cell>
          <cell r="Q506">
            <v>383.72</v>
          </cell>
          <cell r="R506">
            <v>433.6</v>
          </cell>
          <cell r="S506">
            <v>568.6</v>
          </cell>
          <cell r="T506">
            <v>0.33788251846640871</v>
          </cell>
          <cell r="U506">
            <v>440.32384000000002</v>
          </cell>
          <cell r="V506">
            <v>0.14499292157335836</v>
          </cell>
          <cell r="W506">
            <v>454.88</v>
          </cell>
          <cell r="X506">
            <v>0.79999999999999993</v>
          </cell>
          <cell r="Y506" t="str">
            <v>Act freight</v>
          </cell>
          <cell r="Z506">
            <v>0</v>
          </cell>
          <cell r="AA506">
            <v>550</v>
          </cell>
          <cell r="AB506">
            <v>455</v>
          </cell>
          <cell r="AC506">
            <v>506</v>
          </cell>
          <cell r="AD506">
            <v>534</v>
          </cell>
          <cell r="AE506">
            <v>561.58000000000004</v>
          </cell>
          <cell r="AF506">
            <v>0.18999964386196097</v>
          </cell>
          <cell r="AG506">
            <v>0.32960575519071195</v>
          </cell>
          <cell r="AH506">
            <v>625</v>
          </cell>
          <cell r="AI506">
            <v>688</v>
          </cell>
          <cell r="AJ506">
            <v>0.33883720930232558</v>
          </cell>
          <cell r="AK506">
            <v>750.5</v>
          </cell>
          <cell r="AL506">
            <v>813</v>
          </cell>
          <cell r="AM506">
            <v>0.4404920049200492</v>
          </cell>
          <cell r="AN506">
            <v>872.25</v>
          </cell>
          <cell r="AO506">
            <v>931.5</v>
          </cell>
          <cell r="AP506">
            <v>990.75</v>
          </cell>
          <cell r="AQ506">
            <v>0</v>
          </cell>
          <cell r="AS506">
            <v>1050</v>
          </cell>
        </row>
        <row r="507">
          <cell r="B507" t="str">
            <v>AC</v>
          </cell>
          <cell r="C507" t="str">
            <v>IMP</v>
          </cell>
          <cell r="D507" t="str">
            <v>BT</v>
          </cell>
          <cell r="E507" t="str">
            <v>08</v>
          </cell>
          <cell r="F507">
            <v>39924</v>
          </cell>
          <cell r="G507">
            <v>40001</v>
          </cell>
          <cell r="H507" t="str">
            <v>A10CWY1</v>
          </cell>
          <cell r="I507" t="str">
            <v>3KMHJS602</v>
          </cell>
          <cell r="J507">
            <v>0</v>
          </cell>
          <cell r="K507" t="str">
            <v>JS-602  Job Separator Tray (3rd Output Tray) for FS-526</v>
          </cell>
          <cell r="L507">
            <v>472</v>
          </cell>
          <cell r="M507">
            <v>153</v>
          </cell>
          <cell r="N507">
            <v>159.12</v>
          </cell>
          <cell r="O507">
            <v>0.19310344827586201</v>
          </cell>
          <cell r="P507">
            <v>197.2</v>
          </cell>
          <cell r="Q507">
            <v>162.18</v>
          </cell>
          <cell r="R507">
            <v>183.26</v>
          </cell>
          <cell r="S507">
            <v>246.5</v>
          </cell>
          <cell r="T507">
            <v>0.35448275862068962</v>
          </cell>
          <cell r="U507">
            <v>190.8896</v>
          </cell>
          <cell r="V507">
            <v>0.16642918210316326</v>
          </cell>
          <cell r="W507">
            <v>197.2</v>
          </cell>
          <cell r="X507">
            <v>0.79999999999999993</v>
          </cell>
          <cell r="Y507" t="str">
            <v>Act freight</v>
          </cell>
          <cell r="Z507">
            <v>0</v>
          </cell>
          <cell r="AA507">
            <v>239</v>
          </cell>
          <cell r="AB507">
            <v>198</v>
          </cell>
          <cell r="AC507">
            <v>220</v>
          </cell>
          <cell r="AD507">
            <v>232</v>
          </cell>
          <cell r="AE507">
            <v>243.46</v>
          </cell>
          <cell r="AF507">
            <v>0.19001067937238159</v>
          </cell>
          <cell r="AG507">
            <v>0.3464224102521975</v>
          </cell>
          <cell r="AH507">
            <v>272</v>
          </cell>
          <cell r="AI507">
            <v>299</v>
          </cell>
          <cell r="AJ507">
            <v>0.34046822742474919</v>
          </cell>
          <cell r="AK507">
            <v>326</v>
          </cell>
          <cell r="AL507">
            <v>353</v>
          </cell>
          <cell r="AM507">
            <v>0.44135977337110482</v>
          </cell>
          <cell r="AN507">
            <v>382.75</v>
          </cell>
          <cell r="AO507">
            <v>412.5</v>
          </cell>
          <cell r="AP507">
            <v>442.25</v>
          </cell>
          <cell r="AQ507">
            <v>0</v>
          </cell>
          <cell r="AS507">
            <v>472</v>
          </cell>
        </row>
        <row r="508">
          <cell r="B508" t="str">
            <v>AC</v>
          </cell>
          <cell r="C508" t="str">
            <v>IMP</v>
          </cell>
          <cell r="D508" t="str">
            <v>BT</v>
          </cell>
          <cell r="E508" t="str">
            <v>08</v>
          </cell>
          <cell r="F508">
            <v>39924</v>
          </cell>
          <cell r="G508">
            <v>40001</v>
          </cell>
          <cell r="H508" t="str">
            <v>A10R011</v>
          </cell>
          <cell r="I508" t="str">
            <v>3KMBPS504_</v>
          </cell>
          <cell r="J508">
            <v>0</v>
          </cell>
          <cell r="K508" t="str">
            <v>PS-504 Post Script Upgrade</v>
          </cell>
          <cell r="L508">
            <v>1575</v>
          </cell>
          <cell r="M508">
            <v>612</v>
          </cell>
          <cell r="N508">
            <v>636.48</v>
          </cell>
          <cell r="O508">
            <v>0.10213294210585709</v>
          </cell>
          <cell r="P508">
            <v>708.88</v>
          </cell>
          <cell r="Q508">
            <v>648.72</v>
          </cell>
          <cell r="R508">
            <v>733.05</v>
          </cell>
          <cell r="S508">
            <v>886.1</v>
          </cell>
          <cell r="T508">
            <v>0.28170635368468572</v>
          </cell>
          <cell r="U508">
            <v>686.19583999999998</v>
          </cell>
          <cell r="V508">
            <v>7.2451386472992846E-2</v>
          </cell>
          <cell r="W508">
            <v>708.88</v>
          </cell>
          <cell r="X508">
            <v>0.79999999999999993</v>
          </cell>
          <cell r="Y508" t="str">
            <v>Act freight</v>
          </cell>
          <cell r="Z508">
            <v>0</v>
          </cell>
          <cell r="AA508">
            <v>858</v>
          </cell>
          <cell r="AB508">
            <v>709</v>
          </cell>
          <cell r="AC508">
            <v>788</v>
          </cell>
          <cell r="AD508">
            <v>832</v>
          </cell>
          <cell r="AE508">
            <v>875.16</v>
          </cell>
          <cell r="AF508">
            <v>0.18999954294071938</v>
          </cell>
          <cell r="AG508">
            <v>0.27272727272727271</v>
          </cell>
          <cell r="AH508">
            <v>974</v>
          </cell>
          <cell r="AI508">
            <v>1071</v>
          </cell>
          <cell r="AJ508">
            <v>0.33811391223155929</v>
          </cell>
          <cell r="AK508">
            <v>1168.5</v>
          </cell>
          <cell r="AL508">
            <v>1266</v>
          </cell>
          <cell r="AM508">
            <v>0.44006319115323855</v>
          </cell>
          <cell r="AN508">
            <v>1343.25</v>
          </cell>
          <cell r="AO508">
            <v>1420.5</v>
          </cell>
          <cell r="AP508">
            <v>1497.75</v>
          </cell>
          <cell r="AQ508">
            <v>0</v>
          </cell>
          <cell r="AS508">
            <v>1575</v>
          </cell>
        </row>
        <row r="509">
          <cell r="B509" t="str">
            <v>AC</v>
          </cell>
          <cell r="C509" t="str">
            <v>IMP</v>
          </cell>
          <cell r="D509" t="str">
            <v>BT</v>
          </cell>
          <cell r="E509" t="str">
            <v>08</v>
          </cell>
          <cell r="F509">
            <v>39924</v>
          </cell>
          <cell r="G509">
            <v>40001</v>
          </cell>
          <cell r="H509" t="str">
            <v>A10UWY1</v>
          </cell>
          <cell r="I509" t="str">
            <v>6KMFS528_N</v>
          </cell>
          <cell r="J509">
            <v>0</v>
          </cell>
          <cell r="K509" t="str">
            <v>FS-528 100 Sheet Stapler Finisher</v>
          </cell>
          <cell r="L509">
            <v>5408</v>
          </cell>
          <cell r="M509">
            <v>1790</v>
          </cell>
          <cell r="N509">
            <v>1861.6000000000001</v>
          </cell>
          <cell r="O509">
            <v>0.16116938827006957</v>
          </cell>
          <cell r="P509">
            <v>2219.2800000000002</v>
          </cell>
          <cell r="Q509">
            <v>1897.4</v>
          </cell>
          <cell r="R509">
            <v>2144.06</v>
          </cell>
          <cell r="S509">
            <v>2774.1</v>
          </cell>
          <cell r="T509">
            <v>0.32893551061605558</v>
          </cell>
          <cell r="U509">
            <v>2148.2630399999998</v>
          </cell>
          <cell r="V509">
            <v>0.13343945069222049</v>
          </cell>
          <cell r="W509">
            <v>2219.2800000000002</v>
          </cell>
          <cell r="X509">
            <v>0.8</v>
          </cell>
          <cell r="Y509" t="str">
            <v>Act freight</v>
          </cell>
          <cell r="Z509">
            <v>0</v>
          </cell>
          <cell r="AA509">
            <v>2685</v>
          </cell>
          <cell r="AB509">
            <v>2220</v>
          </cell>
          <cell r="AC509">
            <v>2466</v>
          </cell>
          <cell r="AD509">
            <v>2603</v>
          </cell>
          <cell r="AE509">
            <v>2739.85</v>
          </cell>
          <cell r="AF509">
            <v>0.18999945252477315</v>
          </cell>
          <cell r="AG509">
            <v>0.32054674525977694</v>
          </cell>
          <cell r="AH509">
            <v>3046</v>
          </cell>
          <cell r="AI509">
            <v>3352</v>
          </cell>
          <cell r="AJ509">
            <v>0.33792362768496415</v>
          </cell>
          <cell r="AK509">
            <v>3657.5</v>
          </cell>
          <cell r="AL509">
            <v>3963</v>
          </cell>
          <cell r="AM509">
            <v>0.43999999999999995</v>
          </cell>
          <cell r="AN509">
            <v>4324.25</v>
          </cell>
          <cell r="AO509">
            <v>4685.5</v>
          </cell>
          <cell r="AP509">
            <v>5046.75</v>
          </cell>
          <cell r="AQ509">
            <v>0</v>
          </cell>
          <cell r="AS509">
            <v>5408</v>
          </cell>
        </row>
        <row r="510">
          <cell r="B510" t="str">
            <v>AC</v>
          </cell>
          <cell r="C510" t="str">
            <v>IMP</v>
          </cell>
          <cell r="D510" t="str">
            <v>BT</v>
          </cell>
          <cell r="E510" t="str">
            <v>08</v>
          </cell>
          <cell r="F510">
            <v>39924</v>
          </cell>
          <cell r="G510">
            <v>40001</v>
          </cell>
          <cell r="H510" t="str">
            <v>A10VWY1</v>
          </cell>
          <cell r="I510" t="str">
            <v>6KMFS611_N</v>
          </cell>
          <cell r="J510">
            <v>0</v>
          </cell>
          <cell r="K510" t="str">
            <v>FS-611 Saddle Finisher</v>
          </cell>
          <cell r="L510">
            <v>5303</v>
          </cell>
          <cell r="M510">
            <v>1530</v>
          </cell>
          <cell r="N510">
            <v>1591.2</v>
          </cell>
          <cell r="O510">
            <v>0.26861555432983997</v>
          </cell>
          <cell r="P510">
            <v>2175.6</v>
          </cell>
          <cell r="Q510">
            <v>1621.8</v>
          </cell>
          <cell r="R510">
            <v>1832.63</v>
          </cell>
          <cell r="S510">
            <v>2719.5</v>
          </cell>
          <cell r="T510">
            <v>0.414892443463872</v>
          </cell>
          <cell r="U510">
            <v>2105.9807999999998</v>
          </cell>
          <cell r="V510">
            <v>0.24443755612586773</v>
          </cell>
          <cell r="W510">
            <v>2175.6</v>
          </cell>
          <cell r="X510">
            <v>0.79999999999999993</v>
          </cell>
          <cell r="Y510" t="str">
            <v>Act freight</v>
          </cell>
          <cell r="Z510">
            <v>0</v>
          </cell>
          <cell r="AA510">
            <v>2632</v>
          </cell>
          <cell r="AB510">
            <v>2176</v>
          </cell>
          <cell r="AC510">
            <v>2418</v>
          </cell>
          <cell r="AD510">
            <v>2552</v>
          </cell>
          <cell r="AE510">
            <v>2685.93</v>
          </cell>
          <cell r="AF510">
            <v>0.19000122862472216</v>
          </cell>
          <cell r="AG510">
            <v>0.40757949760418172</v>
          </cell>
          <cell r="AH510">
            <v>2986</v>
          </cell>
          <cell r="AI510">
            <v>3286</v>
          </cell>
          <cell r="AJ510">
            <v>0.33791844187461961</v>
          </cell>
          <cell r="AK510">
            <v>3585.5</v>
          </cell>
          <cell r="AL510">
            <v>3885</v>
          </cell>
          <cell r="AM510">
            <v>0.44</v>
          </cell>
          <cell r="AN510">
            <v>4239.5</v>
          </cell>
          <cell r="AO510">
            <v>4594</v>
          </cell>
          <cell r="AP510">
            <v>4948.5</v>
          </cell>
          <cell r="AQ510">
            <v>0</v>
          </cell>
          <cell r="AS510">
            <v>5303</v>
          </cell>
        </row>
        <row r="511">
          <cell r="B511" t="str">
            <v>AC</v>
          </cell>
          <cell r="C511" t="str">
            <v>IMP</v>
          </cell>
          <cell r="D511" t="str">
            <v>BT</v>
          </cell>
          <cell r="E511" t="str">
            <v>08</v>
          </cell>
          <cell r="F511">
            <v>39924</v>
          </cell>
          <cell r="G511">
            <v>40001</v>
          </cell>
          <cell r="H511" t="str">
            <v>A10WWY1</v>
          </cell>
          <cell r="I511" t="str">
            <v>3KMHMK721_</v>
          </cell>
          <cell r="J511">
            <v>0</v>
          </cell>
          <cell r="K511" t="str">
            <v>MK-721 Mount Kit</v>
          </cell>
          <cell r="L511">
            <v>1575</v>
          </cell>
          <cell r="M511">
            <v>612</v>
          </cell>
          <cell r="N511">
            <v>636.48</v>
          </cell>
          <cell r="O511">
            <v>0.18207052534183196</v>
          </cell>
          <cell r="P511">
            <v>778.16</v>
          </cell>
          <cell r="Q511">
            <v>648.72</v>
          </cell>
          <cell r="R511">
            <v>733.05</v>
          </cell>
          <cell r="S511">
            <v>972.7</v>
          </cell>
          <cell r="T511">
            <v>0.3456564202734656</v>
          </cell>
          <cell r="U511">
            <v>753.25887999999998</v>
          </cell>
          <cell r="V511">
            <v>0.15503153444404127</v>
          </cell>
          <cell r="W511">
            <v>778.16</v>
          </cell>
          <cell r="X511">
            <v>0.79999999999999993</v>
          </cell>
          <cell r="Y511" t="str">
            <v>Act freight</v>
          </cell>
          <cell r="Z511">
            <v>0</v>
          </cell>
          <cell r="AA511">
            <v>941</v>
          </cell>
          <cell r="AB511">
            <v>779</v>
          </cell>
          <cell r="AC511">
            <v>865</v>
          </cell>
          <cell r="AD511">
            <v>913</v>
          </cell>
          <cell r="AE511">
            <v>960.69</v>
          </cell>
          <cell r="AF511">
            <v>0.18999885498964295</v>
          </cell>
          <cell r="AG511">
            <v>0.33747618898916404</v>
          </cell>
          <cell r="AH511">
            <v>1069</v>
          </cell>
          <cell r="AI511">
            <v>1176</v>
          </cell>
          <cell r="AJ511">
            <v>0.33829931972789118</v>
          </cell>
          <cell r="AK511">
            <v>1283</v>
          </cell>
          <cell r="AL511">
            <v>1390</v>
          </cell>
          <cell r="AM511">
            <v>0.44017266187050363</v>
          </cell>
          <cell r="AN511">
            <v>1436.25</v>
          </cell>
          <cell r="AO511">
            <v>1482.5</v>
          </cell>
          <cell r="AP511">
            <v>1528.75</v>
          </cell>
          <cell r="AQ511">
            <v>0</v>
          </cell>
          <cell r="AS511">
            <v>1575</v>
          </cell>
        </row>
        <row r="512">
          <cell r="B512" t="str">
            <v>AC</v>
          </cell>
          <cell r="C512" t="str">
            <v>IMP</v>
          </cell>
          <cell r="D512" t="str">
            <v>BT</v>
          </cell>
          <cell r="E512" t="str">
            <v>08</v>
          </cell>
          <cell r="F512">
            <v>39924</v>
          </cell>
          <cell r="G512">
            <v>40001</v>
          </cell>
          <cell r="H512" t="str">
            <v>A10YWY1</v>
          </cell>
          <cell r="I512" t="str">
            <v>6KMPI506_N</v>
          </cell>
          <cell r="J512">
            <v>0</v>
          </cell>
          <cell r="K512" t="str">
            <v>PI-506 Post Inserter</v>
          </cell>
          <cell r="L512">
            <v>1050</v>
          </cell>
          <cell r="M512">
            <v>362</v>
          </cell>
          <cell r="N512">
            <v>376.48</v>
          </cell>
          <cell r="O512">
            <v>0.17235314808301086</v>
          </cell>
          <cell r="P512">
            <v>454.88</v>
          </cell>
          <cell r="Q512">
            <v>383.72</v>
          </cell>
          <cell r="R512">
            <v>433.6</v>
          </cell>
          <cell r="S512">
            <v>568.6</v>
          </cell>
          <cell r="T512">
            <v>0.33788251846640871</v>
          </cell>
          <cell r="U512">
            <v>440.32384000000002</v>
          </cell>
          <cell r="V512">
            <v>0.14499292157335836</v>
          </cell>
          <cell r="W512">
            <v>454.88</v>
          </cell>
          <cell r="X512">
            <v>0.79999999999999993</v>
          </cell>
          <cell r="Y512" t="str">
            <v>Act freight</v>
          </cell>
          <cell r="Z512">
            <v>0</v>
          </cell>
          <cell r="AA512">
            <v>550</v>
          </cell>
          <cell r="AB512">
            <v>455</v>
          </cell>
          <cell r="AC512">
            <v>506</v>
          </cell>
          <cell r="AD512">
            <v>534</v>
          </cell>
          <cell r="AE512">
            <v>561.58000000000004</v>
          </cell>
          <cell r="AF512">
            <v>0.18999964386196097</v>
          </cell>
          <cell r="AG512">
            <v>0.32960575519071195</v>
          </cell>
          <cell r="AH512">
            <v>625</v>
          </cell>
          <cell r="AI512">
            <v>688</v>
          </cell>
          <cell r="AJ512">
            <v>0.33883720930232558</v>
          </cell>
          <cell r="AK512">
            <v>750.5</v>
          </cell>
          <cell r="AL512">
            <v>813</v>
          </cell>
          <cell r="AM512">
            <v>0.4404920049200492</v>
          </cell>
          <cell r="AN512">
            <v>872.25</v>
          </cell>
          <cell r="AO512">
            <v>931.5</v>
          </cell>
          <cell r="AP512">
            <v>990.75</v>
          </cell>
          <cell r="AQ512">
            <v>0</v>
          </cell>
          <cell r="AS512">
            <v>1050</v>
          </cell>
        </row>
        <row r="513">
          <cell r="B513" t="str">
            <v>AC</v>
          </cell>
          <cell r="C513" t="str">
            <v>IMP</v>
          </cell>
          <cell r="D513" t="str">
            <v>BT</v>
          </cell>
          <cell r="E513" t="str">
            <v>08</v>
          </cell>
          <cell r="F513">
            <v>39924</v>
          </cell>
          <cell r="G513">
            <v>40001</v>
          </cell>
          <cell r="H513" t="str">
            <v>A110WY1</v>
          </cell>
          <cell r="I513" t="str">
            <v>6KMTU502_N</v>
          </cell>
          <cell r="J513">
            <v>0</v>
          </cell>
          <cell r="K513" t="str">
            <v>TU-502 Trimmer Unit</v>
          </cell>
          <cell r="L513">
            <v>7193</v>
          </cell>
          <cell r="M513">
            <v>2958</v>
          </cell>
          <cell r="N513">
            <v>3076.32</v>
          </cell>
          <cell r="O513">
            <v>9.6411871137533134E-2</v>
          </cell>
          <cell r="P513">
            <v>3404.56</v>
          </cell>
          <cell r="Q513">
            <v>3135.48</v>
          </cell>
          <cell r="R513">
            <v>3543.09</v>
          </cell>
          <cell r="S513">
            <v>4255.7</v>
          </cell>
          <cell r="T513">
            <v>0.27712949691002647</v>
          </cell>
          <cell r="U513">
            <v>3295.6140799999998</v>
          </cell>
          <cell r="V513">
            <v>6.6541189191666419E-2</v>
          </cell>
          <cell r="W513">
            <v>3404.56</v>
          </cell>
          <cell r="X513">
            <v>0.8</v>
          </cell>
          <cell r="Y513" t="str">
            <v>Act freight</v>
          </cell>
          <cell r="Z513">
            <v>0</v>
          </cell>
          <cell r="AA513">
            <v>4119</v>
          </cell>
          <cell r="AB513">
            <v>3405</v>
          </cell>
          <cell r="AC513">
            <v>3783</v>
          </cell>
          <cell r="AD513">
            <v>3994</v>
          </cell>
          <cell r="AE513">
            <v>4203.16</v>
          </cell>
          <cell r="AF513">
            <v>0.18999990483350621</v>
          </cell>
          <cell r="AG513">
            <v>0.26809352963008776</v>
          </cell>
          <cell r="AH513">
            <v>4673</v>
          </cell>
          <cell r="AI513">
            <v>5142</v>
          </cell>
          <cell r="AJ513">
            <v>0.33789187086736677</v>
          </cell>
          <cell r="AK513">
            <v>5611</v>
          </cell>
          <cell r="AL513">
            <v>6080</v>
          </cell>
          <cell r="AM513">
            <v>0.44003947368421054</v>
          </cell>
          <cell r="AN513">
            <v>6358.25</v>
          </cell>
          <cell r="AO513">
            <v>6636.5</v>
          </cell>
          <cell r="AP513">
            <v>6914.75</v>
          </cell>
          <cell r="AQ513">
            <v>0</v>
          </cell>
          <cell r="AS513">
            <v>7193</v>
          </cell>
        </row>
        <row r="514">
          <cell r="B514" t="str">
            <v>AC</v>
          </cell>
          <cell r="C514" t="str">
            <v>IMP</v>
          </cell>
          <cell r="D514" t="str">
            <v>BT</v>
          </cell>
          <cell r="E514" t="str">
            <v>08</v>
          </cell>
          <cell r="F514">
            <v>39924</v>
          </cell>
          <cell r="G514">
            <v>40001</v>
          </cell>
          <cell r="H514" t="str">
            <v>A111WY2</v>
          </cell>
          <cell r="I514" t="str">
            <v>6KMZU607_N</v>
          </cell>
          <cell r="J514">
            <v>0</v>
          </cell>
          <cell r="K514" t="str">
            <v>ZU-607 Z-Folding Unit</v>
          </cell>
          <cell r="L514">
            <v>5198</v>
          </cell>
          <cell r="M514">
            <v>1989</v>
          </cell>
          <cell r="N514">
            <v>2068.56</v>
          </cell>
          <cell r="O514">
            <v>0.18994360902255639</v>
          </cell>
          <cell r="P514">
            <v>2553.6</v>
          </cell>
          <cell r="Q514">
            <v>2108.34</v>
          </cell>
          <cell r="R514">
            <v>2382.42</v>
          </cell>
          <cell r="S514">
            <v>3192</v>
          </cell>
          <cell r="T514">
            <v>0.35195488721804513</v>
          </cell>
          <cell r="U514">
            <v>2471.8847999999998</v>
          </cell>
          <cell r="V514">
            <v>0.16316488535388052</v>
          </cell>
          <cell r="W514">
            <v>2553.6</v>
          </cell>
          <cell r="X514">
            <v>0.79999999999999993</v>
          </cell>
          <cell r="Y514" t="str">
            <v>Act freight</v>
          </cell>
          <cell r="Z514">
            <v>0</v>
          </cell>
          <cell r="AA514">
            <v>3090</v>
          </cell>
          <cell r="AB514">
            <v>2554</v>
          </cell>
          <cell r="AC514">
            <v>2838</v>
          </cell>
          <cell r="AD514">
            <v>2996</v>
          </cell>
          <cell r="AE514">
            <v>3152.59</v>
          </cell>
          <cell r="AF514">
            <v>0.18999933388103121</v>
          </cell>
          <cell r="AG514">
            <v>0.34385378371434283</v>
          </cell>
          <cell r="AH514">
            <v>3505</v>
          </cell>
          <cell r="AI514">
            <v>3857</v>
          </cell>
          <cell r="AJ514">
            <v>0.33793103448275863</v>
          </cell>
          <cell r="AK514">
            <v>4208.5</v>
          </cell>
          <cell r="AL514">
            <v>4560</v>
          </cell>
          <cell r="AM514">
            <v>0.44</v>
          </cell>
          <cell r="AN514">
            <v>4719.5</v>
          </cell>
          <cell r="AO514">
            <v>4879</v>
          </cell>
          <cell r="AP514">
            <v>5038.5</v>
          </cell>
          <cell r="AQ514">
            <v>0</v>
          </cell>
          <cell r="AS514">
            <v>5198</v>
          </cell>
        </row>
        <row r="515">
          <cell r="B515" t="str">
            <v>AC</v>
          </cell>
          <cell r="C515" t="str">
            <v>IMP</v>
          </cell>
          <cell r="D515" t="str">
            <v>BT</v>
          </cell>
          <cell r="E515" t="str">
            <v>08</v>
          </cell>
          <cell r="F515">
            <v>39924</v>
          </cell>
          <cell r="G515">
            <v>40001</v>
          </cell>
          <cell r="H515" t="str">
            <v>A11PWY1</v>
          </cell>
          <cell r="I515" t="str">
            <v>6KMFS526_N</v>
          </cell>
          <cell r="J515">
            <v>0</v>
          </cell>
          <cell r="K515" t="str">
            <v>FS-526 Finisher (100 sheet)</v>
          </cell>
          <cell r="L515">
            <v>2835</v>
          </cell>
          <cell r="M515">
            <v>1153</v>
          </cell>
          <cell r="N515">
            <v>1199.1200000000001</v>
          </cell>
          <cell r="O515">
            <v>4.8317460317460224E-2</v>
          </cell>
          <cell r="P515">
            <v>1260</v>
          </cell>
          <cell r="Q515">
            <v>1222.18</v>
          </cell>
          <cell r="R515">
            <v>1381.06</v>
          </cell>
          <cell r="S515">
            <v>1575</v>
          </cell>
          <cell r="T515">
            <v>0.23865396825396817</v>
          </cell>
          <cell r="U515">
            <v>1354.5</v>
          </cell>
          <cell r="V515">
            <v>0.1147139165743816</v>
          </cell>
          <cell r="W515">
            <v>1260</v>
          </cell>
          <cell r="X515">
            <v>0.8</v>
          </cell>
          <cell r="Y515" t="str">
            <v>Act freight</v>
          </cell>
          <cell r="Z515">
            <v>0</v>
          </cell>
          <cell r="AA515">
            <v>1524</v>
          </cell>
          <cell r="AB515">
            <v>1260</v>
          </cell>
          <cell r="AC515">
            <v>1400</v>
          </cell>
          <cell r="AD515">
            <v>1478</v>
          </cell>
          <cell r="AE515">
            <v>1555.56</v>
          </cell>
          <cell r="AF515">
            <v>0.19000231427910202</v>
          </cell>
          <cell r="AG515">
            <v>0.22913934531615612</v>
          </cell>
          <cell r="AH515">
            <v>1730</v>
          </cell>
          <cell r="AI515">
            <v>1903</v>
          </cell>
          <cell r="AJ515">
            <v>0.33788754598003151</v>
          </cell>
          <cell r="AK515">
            <v>2076.5</v>
          </cell>
          <cell r="AL515">
            <v>2250</v>
          </cell>
          <cell r="AM515">
            <v>0.44</v>
          </cell>
          <cell r="AN515">
            <v>2396.25</v>
          </cell>
          <cell r="AO515">
            <v>2542.5</v>
          </cell>
          <cell r="AP515">
            <v>2688.75</v>
          </cell>
          <cell r="AQ515">
            <v>0</v>
          </cell>
          <cell r="AS515">
            <v>2835</v>
          </cell>
        </row>
        <row r="516">
          <cell r="B516" t="str">
            <v>AC</v>
          </cell>
          <cell r="C516" t="str">
            <v>IMP</v>
          </cell>
          <cell r="D516" t="str">
            <v>BT</v>
          </cell>
          <cell r="E516" t="str">
            <v>08</v>
          </cell>
          <cell r="F516">
            <v>39924</v>
          </cell>
          <cell r="G516">
            <v>40001</v>
          </cell>
          <cell r="H516" t="str">
            <v>A11RWY1</v>
          </cell>
          <cell r="I516" t="str">
            <v>6KMSD508_N</v>
          </cell>
          <cell r="J516">
            <v>0</v>
          </cell>
          <cell r="K516" t="str">
            <v>SD-508 Saddle Kit for FS-526</v>
          </cell>
          <cell r="L516">
            <v>1575</v>
          </cell>
          <cell r="M516">
            <v>668</v>
          </cell>
          <cell r="N516">
            <v>694.72</v>
          </cell>
          <cell r="O516">
            <v>2.7002801120448141E-2</v>
          </cell>
          <cell r="P516">
            <v>714</v>
          </cell>
          <cell r="Q516">
            <v>708.08</v>
          </cell>
          <cell r="R516">
            <v>800.13</v>
          </cell>
          <cell r="S516">
            <v>892.5</v>
          </cell>
          <cell r="T516">
            <v>0.22160224089635852</v>
          </cell>
          <cell r="U516">
            <v>767.55</v>
          </cell>
          <cell r="V516">
            <v>9.4886326623672634E-2</v>
          </cell>
          <cell r="W516">
            <v>714</v>
          </cell>
          <cell r="X516">
            <v>0.8</v>
          </cell>
          <cell r="Y516" t="str">
            <v>Act freight</v>
          </cell>
          <cell r="Z516">
            <v>0</v>
          </cell>
          <cell r="AA516">
            <v>864</v>
          </cell>
          <cell r="AB516">
            <v>714</v>
          </cell>
          <cell r="AC516">
            <v>794</v>
          </cell>
          <cell r="AD516">
            <v>838</v>
          </cell>
          <cell r="AE516">
            <v>881.48</v>
          </cell>
          <cell r="AF516">
            <v>0.18999863865317423</v>
          </cell>
          <cell r="AG516">
            <v>0.2118709443209148</v>
          </cell>
          <cell r="AH516">
            <v>981</v>
          </cell>
          <cell r="AI516">
            <v>1079</v>
          </cell>
          <cell r="AJ516">
            <v>0.3382761816496756</v>
          </cell>
          <cell r="AK516">
            <v>1177</v>
          </cell>
          <cell r="AL516">
            <v>1275</v>
          </cell>
          <cell r="AM516">
            <v>0.44</v>
          </cell>
          <cell r="AN516">
            <v>1350</v>
          </cell>
          <cell r="AO516">
            <v>1425</v>
          </cell>
          <cell r="AP516">
            <v>1500</v>
          </cell>
          <cell r="AQ516">
            <v>0</v>
          </cell>
          <cell r="AS516">
            <v>1575</v>
          </cell>
        </row>
        <row r="517">
          <cell r="B517" t="str">
            <v>AC</v>
          </cell>
          <cell r="C517" t="str">
            <v>IMP</v>
          </cell>
          <cell r="D517" t="str">
            <v>BT</v>
          </cell>
          <cell r="E517" t="str">
            <v>08</v>
          </cell>
          <cell r="F517">
            <v>39924</v>
          </cell>
          <cell r="G517">
            <v>40001</v>
          </cell>
          <cell r="H517" t="str">
            <v>A11TW11</v>
          </cell>
          <cell r="I517" t="str">
            <v>6KMPK516_N</v>
          </cell>
          <cell r="J517">
            <v>0</v>
          </cell>
          <cell r="K517" t="str">
            <v>PK-516 Punch Kit (2/3 Holes) for FS-526</v>
          </cell>
          <cell r="L517">
            <v>814</v>
          </cell>
          <cell r="M517">
            <v>286</v>
          </cell>
          <cell r="N517">
            <v>297.44</v>
          </cell>
          <cell r="O517">
            <v>0.12517647058823531</v>
          </cell>
          <cell r="P517">
            <v>340</v>
          </cell>
          <cell r="Q517">
            <v>303.16000000000003</v>
          </cell>
          <cell r="R517">
            <v>342.57</v>
          </cell>
          <cell r="S517">
            <v>425</v>
          </cell>
          <cell r="T517">
            <v>0.30014117647058824</v>
          </cell>
          <cell r="U517">
            <v>329.12</v>
          </cell>
          <cell r="V517">
            <v>9.6256684491978634E-2</v>
          </cell>
          <cell r="W517">
            <v>340</v>
          </cell>
          <cell r="X517">
            <v>0.8</v>
          </cell>
          <cell r="Y517" t="str">
            <v>Act freight</v>
          </cell>
          <cell r="Z517">
            <v>0</v>
          </cell>
          <cell r="AA517">
            <v>411</v>
          </cell>
          <cell r="AB517">
            <v>340</v>
          </cell>
          <cell r="AC517">
            <v>378</v>
          </cell>
          <cell r="AD517">
            <v>399</v>
          </cell>
          <cell r="AE517">
            <v>419.75</v>
          </cell>
          <cell r="AF517">
            <v>0.18999404407385348</v>
          </cell>
          <cell r="AG517">
            <v>0.2913877307921382</v>
          </cell>
          <cell r="AH517">
            <v>467</v>
          </cell>
          <cell r="AI517">
            <v>514</v>
          </cell>
          <cell r="AJ517">
            <v>0.33852140077821014</v>
          </cell>
          <cell r="AK517">
            <v>561</v>
          </cell>
          <cell r="AL517">
            <v>608</v>
          </cell>
          <cell r="AM517">
            <v>0.44078947368421051</v>
          </cell>
          <cell r="AN517">
            <v>659.5</v>
          </cell>
          <cell r="AO517">
            <v>711</v>
          </cell>
          <cell r="AP517">
            <v>762.5</v>
          </cell>
          <cell r="AQ517">
            <v>0</v>
          </cell>
          <cell r="AS517">
            <v>814</v>
          </cell>
        </row>
        <row r="518">
          <cell r="B518" t="str">
            <v>AC</v>
          </cell>
          <cell r="C518" t="str">
            <v>IMP</v>
          </cell>
          <cell r="D518" t="str">
            <v>BT</v>
          </cell>
          <cell r="E518" t="str">
            <v>08</v>
          </cell>
          <cell r="F518">
            <v>39924</v>
          </cell>
          <cell r="G518">
            <v>40001</v>
          </cell>
          <cell r="H518" t="str">
            <v>A120WY1</v>
          </cell>
          <cell r="I518" t="str">
            <v>3KMKUK202</v>
          </cell>
          <cell r="J518">
            <v>0</v>
          </cell>
          <cell r="K518" t="str">
            <v>UK-202 Upgrade Kit (for i-Option)</v>
          </cell>
          <cell r="L518">
            <v>294</v>
          </cell>
          <cell r="M518">
            <v>50</v>
          </cell>
          <cell r="N518">
            <v>52</v>
          </cell>
          <cell r="O518">
            <v>0.58730158730158732</v>
          </cell>
          <cell r="P518">
            <v>126</v>
          </cell>
          <cell r="Q518">
            <v>53</v>
          </cell>
          <cell r="R518">
            <v>59.89</v>
          </cell>
          <cell r="S518">
            <v>157.5</v>
          </cell>
          <cell r="T518">
            <v>0.66984126984126979</v>
          </cell>
          <cell r="U518">
            <v>121.96799999999999</v>
          </cell>
          <cell r="V518">
            <v>0.57365866456775549</v>
          </cell>
          <cell r="W518">
            <v>126</v>
          </cell>
          <cell r="X518">
            <v>0.8</v>
          </cell>
          <cell r="Y518" t="str">
            <v>Act freight</v>
          </cell>
          <cell r="Z518">
            <v>0</v>
          </cell>
          <cell r="AA518">
            <v>152</v>
          </cell>
          <cell r="AB518">
            <v>126</v>
          </cell>
          <cell r="AC518">
            <v>140</v>
          </cell>
          <cell r="AD518">
            <v>148</v>
          </cell>
          <cell r="AE518">
            <v>155.56</v>
          </cell>
          <cell r="AF518">
            <v>0.19002314219593727</v>
          </cell>
          <cell r="AG518">
            <v>0.66572383646181543</v>
          </cell>
          <cell r="AH518">
            <v>174</v>
          </cell>
          <cell r="AI518">
            <v>191</v>
          </cell>
          <cell r="AJ518">
            <v>0.34031413612565448</v>
          </cell>
          <cell r="AK518">
            <v>208</v>
          </cell>
          <cell r="AL518">
            <v>225</v>
          </cell>
          <cell r="AM518">
            <v>0.44</v>
          </cell>
          <cell r="AN518">
            <v>242.25</v>
          </cell>
          <cell r="AO518">
            <v>259.5</v>
          </cell>
          <cell r="AP518">
            <v>276.75</v>
          </cell>
          <cell r="AQ518">
            <v>0</v>
          </cell>
          <cell r="AS518">
            <v>294</v>
          </cell>
        </row>
        <row r="519">
          <cell r="B519" t="str">
            <v>AC</v>
          </cell>
          <cell r="C519" t="str">
            <v>IMP</v>
          </cell>
          <cell r="D519" t="str">
            <v>BT</v>
          </cell>
          <cell r="E519" t="str">
            <v>08</v>
          </cell>
          <cell r="F519">
            <v>39924</v>
          </cell>
          <cell r="G519">
            <v>40001</v>
          </cell>
          <cell r="H519" t="str">
            <v>A124WY1</v>
          </cell>
          <cell r="I519" t="str">
            <v>7KMDF620_N</v>
          </cell>
          <cell r="J519">
            <v>0</v>
          </cell>
          <cell r="K519" t="str">
            <v>DF-620 Reversing Automatic Document Feeder</v>
          </cell>
          <cell r="L519">
            <v>1339</v>
          </cell>
          <cell r="M519">
            <v>469</v>
          </cell>
          <cell r="N519">
            <v>487.76</v>
          </cell>
          <cell r="O519">
            <v>0.18391112300896795</v>
          </cell>
          <cell r="P519">
            <v>597.67999999999995</v>
          </cell>
          <cell r="Q519">
            <v>497.14</v>
          </cell>
          <cell r="R519">
            <v>561.77</v>
          </cell>
          <cell r="S519">
            <v>747.1</v>
          </cell>
          <cell r="T519">
            <v>0.34712889840717442</v>
          </cell>
          <cell r="U519">
            <v>578.55424000000005</v>
          </cell>
          <cell r="V519">
            <v>0.15693297831504968</v>
          </cell>
          <cell r="W519">
            <v>597.67999999999995</v>
          </cell>
          <cell r="X519">
            <v>0.79999999999999993</v>
          </cell>
          <cell r="Y519" t="str">
            <v>Act freight</v>
          </cell>
          <cell r="Z519">
            <v>0</v>
          </cell>
          <cell r="AA519">
            <v>723</v>
          </cell>
          <cell r="AB519">
            <v>598</v>
          </cell>
          <cell r="AC519">
            <v>665</v>
          </cell>
          <cell r="AD519">
            <v>702</v>
          </cell>
          <cell r="AE519">
            <v>737.88</v>
          </cell>
          <cell r="AF519">
            <v>0.19000379465495751</v>
          </cell>
          <cell r="AG519">
            <v>0.3389711064129669</v>
          </cell>
          <cell r="AH519">
            <v>821</v>
          </cell>
          <cell r="AI519">
            <v>903</v>
          </cell>
          <cell r="AJ519">
            <v>0.33811738648947959</v>
          </cell>
          <cell r="AK519">
            <v>985.5</v>
          </cell>
          <cell r="AL519">
            <v>1068</v>
          </cell>
          <cell r="AM519">
            <v>0.44037453183520603</v>
          </cell>
          <cell r="AN519">
            <v>1135.75</v>
          </cell>
          <cell r="AO519">
            <v>1203.5</v>
          </cell>
          <cell r="AP519">
            <v>1271.25</v>
          </cell>
          <cell r="AQ519">
            <v>0</v>
          </cell>
          <cell r="AS519">
            <v>1339</v>
          </cell>
        </row>
        <row r="520">
          <cell r="B520" t="str">
            <v>AC</v>
          </cell>
          <cell r="C520" t="str">
            <v>IMP</v>
          </cell>
          <cell r="D520" t="str">
            <v>BT</v>
          </cell>
          <cell r="E520" t="str">
            <v>08</v>
          </cell>
          <cell r="F520">
            <v>39924</v>
          </cell>
          <cell r="G520">
            <v>40001</v>
          </cell>
          <cell r="H520" t="str">
            <v>A165WY1</v>
          </cell>
          <cell r="I520" t="str">
            <v>3KMHKH101_</v>
          </cell>
          <cell r="J520">
            <v>0</v>
          </cell>
          <cell r="K520" t="str">
            <v>KH-101 Keyboard Holder (for External Keyboard)</v>
          </cell>
          <cell r="L520">
            <v>116</v>
          </cell>
          <cell r="M520">
            <v>44</v>
          </cell>
          <cell r="N520">
            <v>45.760000000000005</v>
          </cell>
          <cell r="O520">
            <v>0.16251830161054165</v>
          </cell>
          <cell r="P520">
            <v>54.64</v>
          </cell>
          <cell r="Q520">
            <v>46.64</v>
          </cell>
          <cell r="R520">
            <v>52.7</v>
          </cell>
          <cell r="S520">
            <v>68.3</v>
          </cell>
          <cell r="T520">
            <v>0.33001464128843327</v>
          </cell>
          <cell r="U520">
            <v>52.891519999999993</v>
          </cell>
          <cell r="V520">
            <v>0.1348329562092371</v>
          </cell>
          <cell r="W520">
            <v>54.64</v>
          </cell>
          <cell r="X520">
            <v>0.8</v>
          </cell>
          <cell r="Y520" t="str">
            <v>Act freight</v>
          </cell>
          <cell r="Z520">
            <v>0</v>
          </cell>
          <cell r="AA520">
            <v>66</v>
          </cell>
          <cell r="AB520">
            <v>55</v>
          </cell>
          <cell r="AC520">
            <v>61</v>
          </cell>
          <cell r="AD520">
            <v>65</v>
          </cell>
          <cell r="AE520">
            <v>67.459999999999994</v>
          </cell>
          <cell r="AF520">
            <v>0.19003854135784159</v>
          </cell>
          <cell r="AG520">
            <v>0.32167210198636215</v>
          </cell>
          <cell r="AH520">
            <v>76</v>
          </cell>
          <cell r="AI520">
            <v>83</v>
          </cell>
          <cell r="AJ520">
            <v>0.34168674698795182</v>
          </cell>
          <cell r="AK520">
            <v>90.5</v>
          </cell>
          <cell r="AL520">
            <v>98</v>
          </cell>
          <cell r="AM520">
            <v>0.44244897959183671</v>
          </cell>
          <cell r="AN520">
            <v>102.5</v>
          </cell>
          <cell r="AO520">
            <v>107</v>
          </cell>
          <cell r="AP520">
            <v>111.5</v>
          </cell>
          <cell r="AQ520">
            <v>0</v>
          </cell>
          <cell r="AS520">
            <v>116</v>
          </cell>
        </row>
        <row r="521">
          <cell r="B521" t="str">
            <v>AC</v>
          </cell>
          <cell r="C521" t="str">
            <v>IMP</v>
          </cell>
          <cell r="D521" t="str">
            <v>BT</v>
          </cell>
          <cell r="E521" t="str">
            <v>P3</v>
          </cell>
          <cell r="F521">
            <v>39934</v>
          </cell>
          <cell r="G521">
            <v>40001</v>
          </cell>
          <cell r="H521" t="str">
            <v>4061313</v>
          </cell>
          <cell r="I521" t="str">
            <v>6KMPC402LCT_N</v>
          </cell>
          <cell r="J521">
            <v>0</v>
          </cell>
          <cell r="K521" t="str">
            <v>PC-402 2500 Sheet LCC</v>
          </cell>
          <cell r="L521">
            <v>1323</v>
          </cell>
          <cell r="M521">
            <v>408</v>
          </cell>
          <cell r="N521">
            <v>424.32</v>
          </cell>
          <cell r="O521">
            <v>-0.17647058823529421</v>
          </cell>
          <cell r="P521">
            <v>360.67199999999997</v>
          </cell>
          <cell r="Q521">
            <v>432.48</v>
          </cell>
          <cell r="R521">
            <v>488.7</v>
          </cell>
          <cell r="S521">
            <v>737.4</v>
          </cell>
          <cell r="T521">
            <v>0.42457282343368591</v>
          </cell>
          <cell r="U521">
            <v>571.04255999999998</v>
          </cell>
          <cell r="V521">
            <v>0.25693804678936716</v>
          </cell>
          <cell r="W521">
            <v>360.67199999999997</v>
          </cell>
          <cell r="X521">
            <v>0.48911310008136694</v>
          </cell>
          <cell r="Y521" t="str">
            <v>Act freight</v>
          </cell>
          <cell r="Z521">
            <v>0</v>
          </cell>
          <cell r="AA521">
            <v>436</v>
          </cell>
          <cell r="AB521">
            <v>361</v>
          </cell>
          <cell r="AC521">
            <v>401</v>
          </cell>
          <cell r="AD521">
            <v>424</v>
          </cell>
          <cell r="AE521">
            <v>445.27</v>
          </cell>
          <cell r="AF521">
            <v>0.18999258876636652</v>
          </cell>
          <cell r="AG521">
            <v>4.7050104431019354E-2</v>
          </cell>
          <cell r="AH521">
            <v>455</v>
          </cell>
          <cell r="AI521">
            <v>464</v>
          </cell>
          <cell r="AJ521">
            <v>0.22268965517241385</v>
          </cell>
          <cell r="AK521">
            <v>472.5</v>
          </cell>
          <cell r="AL521">
            <v>481</v>
          </cell>
          <cell r="AM521">
            <v>0.25016216216216225</v>
          </cell>
          <cell r="AN521">
            <v>548.6</v>
          </cell>
          <cell r="AO521">
            <v>616.20000000000005</v>
          </cell>
          <cell r="AP521">
            <v>683.8</v>
          </cell>
          <cell r="AQ521">
            <v>0</v>
          </cell>
          <cell r="AS521">
            <v>1323</v>
          </cell>
        </row>
        <row r="522">
          <cell r="B522" t="str">
            <v>AC</v>
          </cell>
          <cell r="C522" t="str">
            <v>IMP</v>
          </cell>
          <cell r="D522" t="str">
            <v>BT</v>
          </cell>
          <cell r="E522" t="str">
            <v>P3</v>
          </cell>
          <cell r="F522">
            <v>39934</v>
          </cell>
          <cell r="G522">
            <v>40001</v>
          </cell>
          <cell r="H522" t="str">
            <v>4398702</v>
          </cell>
          <cell r="I522" t="str">
            <v>STKMA070430CY</v>
          </cell>
          <cell r="J522">
            <v>0</v>
          </cell>
          <cell r="K522" t="str">
            <v>IC-205 (PCL Image Controller)</v>
          </cell>
          <cell r="L522">
            <v>535</v>
          </cell>
          <cell r="M522">
            <v>210</v>
          </cell>
          <cell r="N522">
            <v>218.4</v>
          </cell>
          <cell r="O522">
            <v>-0.17647058823529424</v>
          </cell>
          <cell r="P522">
            <v>185.64</v>
          </cell>
          <cell r="Q522">
            <v>222.6</v>
          </cell>
          <cell r="R522">
            <v>251.54</v>
          </cell>
          <cell r="S522">
            <v>320</v>
          </cell>
          <cell r="T522">
            <v>0.3175</v>
          </cell>
          <cell r="U522">
            <v>247.80799999999999</v>
          </cell>
          <cell r="V522">
            <v>0.11867252066115698</v>
          </cell>
          <cell r="W522">
            <v>185.64</v>
          </cell>
          <cell r="X522">
            <v>0.580125</v>
          </cell>
          <cell r="Y522" t="str">
            <v>Act freight</v>
          </cell>
          <cell r="Z522">
            <v>0</v>
          </cell>
          <cell r="AA522">
            <v>225</v>
          </cell>
          <cell r="AB522">
            <v>186</v>
          </cell>
          <cell r="AC522">
            <v>207</v>
          </cell>
          <cell r="AD522">
            <v>219</v>
          </cell>
          <cell r="AE522">
            <v>229.19</v>
          </cell>
          <cell r="AF522">
            <v>0.1900170164492343</v>
          </cell>
          <cell r="AG522">
            <v>4.7078842881452039E-2</v>
          </cell>
          <cell r="AH522">
            <v>235</v>
          </cell>
          <cell r="AI522">
            <v>239</v>
          </cell>
          <cell r="AJ522">
            <v>0.22326359832635989</v>
          </cell>
          <cell r="AK522">
            <v>243.5</v>
          </cell>
          <cell r="AL522">
            <v>248</v>
          </cell>
          <cell r="AM522">
            <v>0.25145161290322587</v>
          </cell>
          <cell r="AN522">
            <v>282.69</v>
          </cell>
          <cell r="AO522">
            <v>317.38</v>
          </cell>
          <cell r="AP522">
            <v>352.07</v>
          </cell>
          <cell r="AQ522">
            <v>0</v>
          </cell>
          <cell r="AS522">
            <v>535</v>
          </cell>
        </row>
        <row r="523">
          <cell r="B523" t="str">
            <v>AC</v>
          </cell>
          <cell r="C523" t="str">
            <v>IMP</v>
          </cell>
          <cell r="D523" t="str">
            <v>BT</v>
          </cell>
          <cell r="E523" t="str">
            <v>P3</v>
          </cell>
          <cell r="F523">
            <v>39934</v>
          </cell>
          <cell r="G523">
            <v>40001</v>
          </cell>
          <cell r="H523" t="str">
            <v>4398712</v>
          </cell>
          <cell r="I523" t="str">
            <v>SBKMGC501</v>
          </cell>
          <cell r="J523" t="str">
            <v>DNU</v>
          </cell>
          <cell r="K523" t="str">
            <v>NC-502 (Network Interface Card)</v>
          </cell>
          <cell r="L523">
            <v>385</v>
          </cell>
          <cell r="M523">
            <v>150</v>
          </cell>
          <cell r="N523">
            <v>156</v>
          </cell>
          <cell r="O523">
            <v>-0.17647058823529416</v>
          </cell>
          <cell r="P523">
            <v>132.6</v>
          </cell>
          <cell r="Q523">
            <v>159</v>
          </cell>
          <cell r="R523">
            <v>179.67</v>
          </cell>
          <cell r="S523">
            <v>230</v>
          </cell>
          <cell r="T523">
            <v>0.32173913043478258</v>
          </cell>
          <cell r="U523">
            <v>178.11199999999999</v>
          </cell>
          <cell r="V523">
            <v>0.1241466043837585</v>
          </cell>
          <cell r="W523">
            <v>132.6</v>
          </cell>
          <cell r="X523">
            <v>0.57652173913043481</v>
          </cell>
          <cell r="Y523" t="str">
            <v>Act freight</v>
          </cell>
          <cell r="Z523">
            <v>0</v>
          </cell>
          <cell r="AA523">
            <v>160</v>
          </cell>
          <cell r="AB523">
            <v>133</v>
          </cell>
          <cell r="AC523">
            <v>148</v>
          </cell>
          <cell r="AD523">
            <v>156</v>
          </cell>
          <cell r="AE523">
            <v>163.69999999999999</v>
          </cell>
          <cell r="AF523">
            <v>0.18998167379352471</v>
          </cell>
          <cell r="AG523">
            <v>4.7037263286499625E-2</v>
          </cell>
          <cell r="AH523">
            <v>168</v>
          </cell>
          <cell r="AI523">
            <v>171</v>
          </cell>
          <cell r="AJ523">
            <v>0.22456140350877196</v>
          </cell>
          <cell r="AK523">
            <v>174</v>
          </cell>
          <cell r="AL523">
            <v>177</v>
          </cell>
          <cell r="AM523">
            <v>0.25084745762711869</v>
          </cell>
          <cell r="AN523">
            <v>201.81</v>
          </cell>
          <cell r="AO523">
            <v>226.62</v>
          </cell>
          <cell r="AP523">
            <v>251.43</v>
          </cell>
          <cell r="AQ523">
            <v>0</v>
          </cell>
          <cell r="AS523">
            <v>385</v>
          </cell>
        </row>
        <row r="524">
          <cell r="B524" t="str">
            <v>AC</v>
          </cell>
          <cell r="C524" t="str">
            <v>IMP</v>
          </cell>
          <cell r="D524" t="str">
            <v>BT</v>
          </cell>
          <cell r="E524" t="str">
            <v>P3</v>
          </cell>
          <cell r="F524">
            <v>39934</v>
          </cell>
          <cell r="G524">
            <v>40001</v>
          </cell>
          <cell r="H524" t="str">
            <v>4398722</v>
          </cell>
          <cell r="I524" t="str">
            <v>STKMA0D7131</v>
          </cell>
          <cell r="J524">
            <v>0</v>
          </cell>
          <cell r="K524" t="str">
            <v>FK-505 (Fax Kit)</v>
          </cell>
          <cell r="L524">
            <v>850</v>
          </cell>
          <cell r="M524">
            <v>340</v>
          </cell>
          <cell r="N524">
            <v>353.6</v>
          </cell>
          <cell r="O524">
            <v>-0.17647058823529418</v>
          </cell>
          <cell r="P524">
            <v>300.56</v>
          </cell>
          <cell r="Q524">
            <v>360.4</v>
          </cell>
          <cell r="R524">
            <v>407.25</v>
          </cell>
          <cell r="S524">
            <v>510</v>
          </cell>
          <cell r="T524">
            <v>0.30666666666666664</v>
          </cell>
          <cell r="U524">
            <v>394.94399999999996</v>
          </cell>
          <cell r="V524">
            <v>0.10468319559228635</v>
          </cell>
          <cell r="W524">
            <v>300.56</v>
          </cell>
          <cell r="X524">
            <v>0.58933333333333338</v>
          </cell>
          <cell r="Y524" t="str">
            <v>Act freight</v>
          </cell>
          <cell r="Z524">
            <v>0</v>
          </cell>
          <cell r="AA524">
            <v>364</v>
          </cell>
          <cell r="AB524">
            <v>301</v>
          </cell>
          <cell r="AC524">
            <v>334</v>
          </cell>
          <cell r="AD524">
            <v>353</v>
          </cell>
          <cell r="AE524">
            <v>371.06</v>
          </cell>
          <cell r="AF524">
            <v>0.18999622702527894</v>
          </cell>
          <cell r="AG524">
            <v>4.7054384735622214E-2</v>
          </cell>
          <cell r="AH524">
            <v>380</v>
          </cell>
          <cell r="AI524">
            <v>387</v>
          </cell>
          <cell r="AJ524">
            <v>0.22335917312661499</v>
          </cell>
          <cell r="AK524">
            <v>394</v>
          </cell>
          <cell r="AL524">
            <v>401</v>
          </cell>
          <cell r="AM524">
            <v>0.25047381546134662</v>
          </cell>
          <cell r="AN524">
            <v>457.29</v>
          </cell>
          <cell r="AO524">
            <v>513.58000000000004</v>
          </cell>
          <cell r="AP524">
            <v>569.87</v>
          </cell>
          <cell r="AQ524">
            <v>0</v>
          </cell>
          <cell r="AS524">
            <v>850</v>
          </cell>
        </row>
        <row r="525">
          <cell r="B525" t="str">
            <v>AC</v>
          </cell>
          <cell r="C525" t="str">
            <v>IMP</v>
          </cell>
          <cell r="D525" t="str">
            <v>BT</v>
          </cell>
          <cell r="E525" t="str">
            <v>P3</v>
          </cell>
          <cell r="F525">
            <v>39934</v>
          </cell>
          <cell r="G525">
            <v>40001</v>
          </cell>
          <cell r="H525" t="str">
            <v>4398731</v>
          </cell>
          <cell r="I525" t="str">
            <v>STKMA0D7132</v>
          </cell>
          <cell r="J525">
            <v>0</v>
          </cell>
          <cell r="K525" t="str">
            <v>EM-102 Expanded Copier Memory Unit - 64MB</v>
          </cell>
          <cell r="L525">
            <v>290</v>
          </cell>
          <cell r="M525">
            <v>90</v>
          </cell>
          <cell r="N525">
            <v>93.600000000000009</v>
          </cell>
          <cell r="O525">
            <v>-0.17647058823529418</v>
          </cell>
          <cell r="P525">
            <v>79.56</v>
          </cell>
          <cell r="Q525">
            <v>95.4</v>
          </cell>
          <cell r="R525">
            <v>107.8</v>
          </cell>
          <cell r="S525">
            <v>163</v>
          </cell>
          <cell r="T525">
            <v>0.4257668711656441</v>
          </cell>
          <cell r="U525">
            <v>126.2272</v>
          </cell>
          <cell r="V525">
            <v>0.25847994726968504</v>
          </cell>
          <cell r="W525">
            <v>79.56</v>
          </cell>
          <cell r="X525">
            <v>0.48809815950920249</v>
          </cell>
          <cell r="Y525" t="str">
            <v>Act freight</v>
          </cell>
          <cell r="Z525">
            <v>0</v>
          </cell>
          <cell r="AA525">
            <v>96</v>
          </cell>
          <cell r="AB525">
            <v>80</v>
          </cell>
          <cell r="AC525">
            <v>89</v>
          </cell>
          <cell r="AD525">
            <v>94</v>
          </cell>
          <cell r="AE525">
            <v>98.22</v>
          </cell>
          <cell r="AF525">
            <v>0.18998167379352471</v>
          </cell>
          <cell r="AG525">
            <v>4.7037263286499598E-2</v>
          </cell>
          <cell r="AH525">
            <v>101</v>
          </cell>
          <cell r="AI525">
            <v>103</v>
          </cell>
          <cell r="AJ525">
            <v>0.22757281553398057</v>
          </cell>
          <cell r="AK525">
            <v>105</v>
          </cell>
          <cell r="AL525">
            <v>107</v>
          </cell>
          <cell r="AM525">
            <v>0.25644859813084109</v>
          </cell>
          <cell r="AN525">
            <v>121.69</v>
          </cell>
          <cell r="AO525">
            <v>136.38</v>
          </cell>
          <cell r="AP525">
            <v>151.07</v>
          </cell>
          <cell r="AQ525">
            <v>0</v>
          </cell>
          <cell r="AS525">
            <v>290</v>
          </cell>
        </row>
        <row r="526">
          <cell r="B526" t="str">
            <v>AC</v>
          </cell>
          <cell r="C526" t="str">
            <v>IMP</v>
          </cell>
          <cell r="D526" t="str">
            <v>BT</v>
          </cell>
          <cell r="E526" t="str">
            <v>08</v>
          </cell>
          <cell r="F526">
            <v>39924</v>
          </cell>
          <cell r="G526">
            <v>40259</v>
          </cell>
          <cell r="H526" t="str">
            <v>7640001284</v>
          </cell>
          <cell r="I526" t="str">
            <v>STKMA0D7135</v>
          </cell>
          <cell r="J526">
            <v>0</v>
          </cell>
          <cell r="K526" t="str">
            <v>DK-703 Copy Table/Desk (Base Feet)</v>
          </cell>
          <cell r="L526">
            <v>165</v>
          </cell>
          <cell r="M526">
            <v>92</v>
          </cell>
          <cell r="N526">
            <v>95.68</v>
          </cell>
          <cell r="O526">
            <v>0</v>
          </cell>
          <cell r="P526">
            <v>95.68</v>
          </cell>
          <cell r="Q526">
            <v>97.52</v>
          </cell>
          <cell r="R526">
            <v>110.2</v>
          </cell>
          <cell r="S526">
            <v>104</v>
          </cell>
          <cell r="T526">
            <v>7.9999999999999932E-2</v>
          </cell>
          <cell r="U526">
            <v>95.68</v>
          </cell>
          <cell r="V526">
            <v>0</v>
          </cell>
          <cell r="W526">
            <v>95.68</v>
          </cell>
          <cell r="X526">
            <v>0.92</v>
          </cell>
          <cell r="Y526" t="str">
            <v>Act freight</v>
          </cell>
          <cell r="Z526">
            <v>0</v>
          </cell>
          <cell r="AA526">
            <v>116</v>
          </cell>
          <cell r="AB526">
            <v>96</v>
          </cell>
          <cell r="AC526">
            <v>107</v>
          </cell>
          <cell r="AD526">
            <v>115</v>
          </cell>
          <cell r="AE526">
            <v>118.12</v>
          </cell>
          <cell r="AF526">
            <v>0.18997629529292243</v>
          </cell>
          <cell r="AG526">
            <v>0.18997629529292243</v>
          </cell>
          <cell r="AH526">
            <v>131</v>
          </cell>
          <cell r="AI526">
            <v>142</v>
          </cell>
          <cell r="AJ526">
            <v>0.32619718309859153</v>
          </cell>
          <cell r="AK526">
            <v>153.5</v>
          </cell>
          <cell r="AL526">
            <v>165</v>
          </cell>
          <cell r="AM526">
            <v>0.42012121212121206</v>
          </cell>
          <cell r="AN526">
            <v>165</v>
          </cell>
          <cell r="AO526">
            <v>165</v>
          </cell>
          <cell r="AP526">
            <v>165</v>
          </cell>
          <cell r="AQ526">
            <v>0</v>
          </cell>
          <cell r="AS526">
            <v>165</v>
          </cell>
        </row>
        <row r="527">
          <cell r="B527" t="str">
            <v>AC</v>
          </cell>
          <cell r="C527" t="str">
            <v>IMP</v>
          </cell>
          <cell r="D527" t="str">
            <v>BT</v>
          </cell>
          <cell r="E527" t="str">
            <v>P3</v>
          </cell>
          <cell r="F527">
            <v>39934</v>
          </cell>
          <cell r="G527">
            <v>40001</v>
          </cell>
          <cell r="H527" t="str">
            <v>15AA</v>
          </cell>
          <cell r="I527" t="str">
            <v>STKMA0D7231YE</v>
          </cell>
          <cell r="J527">
            <v>0</v>
          </cell>
          <cell r="K527" t="str">
            <v>FS-503 Stapler Finisher</v>
          </cell>
          <cell r="L527">
            <v>7140</v>
          </cell>
          <cell r="M527">
            <v>2356</v>
          </cell>
          <cell r="N527">
            <v>2450.2400000000002</v>
          </cell>
          <cell r="O527">
            <v>-0.17647058823529413</v>
          </cell>
          <cell r="P527">
            <v>2082.7040000000002</v>
          </cell>
          <cell r="Q527">
            <v>2497.36</v>
          </cell>
          <cell r="R527">
            <v>2822.02</v>
          </cell>
          <cell r="S527">
            <v>3595.4</v>
          </cell>
          <cell r="T527">
            <v>0.31850698114257103</v>
          </cell>
          <cell r="U527">
            <v>2784.2777599999999</v>
          </cell>
          <cell r="V527">
            <v>0.11997285788038609</v>
          </cell>
          <cell r="W527">
            <v>2082.7040000000002</v>
          </cell>
          <cell r="X527">
            <v>0.57926906602881467</v>
          </cell>
          <cell r="Y527" t="str">
            <v>Act freight</v>
          </cell>
          <cell r="Z527">
            <v>0</v>
          </cell>
          <cell r="AA527">
            <v>2520</v>
          </cell>
          <cell r="AB527">
            <v>2083</v>
          </cell>
          <cell r="AC527">
            <v>2315</v>
          </cell>
          <cell r="AD527">
            <v>2444</v>
          </cell>
          <cell r="AE527">
            <v>2571.2399999999998</v>
          </cell>
          <cell r="AF527">
            <v>0.19000015556696367</v>
          </cell>
          <cell r="AG527">
            <v>4.7059006549369002E-2</v>
          </cell>
          <cell r="AH527">
            <v>2624</v>
          </cell>
          <cell r="AI527">
            <v>2675</v>
          </cell>
          <cell r="AJ527">
            <v>0.22141906542056067</v>
          </cell>
          <cell r="AK527">
            <v>2726</v>
          </cell>
          <cell r="AL527">
            <v>2777</v>
          </cell>
          <cell r="AM527">
            <v>0.25001656463809863</v>
          </cell>
          <cell r="AN527">
            <v>3167.49</v>
          </cell>
          <cell r="AO527">
            <v>3557.98</v>
          </cell>
          <cell r="AP527">
            <v>3948.47</v>
          </cell>
          <cell r="AQ527">
            <v>0</v>
          </cell>
          <cell r="AS527">
            <v>7140</v>
          </cell>
        </row>
        <row r="528">
          <cell r="B528" t="str">
            <v>AC</v>
          </cell>
          <cell r="C528" t="str">
            <v>IMP</v>
          </cell>
          <cell r="D528" t="str">
            <v>BT</v>
          </cell>
          <cell r="E528" t="str">
            <v>P3</v>
          </cell>
          <cell r="F528">
            <v>39934</v>
          </cell>
          <cell r="G528">
            <v>40001</v>
          </cell>
          <cell r="H528" t="str">
            <v>15AF</v>
          </cell>
          <cell r="I528" t="str">
            <v>STKMA0D7232YE</v>
          </cell>
          <cell r="J528">
            <v>0</v>
          </cell>
          <cell r="K528" t="str">
            <v>FS503 100 Sheet Stapler FN (C6500) IKON</v>
          </cell>
          <cell r="L528">
            <v>7140</v>
          </cell>
          <cell r="M528">
            <v>2356</v>
          </cell>
          <cell r="N528">
            <v>2450.2400000000002</v>
          </cell>
          <cell r="O528">
            <v>-0.17647058823529413</v>
          </cell>
          <cell r="P528">
            <v>2082.7040000000002</v>
          </cell>
          <cell r="Q528">
            <v>2497.36</v>
          </cell>
          <cell r="R528">
            <v>2822.02</v>
          </cell>
          <cell r="S528">
            <v>3595.4</v>
          </cell>
          <cell r="T528">
            <v>0.31850698114257103</v>
          </cell>
          <cell r="U528">
            <v>2784.2777599999999</v>
          </cell>
          <cell r="V528">
            <v>0.11997285788038609</v>
          </cell>
          <cell r="W528">
            <v>2082.7040000000002</v>
          </cell>
          <cell r="X528">
            <v>0.57926906602881467</v>
          </cell>
          <cell r="Y528" t="str">
            <v>Act freight</v>
          </cell>
          <cell r="Z528">
            <v>0</v>
          </cell>
          <cell r="AA528">
            <v>2520</v>
          </cell>
          <cell r="AB528">
            <v>2083</v>
          </cell>
          <cell r="AC528">
            <v>2315</v>
          </cell>
          <cell r="AD528">
            <v>2444</v>
          </cell>
          <cell r="AE528">
            <v>2571.2399999999998</v>
          </cell>
          <cell r="AF528">
            <v>0.19000015556696367</v>
          </cell>
          <cell r="AG528">
            <v>4.7059006549369002E-2</v>
          </cell>
          <cell r="AH528">
            <v>2624</v>
          </cell>
          <cell r="AI528">
            <v>2675</v>
          </cell>
          <cell r="AJ528">
            <v>0.22141906542056067</v>
          </cell>
          <cell r="AK528">
            <v>2726</v>
          </cell>
          <cell r="AL528">
            <v>2777</v>
          </cell>
          <cell r="AM528">
            <v>0.25001656463809863</v>
          </cell>
          <cell r="AN528">
            <v>3167.49</v>
          </cell>
          <cell r="AO528">
            <v>3557.98</v>
          </cell>
          <cell r="AP528">
            <v>3948.47</v>
          </cell>
          <cell r="AQ528">
            <v>0</v>
          </cell>
          <cell r="AS528">
            <v>7140</v>
          </cell>
        </row>
        <row r="529">
          <cell r="B529" t="str">
            <v>AC</v>
          </cell>
          <cell r="C529" t="str">
            <v>IMP</v>
          </cell>
          <cell r="D529" t="str">
            <v>BT</v>
          </cell>
          <cell r="E529" t="str">
            <v>P3</v>
          </cell>
          <cell r="F529">
            <v>39934</v>
          </cell>
          <cell r="G529">
            <v>40001</v>
          </cell>
          <cell r="H529" t="str">
            <v>15AH</v>
          </cell>
          <cell r="I529" t="str">
            <v>STKMA0D7235YE</v>
          </cell>
          <cell r="J529">
            <v>0</v>
          </cell>
          <cell r="K529" t="str">
            <v>FD-501 Folding Unit</v>
          </cell>
          <cell r="L529">
            <v>17850</v>
          </cell>
          <cell r="M529">
            <v>5049</v>
          </cell>
          <cell r="N529">
            <v>5250.96</v>
          </cell>
          <cell r="O529">
            <v>-0.17647058823529418</v>
          </cell>
          <cell r="P529">
            <v>4463.3159999999998</v>
          </cell>
          <cell r="Q529">
            <v>5351.94</v>
          </cell>
          <cell r="R529">
            <v>6047.69</v>
          </cell>
          <cell r="S529">
            <v>8412.9</v>
          </cell>
          <cell r="T529">
            <v>0.37584423920407944</v>
          </cell>
          <cell r="U529">
            <v>6514.9497599999995</v>
          </cell>
          <cell r="V529">
            <v>0.19401373864163146</v>
          </cell>
          <cell r="W529">
            <v>4463.3159999999998</v>
          </cell>
          <cell r="X529">
            <v>0.53053239667653251</v>
          </cell>
          <cell r="Y529" t="str">
            <v>Act freight</v>
          </cell>
          <cell r="Z529">
            <v>0</v>
          </cell>
          <cell r="AA529">
            <v>5400</v>
          </cell>
          <cell r="AB529">
            <v>4464</v>
          </cell>
          <cell r="AC529">
            <v>4960</v>
          </cell>
          <cell r="AD529">
            <v>5236</v>
          </cell>
          <cell r="AE529">
            <v>5510.27</v>
          </cell>
          <cell r="AF529">
            <v>0.19000048999413832</v>
          </cell>
          <cell r="AG529">
            <v>4.7059399993103858E-2</v>
          </cell>
          <cell r="AH529">
            <v>5622</v>
          </cell>
          <cell r="AI529">
            <v>5732</v>
          </cell>
          <cell r="AJ529">
            <v>0.22133356594556877</v>
          </cell>
          <cell r="AK529">
            <v>5842</v>
          </cell>
          <cell r="AL529">
            <v>5952</v>
          </cell>
          <cell r="AM529">
            <v>0.25011491935483876</v>
          </cell>
          <cell r="AN529">
            <v>6788.64</v>
          </cell>
          <cell r="AO529">
            <v>7625.28</v>
          </cell>
          <cell r="AP529">
            <v>8461.92</v>
          </cell>
          <cell r="AQ529">
            <v>0</v>
          </cell>
          <cell r="AS529">
            <v>17850</v>
          </cell>
        </row>
        <row r="530">
          <cell r="B530" t="str">
            <v>AC</v>
          </cell>
          <cell r="C530" t="str">
            <v>IMP</v>
          </cell>
          <cell r="D530" t="str">
            <v>BT</v>
          </cell>
          <cell r="E530" t="str">
            <v>P3</v>
          </cell>
          <cell r="F530">
            <v>39934</v>
          </cell>
          <cell r="G530">
            <v>40001</v>
          </cell>
          <cell r="H530" t="str">
            <v>15AV</v>
          </cell>
          <cell r="I530" t="str">
            <v>6KMLS5015KSTK_X</v>
          </cell>
          <cell r="J530">
            <v>0</v>
          </cell>
          <cell r="K530" t="str">
            <v>LS-501 5000 Sheet Stacker</v>
          </cell>
          <cell r="L530">
            <v>17325</v>
          </cell>
          <cell r="M530">
            <v>6732</v>
          </cell>
          <cell r="N530">
            <v>7001.2800000000007</v>
          </cell>
          <cell r="O530">
            <v>-0.1764705882352941</v>
          </cell>
          <cell r="P530">
            <v>5951.0880000000006</v>
          </cell>
          <cell r="Q530">
            <v>7135.92</v>
          </cell>
          <cell r="R530">
            <v>8063.59</v>
          </cell>
          <cell r="S530">
            <v>9360.1</v>
          </cell>
          <cell r="T530">
            <v>0.25200799136761354</v>
          </cell>
          <cell r="U530">
            <v>8049.6860000000006</v>
          </cell>
          <cell r="V530">
            <v>0.13024185042745764</v>
          </cell>
          <cell r="W530">
            <v>5951.0880000000006</v>
          </cell>
          <cell r="X530">
            <v>0.63579320733752853</v>
          </cell>
          <cell r="Y530" t="str">
            <v>Act freight</v>
          </cell>
          <cell r="Z530">
            <v>0</v>
          </cell>
          <cell r="AA530">
            <v>7200</v>
          </cell>
          <cell r="AB530">
            <v>5952</v>
          </cell>
          <cell r="AC530">
            <v>6613</v>
          </cell>
          <cell r="AD530">
            <v>6981</v>
          </cell>
          <cell r="AE530">
            <v>7347.02</v>
          </cell>
          <cell r="AF530">
            <v>0.18999975500270855</v>
          </cell>
          <cell r="AG530">
            <v>4.705853529730418E-2</v>
          </cell>
          <cell r="AH530">
            <v>7495</v>
          </cell>
          <cell r="AI530">
            <v>7642</v>
          </cell>
          <cell r="AJ530">
            <v>0.22126563726773088</v>
          </cell>
          <cell r="AK530">
            <v>7788.5</v>
          </cell>
          <cell r="AL530">
            <v>7935</v>
          </cell>
          <cell r="AM530">
            <v>0.25002041587901691</v>
          </cell>
          <cell r="AN530">
            <v>9050.7800000000007</v>
          </cell>
          <cell r="AO530">
            <v>10166.56</v>
          </cell>
          <cell r="AP530">
            <v>11282.34</v>
          </cell>
          <cell r="AQ530">
            <v>0</v>
          </cell>
          <cell r="AS530">
            <v>17325</v>
          </cell>
        </row>
        <row r="531">
          <cell r="B531" t="str">
            <v>AC</v>
          </cell>
          <cell r="C531" t="str">
            <v>IMP</v>
          </cell>
          <cell r="D531" t="str">
            <v>BT</v>
          </cell>
          <cell r="E531" t="str">
            <v>P3</v>
          </cell>
          <cell r="F531">
            <v>39934</v>
          </cell>
          <cell r="G531">
            <v>40001</v>
          </cell>
          <cell r="H531" t="str">
            <v>15BA</v>
          </cell>
          <cell r="I531" t="str">
            <v>STKMA0D7332MA</v>
          </cell>
          <cell r="J531">
            <v>0</v>
          </cell>
          <cell r="K531" t="str">
            <v>PF-701 Opt Paper Feed Unit</v>
          </cell>
          <cell r="L531">
            <v>6090</v>
          </cell>
          <cell r="M531">
            <v>1958</v>
          </cell>
          <cell r="N531">
            <v>2036.3200000000002</v>
          </cell>
          <cell r="O531">
            <v>-0.17647058823529416</v>
          </cell>
          <cell r="P531">
            <v>1730.8720000000001</v>
          </cell>
          <cell r="Q531">
            <v>2075.48</v>
          </cell>
          <cell r="R531">
            <v>2345.29</v>
          </cell>
          <cell r="S531">
            <v>3432.4</v>
          </cell>
          <cell r="T531">
            <v>0.40673581167696071</v>
          </cell>
          <cell r="U531">
            <v>2658.0505600000001</v>
          </cell>
          <cell r="V531">
            <v>0.23390471549194305</v>
          </cell>
          <cell r="W531">
            <v>1730.8720000000001</v>
          </cell>
          <cell r="X531">
            <v>0.50427456007458338</v>
          </cell>
          <cell r="Y531" t="str">
            <v>Act freight</v>
          </cell>
          <cell r="Z531">
            <v>0</v>
          </cell>
          <cell r="AA531">
            <v>2094</v>
          </cell>
          <cell r="AB531">
            <v>1731</v>
          </cell>
          <cell r="AC531">
            <v>1924</v>
          </cell>
          <cell r="AD531">
            <v>2031</v>
          </cell>
          <cell r="AE531">
            <v>2136.88</v>
          </cell>
          <cell r="AF531">
            <v>0.19000037437759726</v>
          </cell>
          <cell r="AG531">
            <v>4.7059263973643788E-2</v>
          </cell>
          <cell r="AH531">
            <v>2180</v>
          </cell>
          <cell r="AI531">
            <v>2223</v>
          </cell>
          <cell r="AJ531">
            <v>0.22138011695906429</v>
          </cell>
          <cell r="AK531">
            <v>2265.5</v>
          </cell>
          <cell r="AL531">
            <v>2308</v>
          </cell>
          <cell r="AM531">
            <v>0.25005545927209705</v>
          </cell>
          <cell r="AN531">
            <v>2632.5</v>
          </cell>
          <cell r="AO531">
            <v>2957</v>
          </cell>
          <cell r="AP531">
            <v>3281.5</v>
          </cell>
          <cell r="AQ531">
            <v>0</v>
          </cell>
          <cell r="AS531">
            <v>6090</v>
          </cell>
        </row>
        <row r="532">
          <cell r="B532" t="str">
            <v>AC</v>
          </cell>
          <cell r="C532" t="str">
            <v>IMP</v>
          </cell>
          <cell r="D532" t="str">
            <v>BT</v>
          </cell>
          <cell r="E532" t="str">
            <v>P3</v>
          </cell>
          <cell r="F532">
            <v>39934</v>
          </cell>
          <cell r="G532">
            <v>40001</v>
          </cell>
          <cell r="H532" t="str">
            <v>56UAPA0000</v>
          </cell>
          <cell r="I532" t="str">
            <v>3KMKRHDDKIT</v>
          </cell>
          <cell r="J532">
            <v>0</v>
          </cell>
          <cell r="K532" t="str">
            <v>Removable HDD Kit</v>
          </cell>
          <cell r="L532">
            <v>2993</v>
          </cell>
          <cell r="M532">
            <v>1124</v>
          </cell>
          <cell r="N532">
            <v>1168.96</v>
          </cell>
          <cell r="O532">
            <v>-0.17647058823529418</v>
          </cell>
          <cell r="P532">
            <v>993.61599999999999</v>
          </cell>
          <cell r="Q532">
            <v>1191.44</v>
          </cell>
          <cell r="R532">
            <v>1346.33</v>
          </cell>
          <cell r="S532">
            <v>1837.5</v>
          </cell>
          <cell r="T532">
            <v>0.3638312925170068</v>
          </cell>
          <cell r="U532">
            <v>1422.96</v>
          </cell>
          <cell r="V532">
            <v>0.17850115252712656</v>
          </cell>
          <cell r="W532">
            <v>993.61599999999999</v>
          </cell>
          <cell r="X532">
            <v>0.54074340136054422</v>
          </cell>
          <cell r="Y532" t="str">
            <v>Act freight</v>
          </cell>
          <cell r="Z532">
            <v>0</v>
          </cell>
          <cell r="AA532">
            <v>1202</v>
          </cell>
          <cell r="AB532">
            <v>994</v>
          </cell>
          <cell r="AC532">
            <v>1105</v>
          </cell>
          <cell r="AD532">
            <v>1166</v>
          </cell>
          <cell r="AE532">
            <v>1226.69</v>
          </cell>
          <cell r="AF532">
            <v>0.19000236408546581</v>
          </cell>
          <cell r="AG532">
            <v>4.7061604806430325E-2</v>
          </cell>
          <cell r="AH532">
            <v>1252</v>
          </cell>
          <cell r="AI532">
            <v>1276</v>
          </cell>
          <cell r="AJ532">
            <v>0.22130407523510973</v>
          </cell>
          <cell r="AK532">
            <v>1300.5</v>
          </cell>
          <cell r="AL532">
            <v>1325</v>
          </cell>
          <cell r="AM532">
            <v>0.25010113207547169</v>
          </cell>
          <cell r="AN532">
            <v>1511.26</v>
          </cell>
          <cell r="AO532">
            <v>1697.52</v>
          </cell>
          <cell r="AP532">
            <v>1883.78</v>
          </cell>
          <cell r="AQ532">
            <v>0</v>
          </cell>
          <cell r="AS532">
            <v>2993</v>
          </cell>
        </row>
        <row r="533">
          <cell r="B533" t="str">
            <v>AC</v>
          </cell>
          <cell r="C533" t="str">
            <v>IMP</v>
          </cell>
          <cell r="D533" t="str">
            <v>BT</v>
          </cell>
          <cell r="E533" t="str">
            <v>P3</v>
          </cell>
          <cell r="F533">
            <v>39934</v>
          </cell>
          <cell r="G533">
            <v>40001</v>
          </cell>
          <cell r="H533" t="str">
            <v>56UAPA0100</v>
          </cell>
          <cell r="I533" t="str">
            <v>3KMHAHDDCASE</v>
          </cell>
          <cell r="J533">
            <v>0</v>
          </cell>
          <cell r="K533" t="str">
            <v>Additional Case for HDD Kit</v>
          </cell>
          <cell r="L533">
            <v>158</v>
          </cell>
          <cell r="M533">
            <v>56</v>
          </cell>
          <cell r="N533">
            <v>58.24</v>
          </cell>
          <cell r="O533">
            <v>-0.17647058823529421</v>
          </cell>
          <cell r="P533">
            <v>49.503999999999998</v>
          </cell>
          <cell r="Q533">
            <v>59.36</v>
          </cell>
          <cell r="R533">
            <v>67.08</v>
          </cell>
          <cell r="S533">
            <v>102.9</v>
          </cell>
          <cell r="T533">
            <v>0.43401360544217688</v>
          </cell>
          <cell r="U533">
            <v>79.685760000000002</v>
          </cell>
          <cell r="V533">
            <v>0.26912913925900939</v>
          </cell>
          <cell r="W533">
            <v>49.503999999999998</v>
          </cell>
          <cell r="X533">
            <v>0.48108843537414964</v>
          </cell>
          <cell r="Y533" t="str">
            <v>Act freight</v>
          </cell>
          <cell r="Z533">
            <v>0</v>
          </cell>
          <cell r="AA533">
            <v>60</v>
          </cell>
          <cell r="AB533">
            <v>50</v>
          </cell>
          <cell r="AC533">
            <v>56</v>
          </cell>
          <cell r="AD533">
            <v>59</v>
          </cell>
          <cell r="AE533">
            <v>61.12</v>
          </cell>
          <cell r="AF533">
            <v>0.19005235602094242</v>
          </cell>
          <cell r="AG533">
            <v>4.7120418848167464E-2</v>
          </cell>
          <cell r="AH533">
            <v>64</v>
          </cell>
          <cell r="AI533">
            <v>65</v>
          </cell>
          <cell r="AJ533">
            <v>0.23840000000000003</v>
          </cell>
          <cell r="AK533">
            <v>66</v>
          </cell>
          <cell r="AL533">
            <v>67</v>
          </cell>
          <cell r="AM533">
            <v>0.26113432835820899</v>
          </cell>
          <cell r="AN533">
            <v>76.03</v>
          </cell>
          <cell r="AO533">
            <v>85.06</v>
          </cell>
          <cell r="AP533">
            <v>94.09</v>
          </cell>
          <cell r="AQ533">
            <v>0</v>
          </cell>
          <cell r="AS533">
            <v>158</v>
          </cell>
        </row>
        <row r="534">
          <cell r="B534" t="str">
            <v>AC</v>
          </cell>
          <cell r="C534" t="str">
            <v>IMP</v>
          </cell>
          <cell r="D534" t="str">
            <v>BT</v>
          </cell>
          <cell r="E534" t="str">
            <v>08</v>
          </cell>
          <cell r="F534">
            <v>39934</v>
          </cell>
          <cell r="G534">
            <v>40001</v>
          </cell>
          <cell r="H534" t="str">
            <v>A01G0Y1</v>
          </cell>
          <cell r="I534" t="str">
            <v>STKMA0D7432CY</v>
          </cell>
          <cell r="J534">
            <v>0</v>
          </cell>
          <cell r="K534" t="str">
            <v>FS-519 (C353/C253/C203)</v>
          </cell>
          <cell r="L534">
            <v>1628</v>
          </cell>
          <cell r="M534">
            <v>617</v>
          </cell>
          <cell r="N534">
            <v>641.68000000000006</v>
          </cell>
          <cell r="O534">
            <v>8.738195471612234E-2</v>
          </cell>
          <cell r="P534">
            <v>703.12</v>
          </cell>
          <cell r="Q534">
            <v>654.02</v>
          </cell>
          <cell r="R534">
            <v>739.04</v>
          </cell>
          <cell r="S534">
            <v>878.9</v>
          </cell>
          <cell r="T534">
            <v>0.26990556377289787</v>
          </cell>
          <cell r="U534">
            <v>680.62015999999994</v>
          </cell>
          <cell r="V534">
            <v>5.7212763136489937E-2</v>
          </cell>
          <cell r="W534">
            <v>703.12</v>
          </cell>
          <cell r="X534">
            <v>0.8</v>
          </cell>
          <cell r="Y534" t="str">
            <v>Act freight</v>
          </cell>
          <cell r="Z534">
            <v>0</v>
          </cell>
          <cell r="AA534">
            <v>851</v>
          </cell>
          <cell r="AB534">
            <v>704</v>
          </cell>
          <cell r="AC534">
            <v>782</v>
          </cell>
          <cell r="AD534">
            <v>826</v>
          </cell>
          <cell r="AE534">
            <v>868.05</v>
          </cell>
          <cell r="AF534">
            <v>0.19000057600368639</v>
          </cell>
          <cell r="AG534">
            <v>0.26077990899141745</v>
          </cell>
          <cell r="AH534">
            <v>966</v>
          </cell>
          <cell r="AI534">
            <v>1063</v>
          </cell>
          <cell r="AJ534">
            <v>0.33855126999059265</v>
          </cell>
          <cell r="AK534">
            <v>1159.5</v>
          </cell>
          <cell r="AL534">
            <v>1256</v>
          </cell>
          <cell r="AM534">
            <v>0.44019108280254776</v>
          </cell>
          <cell r="AN534">
            <v>1349</v>
          </cell>
          <cell r="AO534">
            <v>1442</v>
          </cell>
          <cell r="AP534">
            <v>1535</v>
          </cell>
          <cell r="AQ534">
            <v>0</v>
          </cell>
          <cell r="AS534">
            <v>1628</v>
          </cell>
        </row>
        <row r="535">
          <cell r="B535" t="str">
            <v>AC</v>
          </cell>
          <cell r="C535" t="str">
            <v>IMP</v>
          </cell>
          <cell r="D535" t="str">
            <v>BT</v>
          </cell>
          <cell r="E535" t="str">
            <v>08</v>
          </cell>
          <cell r="F535">
            <v>39952</v>
          </cell>
          <cell r="G535">
            <v>40001</v>
          </cell>
          <cell r="H535" t="str">
            <v>14RU</v>
          </cell>
          <cell r="I535" t="str">
            <v>STKMA0D7435CY</v>
          </cell>
          <cell r="J535">
            <v>0</v>
          </cell>
          <cell r="K535" t="str">
            <v>RC-501 Toner Recycle Cut System</v>
          </cell>
          <cell r="L535">
            <v>800</v>
          </cell>
          <cell r="M535">
            <v>296</v>
          </cell>
          <cell r="N535">
            <v>45</v>
          </cell>
          <cell r="O535">
            <v>0</v>
          </cell>
          <cell r="P535">
            <v>45</v>
          </cell>
          <cell r="Q535">
            <v>313.76</v>
          </cell>
          <cell r="R535">
            <v>354.55</v>
          </cell>
          <cell r="S535">
            <v>50</v>
          </cell>
          <cell r="T535">
            <v>0.1</v>
          </cell>
          <cell r="U535">
            <v>45</v>
          </cell>
          <cell r="V535">
            <v>0</v>
          </cell>
          <cell r="W535">
            <v>45</v>
          </cell>
          <cell r="X535">
            <v>0.9</v>
          </cell>
          <cell r="Y535" t="str">
            <v>Act freight</v>
          </cell>
          <cell r="Z535">
            <v>0</v>
          </cell>
          <cell r="AA535">
            <v>54</v>
          </cell>
          <cell r="AB535">
            <v>45</v>
          </cell>
          <cell r="AC535">
            <v>50</v>
          </cell>
          <cell r="AD535">
            <v>53</v>
          </cell>
          <cell r="AE535">
            <v>55.56</v>
          </cell>
          <cell r="AF535">
            <v>0.19006479481641472</v>
          </cell>
          <cell r="AG535">
            <v>0.19006479481641472</v>
          </cell>
          <cell r="AH535">
            <v>63</v>
          </cell>
          <cell r="AI535">
            <v>69</v>
          </cell>
          <cell r="AJ535">
            <v>0.34782608695652173</v>
          </cell>
          <cell r="AK535">
            <v>75</v>
          </cell>
          <cell r="AL535">
            <v>81</v>
          </cell>
          <cell r="AM535">
            <v>0.44444444444444442</v>
          </cell>
          <cell r="AN535">
            <v>260.75</v>
          </cell>
          <cell r="AO535">
            <v>440.5</v>
          </cell>
          <cell r="AP535">
            <v>620.25</v>
          </cell>
          <cell r="AQ535">
            <v>0</v>
          </cell>
          <cell r="AS535">
            <v>800</v>
          </cell>
        </row>
        <row r="536">
          <cell r="B536" t="str">
            <v>AC</v>
          </cell>
          <cell r="C536" t="str">
            <v>IMP</v>
          </cell>
          <cell r="D536" t="str">
            <v>BT</v>
          </cell>
          <cell r="E536" t="str">
            <v>P3</v>
          </cell>
          <cell r="F536">
            <v>39952</v>
          </cell>
          <cell r="G536">
            <v>40001</v>
          </cell>
          <cell r="H536" t="str">
            <v>A01G0Y0</v>
          </cell>
          <cell r="I536" t="str">
            <v>STKMA0TM130</v>
          </cell>
          <cell r="J536">
            <v>0</v>
          </cell>
          <cell r="K536" t="str">
            <v>FS-519 (C353/C253/C203)</v>
          </cell>
          <cell r="L536">
            <v>1628</v>
          </cell>
          <cell r="M536">
            <v>617</v>
          </cell>
          <cell r="N536">
            <v>641.68000000000006</v>
          </cell>
          <cell r="O536">
            <v>-0.17647058823529424</v>
          </cell>
          <cell r="P536">
            <v>545.428</v>
          </cell>
          <cell r="Q536">
            <v>654.02</v>
          </cell>
          <cell r="R536">
            <v>739.04</v>
          </cell>
          <cell r="S536">
            <v>878.9</v>
          </cell>
          <cell r="T536">
            <v>0.26990556377289787</v>
          </cell>
          <cell r="U536">
            <v>680.62015999999994</v>
          </cell>
          <cell r="V536">
            <v>5.7212763136489937E-2</v>
          </cell>
          <cell r="W536">
            <v>545.428</v>
          </cell>
          <cell r="X536">
            <v>0.62058027079303679</v>
          </cell>
          <cell r="Y536" t="str">
            <v>Act freight</v>
          </cell>
          <cell r="Z536">
            <v>0</v>
          </cell>
          <cell r="AA536">
            <v>660</v>
          </cell>
          <cell r="AB536">
            <v>546</v>
          </cell>
          <cell r="AC536">
            <v>607</v>
          </cell>
          <cell r="AD536">
            <v>641</v>
          </cell>
          <cell r="AE536">
            <v>673.37</v>
          </cell>
          <cell r="AF536">
            <v>0.19000252461499623</v>
          </cell>
          <cell r="AG536">
            <v>4.706179366470134E-2</v>
          </cell>
          <cell r="AH536">
            <v>688</v>
          </cell>
          <cell r="AI536">
            <v>701</v>
          </cell>
          <cell r="AJ536">
            <v>0.2219286733238231</v>
          </cell>
          <cell r="AK536">
            <v>714.5</v>
          </cell>
          <cell r="AL536">
            <v>728</v>
          </cell>
          <cell r="AM536">
            <v>0.25078571428571428</v>
          </cell>
          <cell r="AN536">
            <v>830.08</v>
          </cell>
          <cell r="AO536">
            <v>932.16</v>
          </cell>
          <cell r="AP536">
            <v>1034.24</v>
          </cell>
          <cell r="AQ536">
            <v>0</v>
          </cell>
          <cell r="AS536">
            <v>1628</v>
          </cell>
        </row>
        <row r="537">
          <cell r="B537" t="str">
            <v>AC</v>
          </cell>
          <cell r="C537" t="str">
            <v>IMP</v>
          </cell>
          <cell r="D537" t="str">
            <v>BT</v>
          </cell>
          <cell r="E537" t="str">
            <v>P3</v>
          </cell>
          <cell r="F537">
            <v>39980</v>
          </cell>
          <cell r="G537">
            <v>40001</v>
          </cell>
          <cell r="H537" t="str">
            <v>A07R0W1</v>
          </cell>
          <cell r="I537" t="str">
            <v>6KMFS517STPF_N</v>
          </cell>
          <cell r="J537" t="str">
            <v>x</v>
          </cell>
          <cell r="K537" t="str">
            <v>FS-517 50 Sheet Staple Finisher</v>
          </cell>
          <cell r="L537">
            <v>2342</v>
          </cell>
          <cell r="M537">
            <v>918</v>
          </cell>
          <cell r="N537">
            <v>954.72</v>
          </cell>
          <cell r="O537">
            <v>-0.17647058823529407</v>
          </cell>
          <cell r="P537">
            <v>811.51200000000006</v>
          </cell>
          <cell r="Q537">
            <v>973.08</v>
          </cell>
          <cell r="R537">
            <v>1099.58</v>
          </cell>
          <cell r="S537">
            <v>1333.5</v>
          </cell>
          <cell r="T537">
            <v>0.28404949381327332</v>
          </cell>
          <cell r="U537">
            <v>1032.6623999999999</v>
          </cell>
          <cell r="V537">
            <v>7.5477135605983056E-2</v>
          </cell>
          <cell r="W537">
            <v>811.51200000000006</v>
          </cell>
          <cell r="X537">
            <v>0.60855793025871774</v>
          </cell>
          <cell r="Y537" t="str">
            <v>Act freight</v>
          </cell>
          <cell r="Z537">
            <v>0</v>
          </cell>
          <cell r="AA537">
            <v>982</v>
          </cell>
          <cell r="AB537">
            <v>812</v>
          </cell>
          <cell r="AC537">
            <v>902</v>
          </cell>
          <cell r="AD537">
            <v>952</v>
          </cell>
          <cell r="AE537">
            <v>1001.87</v>
          </cell>
          <cell r="AF537">
            <v>0.19000269496042396</v>
          </cell>
          <cell r="AG537">
            <v>4.7061994071087042E-2</v>
          </cell>
          <cell r="AH537">
            <v>1023</v>
          </cell>
          <cell r="AI537">
            <v>1043</v>
          </cell>
          <cell r="AJ537">
            <v>0.22194439117929046</v>
          </cell>
          <cell r="AK537">
            <v>1063</v>
          </cell>
          <cell r="AL537">
            <v>1083</v>
          </cell>
          <cell r="AM537">
            <v>0.25068144044321322</v>
          </cell>
          <cell r="AN537">
            <v>1234.9100000000001</v>
          </cell>
          <cell r="AO537">
            <v>1386.82</v>
          </cell>
          <cell r="AP537">
            <v>1538.73</v>
          </cell>
          <cell r="AQ537">
            <v>0</v>
          </cell>
          <cell r="AS537">
            <v>2342</v>
          </cell>
        </row>
        <row r="538">
          <cell r="B538" t="str">
            <v>AC</v>
          </cell>
          <cell r="C538" t="str">
            <v>IMP</v>
          </cell>
          <cell r="D538" t="str">
            <v>BT</v>
          </cell>
          <cell r="E538" t="str">
            <v>P3</v>
          </cell>
          <cell r="F538">
            <v>39980</v>
          </cell>
          <cell r="G538">
            <v>40001</v>
          </cell>
          <cell r="H538" t="str">
            <v>A07U0W1</v>
          </cell>
          <cell r="I538" t="str">
            <v>6KMFS608SF_N</v>
          </cell>
          <cell r="J538" t="str">
            <v>x</v>
          </cell>
          <cell r="K538" t="str">
            <v>FS-608 Saddle Finisher</v>
          </cell>
          <cell r="L538">
            <v>4043</v>
          </cell>
          <cell r="M538">
            <v>1530</v>
          </cell>
          <cell r="N538">
            <v>1591.2</v>
          </cell>
          <cell r="O538">
            <v>-0.17647058823529416</v>
          </cell>
          <cell r="P538">
            <v>1352.52</v>
          </cell>
          <cell r="Q538">
            <v>1621.8</v>
          </cell>
          <cell r="R538">
            <v>1832.63</v>
          </cell>
          <cell r="S538">
            <v>2257.5</v>
          </cell>
          <cell r="T538">
            <v>0.29514950166112952</v>
          </cell>
          <cell r="U538">
            <v>1748.2079999999999</v>
          </cell>
          <cell r="V538">
            <v>8.9810823426045308E-2</v>
          </cell>
          <cell r="W538">
            <v>1352.52</v>
          </cell>
          <cell r="X538">
            <v>0.59912292358803987</v>
          </cell>
          <cell r="Y538" t="str">
            <v>Act freight</v>
          </cell>
          <cell r="Z538">
            <v>0</v>
          </cell>
          <cell r="AA538">
            <v>1636</v>
          </cell>
          <cell r="AB538">
            <v>1353</v>
          </cell>
          <cell r="AC538">
            <v>1503</v>
          </cell>
          <cell r="AD538">
            <v>1587</v>
          </cell>
          <cell r="AE538">
            <v>1669.78</v>
          </cell>
          <cell r="AF538">
            <v>0.19000107798632154</v>
          </cell>
          <cell r="AG538">
            <v>4.7060091748613544E-2</v>
          </cell>
          <cell r="AH538">
            <v>1704</v>
          </cell>
          <cell r="AI538">
            <v>1737</v>
          </cell>
          <cell r="AJ538">
            <v>0.22134715025906737</v>
          </cell>
          <cell r="AK538">
            <v>1770.5</v>
          </cell>
          <cell r="AL538">
            <v>1804</v>
          </cell>
          <cell r="AM538">
            <v>0.25026607538802664</v>
          </cell>
          <cell r="AN538">
            <v>2057.44</v>
          </cell>
          <cell r="AO538">
            <v>2310.88</v>
          </cell>
          <cell r="AP538">
            <v>2564.3200000000002</v>
          </cell>
          <cell r="AQ538">
            <v>0</v>
          </cell>
          <cell r="AS538">
            <v>4043</v>
          </cell>
        </row>
        <row r="539">
          <cell r="B539" t="str">
            <v>AC</v>
          </cell>
          <cell r="C539" t="str">
            <v>IMP</v>
          </cell>
          <cell r="D539" t="str">
            <v>BT</v>
          </cell>
          <cell r="E539" t="str">
            <v>P3</v>
          </cell>
          <cell r="F539">
            <v>39989</v>
          </cell>
          <cell r="G539">
            <v>40001</v>
          </cell>
          <cell r="H539" t="str">
            <v>4061412</v>
          </cell>
          <cell r="I539" t="str">
            <v>STKMA0TM430CY</v>
          </cell>
          <cell r="J539">
            <v>0</v>
          </cell>
          <cell r="K539" t="str">
            <v>PC-203 (500x2 sheet universal cassette)</v>
          </cell>
          <cell r="L539">
            <v>1070</v>
          </cell>
          <cell r="M539">
            <v>50</v>
          </cell>
          <cell r="N539">
            <v>416</v>
          </cell>
          <cell r="O539">
            <v>-0.17647058823529424</v>
          </cell>
          <cell r="P539">
            <v>73.775999999999996</v>
          </cell>
          <cell r="Q539">
            <v>53</v>
          </cell>
          <cell r="R539">
            <v>59.89</v>
          </cell>
          <cell r="S539">
            <v>92.22</v>
          </cell>
          <cell r="T539">
            <v>0.43613099110821946</v>
          </cell>
          <cell r="U539">
            <v>0</v>
          </cell>
          <cell r="V539">
            <v>0</v>
          </cell>
          <cell r="W539">
            <v>353.59999999999997</v>
          </cell>
          <cell r="X539">
            <v>0.79999999999999993</v>
          </cell>
          <cell r="Y539" t="str">
            <v>Act freight</v>
          </cell>
          <cell r="Z539">
            <v>0</v>
          </cell>
          <cell r="AA539">
            <v>428</v>
          </cell>
          <cell r="AB539">
            <v>354</v>
          </cell>
          <cell r="AC539">
            <v>393</v>
          </cell>
          <cell r="AD539">
            <v>415</v>
          </cell>
          <cell r="AE539">
            <v>436.54</v>
          </cell>
          <cell r="AF539">
            <v>0.18999404407385359</v>
          </cell>
          <cell r="AG539">
            <v>4.7051816557474729E-2</v>
          </cell>
          <cell r="AH539">
            <v>446</v>
          </cell>
          <cell r="AI539">
            <v>455</v>
          </cell>
          <cell r="AJ539">
            <v>0.22285714285714292</v>
          </cell>
          <cell r="AK539">
            <v>463.5</v>
          </cell>
          <cell r="AL539">
            <v>472</v>
          </cell>
          <cell r="AM539">
            <v>0.25084745762711874</v>
          </cell>
          <cell r="AN539">
            <v>538.16999999999996</v>
          </cell>
          <cell r="AO539">
            <v>604.34</v>
          </cell>
          <cell r="AP539">
            <v>670.51</v>
          </cell>
          <cell r="AQ539">
            <v>0</v>
          </cell>
          <cell r="AS539">
            <v>1070</v>
          </cell>
        </row>
        <row r="540">
          <cell r="B540" t="str">
            <v>AC</v>
          </cell>
          <cell r="C540" t="str">
            <v>IMP</v>
          </cell>
          <cell r="D540" t="str">
            <v>BT</v>
          </cell>
          <cell r="E540" t="str">
            <v>P3</v>
          </cell>
          <cell r="F540">
            <v>39989</v>
          </cell>
          <cell r="G540">
            <v>40001</v>
          </cell>
          <cell r="H540" t="str">
            <v>4061512</v>
          </cell>
          <cell r="I540" t="str">
            <v>STKMA0VW130</v>
          </cell>
          <cell r="J540">
            <v>0</v>
          </cell>
          <cell r="K540" t="str">
            <v>PC-103 (500 sheet universal cassette w/ storage)</v>
          </cell>
          <cell r="L540">
            <v>820</v>
          </cell>
          <cell r="M540">
            <v>16.760000000000002</v>
          </cell>
          <cell r="N540">
            <v>320</v>
          </cell>
          <cell r="O540">
            <v>-0.17647058823529413</v>
          </cell>
          <cell r="P540">
            <v>21.200000000000003</v>
          </cell>
          <cell r="Q540">
            <v>17.77</v>
          </cell>
          <cell r="R540">
            <v>20.079999999999998</v>
          </cell>
          <cell r="S540">
            <v>26.5</v>
          </cell>
          <cell r="T540">
            <v>0.34857358490566032</v>
          </cell>
          <cell r="U540">
            <v>0</v>
          </cell>
          <cell r="V540">
            <v>0</v>
          </cell>
          <cell r="W540">
            <v>272</v>
          </cell>
          <cell r="X540">
            <v>0.80000000000000016</v>
          </cell>
          <cell r="Y540" t="str">
            <v>Act freight</v>
          </cell>
          <cell r="Z540">
            <v>0</v>
          </cell>
          <cell r="AA540">
            <v>329</v>
          </cell>
          <cell r="AB540">
            <v>272</v>
          </cell>
          <cell r="AC540">
            <v>303</v>
          </cell>
          <cell r="AD540">
            <v>320</v>
          </cell>
          <cell r="AE540">
            <v>335.8</v>
          </cell>
          <cell r="AF540">
            <v>0.18999404407385351</v>
          </cell>
          <cell r="AG540">
            <v>4.7051816557474722E-2</v>
          </cell>
          <cell r="AH540">
            <v>343</v>
          </cell>
          <cell r="AI540">
            <v>350</v>
          </cell>
          <cell r="AJ540">
            <v>0.22285714285714286</v>
          </cell>
          <cell r="AK540">
            <v>356.5</v>
          </cell>
          <cell r="AL540">
            <v>363</v>
          </cell>
          <cell r="AM540">
            <v>0.25068870523415976</v>
          </cell>
          <cell r="AN540">
            <v>413.92</v>
          </cell>
          <cell r="AO540">
            <v>464.84</v>
          </cell>
          <cell r="AP540">
            <v>515.76</v>
          </cell>
          <cell r="AQ540">
            <v>0</v>
          </cell>
          <cell r="AS540">
            <v>820</v>
          </cell>
        </row>
        <row r="541">
          <cell r="B541" t="str">
            <v>AC</v>
          </cell>
          <cell r="C541" t="str">
            <v>IMP</v>
          </cell>
          <cell r="D541" t="str">
            <v>BT</v>
          </cell>
          <cell r="E541" t="str">
            <v>P3</v>
          </cell>
          <cell r="F541">
            <v>39989</v>
          </cell>
          <cell r="G541">
            <v>40001</v>
          </cell>
          <cell r="H541" t="str">
            <v>4061713</v>
          </cell>
          <cell r="I541" t="str">
            <v>STKMA0VW134_</v>
          </cell>
          <cell r="J541">
            <v>0</v>
          </cell>
          <cell r="K541" t="str">
            <v>PC-403 (2,500 sheet LCT)</v>
          </cell>
          <cell r="L541">
            <v>1260</v>
          </cell>
          <cell r="M541">
            <v>16.600000000000001</v>
          </cell>
          <cell r="N541">
            <v>416</v>
          </cell>
          <cell r="O541">
            <v>-0.17647058823529424</v>
          </cell>
          <cell r="P541">
            <v>23.36</v>
          </cell>
          <cell r="Q541">
            <v>17.600000000000001</v>
          </cell>
          <cell r="R541">
            <v>19.89</v>
          </cell>
          <cell r="S541">
            <v>29.2</v>
          </cell>
          <cell r="T541">
            <v>0.40876712328767112</v>
          </cell>
          <cell r="U541">
            <v>0</v>
          </cell>
          <cell r="V541">
            <v>0</v>
          </cell>
          <cell r="W541">
            <v>353.59999999999997</v>
          </cell>
          <cell r="X541">
            <v>0.8</v>
          </cell>
          <cell r="Y541" t="str">
            <v>Act freight</v>
          </cell>
          <cell r="Z541">
            <v>0</v>
          </cell>
          <cell r="AA541">
            <v>428</v>
          </cell>
          <cell r="AB541">
            <v>354</v>
          </cell>
          <cell r="AC541">
            <v>393</v>
          </cell>
          <cell r="AD541">
            <v>415</v>
          </cell>
          <cell r="AE541">
            <v>436.54</v>
          </cell>
          <cell r="AF541">
            <v>0.18999404407385359</v>
          </cell>
          <cell r="AG541">
            <v>4.7051816557474729E-2</v>
          </cell>
          <cell r="AH541">
            <v>446</v>
          </cell>
          <cell r="AI541">
            <v>455</v>
          </cell>
          <cell r="AJ541">
            <v>0.22285714285714292</v>
          </cell>
          <cell r="AK541">
            <v>463.5</v>
          </cell>
          <cell r="AL541">
            <v>472</v>
          </cell>
          <cell r="AM541">
            <v>0.25084745762711874</v>
          </cell>
          <cell r="AN541">
            <v>538.16999999999996</v>
          </cell>
          <cell r="AO541">
            <v>604.34</v>
          </cell>
          <cell r="AP541">
            <v>670.51</v>
          </cell>
          <cell r="AQ541">
            <v>0</v>
          </cell>
          <cell r="AS541">
            <v>1260</v>
          </cell>
        </row>
        <row r="542">
          <cell r="B542" t="str">
            <v>AC</v>
          </cell>
          <cell r="C542" t="str">
            <v>IMP</v>
          </cell>
          <cell r="D542" t="str">
            <v>BT</v>
          </cell>
          <cell r="E542" t="str">
            <v>P3</v>
          </cell>
          <cell r="F542">
            <v>39989</v>
          </cell>
          <cell r="G542">
            <v>40001</v>
          </cell>
          <cell r="H542" t="str">
            <v>4061811</v>
          </cell>
          <cell r="I542" t="str">
            <v>STKMA0VW230YE</v>
          </cell>
          <cell r="J542">
            <v>0</v>
          </cell>
          <cell r="K542" t="str">
            <v>DK-502 (Copy Desk)</v>
          </cell>
          <cell r="L542">
            <v>199</v>
          </cell>
          <cell r="M542">
            <v>24.54</v>
          </cell>
          <cell r="N542">
            <v>92</v>
          </cell>
          <cell r="O542">
            <v>-0.17647058823529407</v>
          </cell>
          <cell r="P542">
            <v>37.119999999999997</v>
          </cell>
          <cell r="Q542">
            <v>26.01</v>
          </cell>
          <cell r="R542">
            <v>29.39</v>
          </cell>
          <cell r="S542">
            <v>46.4</v>
          </cell>
          <cell r="T542">
            <v>0.45525431034482761</v>
          </cell>
          <cell r="U542">
            <v>0</v>
          </cell>
          <cell r="V542">
            <v>0</v>
          </cell>
          <cell r="W542">
            <v>78.2</v>
          </cell>
          <cell r="X542">
            <v>0.79999999999999993</v>
          </cell>
          <cell r="Y542" t="str">
            <v>Act freight</v>
          </cell>
          <cell r="Z542">
            <v>0</v>
          </cell>
          <cell r="AA542">
            <v>95</v>
          </cell>
          <cell r="AB542">
            <v>79</v>
          </cell>
          <cell r="AC542">
            <v>87</v>
          </cell>
          <cell r="AD542">
            <v>92</v>
          </cell>
          <cell r="AE542">
            <v>96.54</v>
          </cell>
          <cell r="AF542">
            <v>0.18997306815827639</v>
          </cell>
          <cell r="AG542">
            <v>4.7027139009736957E-2</v>
          </cell>
          <cell r="AH542">
            <v>99</v>
          </cell>
          <cell r="AI542">
            <v>101</v>
          </cell>
          <cell r="AJ542">
            <v>0.22574257425742572</v>
          </cell>
          <cell r="AK542">
            <v>103</v>
          </cell>
          <cell r="AL542">
            <v>105</v>
          </cell>
          <cell r="AM542">
            <v>0.25523809523809521</v>
          </cell>
          <cell r="AN542">
            <v>119.48</v>
          </cell>
          <cell r="AO542">
            <v>133.96</v>
          </cell>
          <cell r="AP542">
            <v>148.44</v>
          </cell>
          <cell r="AQ542">
            <v>0</v>
          </cell>
          <cell r="AS542">
            <v>199</v>
          </cell>
        </row>
        <row r="543">
          <cell r="B543" t="str">
            <v>AC</v>
          </cell>
          <cell r="C543" t="str">
            <v>IMP</v>
          </cell>
          <cell r="D543" t="str">
            <v>BT</v>
          </cell>
          <cell r="E543" t="str">
            <v>P3</v>
          </cell>
          <cell r="F543">
            <v>39989</v>
          </cell>
          <cell r="G543">
            <v>40001</v>
          </cell>
          <cell r="H543" t="str">
            <v>4511711</v>
          </cell>
          <cell r="I543" t="str">
            <v>STKMA0VW234YE_</v>
          </cell>
          <cell r="J543">
            <v>0</v>
          </cell>
          <cell r="K543" t="str">
            <v>SD-503 Saddle Stitcher</v>
          </cell>
          <cell r="L543">
            <v>1290</v>
          </cell>
          <cell r="M543">
            <v>24.31</v>
          </cell>
          <cell r="N543">
            <v>488.8</v>
          </cell>
          <cell r="O543">
            <v>-0.1764705882352941</v>
          </cell>
          <cell r="P543">
            <v>40.800000000000004</v>
          </cell>
          <cell r="Q543">
            <v>25.77</v>
          </cell>
          <cell r="R543">
            <v>29.12</v>
          </cell>
          <cell r="S543">
            <v>51</v>
          </cell>
          <cell r="T543">
            <v>0.50426666666666664</v>
          </cell>
          <cell r="U543">
            <v>0</v>
          </cell>
          <cell r="V543">
            <v>0</v>
          </cell>
          <cell r="W543">
            <v>415.48</v>
          </cell>
          <cell r="X543">
            <v>0.8</v>
          </cell>
          <cell r="Y543" t="str">
            <v>Act freight</v>
          </cell>
          <cell r="Z543">
            <v>0</v>
          </cell>
          <cell r="AA543">
            <v>503</v>
          </cell>
          <cell r="AB543">
            <v>416</v>
          </cell>
          <cell r="AC543">
            <v>462</v>
          </cell>
          <cell r="AD543">
            <v>488</v>
          </cell>
          <cell r="AE543">
            <v>512.94000000000005</v>
          </cell>
          <cell r="AF543">
            <v>0.19000272936405824</v>
          </cell>
          <cell r="AG543">
            <v>4.706203454595087E-2</v>
          </cell>
          <cell r="AH543">
            <v>524</v>
          </cell>
          <cell r="AI543">
            <v>534</v>
          </cell>
          <cell r="AJ543">
            <v>0.22194756554307113</v>
          </cell>
          <cell r="AK543">
            <v>544</v>
          </cell>
          <cell r="AL543">
            <v>554</v>
          </cell>
          <cell r="AM543">
            <v>0.25003610108303248</v>
          </cell>
          <cell r="AN543">
            <v>631.9</v>
          </cell>
          <cell r="AO543">
            <v>709.8</v>
          </cell>
          <cell r="AP543">
            <v>787.7</v>
          </cell>
          <cell r="AQ543">
            <v>0</v>
          </cell>
          <cell r="AS543">
            <v>1290</v>
          </cell>
        </row>
        <row r="544">
          <cell r="B544" t="str">
            <v>AC</v>
          </cell>
          <cell r="C544" t="str">
            <v>IMP</v>
          </cell>
          <cell r="D544" t="str">
            <v>BT</v>
          </cell>
          <cell r="E544" t="str">
            <v>P3</v>
          </cell>
          <cell r="F544">
            <v>39989</v>
          </cell>
          <cell r="G544">
            <v>40001</v>
          </cell>
          <cell r="H544" t="str">
            <v>4512712</v>
          </cell>
          <cell r="I544" t="str">
            <v>STKMA0VW330MA</v>
          </cell>
          <cell r="J544">
            <v>0</v>
          </cell>
          <cell r="K544" t="str">
            <v>PK-510 Punch Kit 2/3 Hole Punch (option for the FS-514)</v>
          </cell>
          <cell r="L544">
            <v>500</v>
          </cell>
          <cell r="M544">
            <v>24.54</v>
          </cell>
          <cell r="N544">
            <v>182</v>
          </cell>
          <cell r="O544">
            <v>-0.17647058823529421</v>
          </cell>
          <cell r="P544">
            <v>37.119999999999997</v>
          </cell>
          <cell r="Q544">
            <v>26.01</v>
          </cell>
          <cell r="R544">
            <v>29.39</v>
          </cell>
          <cell r="S544">
            <v>46.4</v>
          </cell>
          <cell r="T544">
            <v>0.45525431034482761</v>
          </cell>
          <cell r="U544">
            <v>0</v>
          </cell>
          <cell r="V544">
            <v>0</v>
          </cell>
          <cell r="W544">
            <v>154.69999999999999</v>
          </cell>
          <cell r="X544">
            <v>0.79999999999999993</v>
          </cell>
          <cell r="Y544" t="str">
            <v>Act freight</v>
          </cell>
          <cell r="Z544">
            <v>0</v>
          </cell>
          <cell r="AA544">
            <v>187</v>
          </cell>
          <cell r="AB544">
            <v>155</v>
          </cell>
          <cell r="AC544">
            <v>172</v>
          </cell>
          <cell r="AD544">
            <v>182</v>
          </cell>
          <cell r="AE544">
            <v>190.99</v>
          </cell>
          <cell r="AF544">
            <v>0.19000994816482547</v>
          </cell>
          <cell r="AG544">
            <v>4.7070527252735792E-2</v>
          </cell>
          <cell r="AH544">
            <v>195</v>
          </cell>
          <cell r="AI544">
            <v>199</v>
          </cell>
          <cell r="AJ544">
            <v>0.22261306532663322</v>
          </cell>
          <cell r="AK544">
            <v>203</v>
          </cell>
          <cell r="AL544">
            <v>207</v>
          </cell>
          <cell r="AM544">
            <v>0.25265700483091791</v>
          </cell>
          <cell r="AN544">
            <v>235.82</v>
          </cell>
          <cell r="AO544">
            <v>264.64</v>
          </cell>
          <cell r="AP544">
            <v>293.45999999999998</v>
          </cell>
          <cell r="AQ544">
            <v>0</v>
          </cell>
          <cell r="AS544">
            <v>500</v>
          </cell>
        </row>
        <row r="545">
          <cell r="B545" t="str">
            <v>AC</v>
          </cell>
          <cell r="C545" t="str">
            <v>IMP</v>
          </cell>
          <cell r="D545" t="str">
            <v>BT</v>
          </cell>
          <cell r="E545" t="str">
            <v>P3</v>
          </cell>
          <cell r="F545">
            <v>39989</v>
          </cell>
          <cell r="G545">
            <v>40001</v>
          </cell>
          <cell r="H545" t="str">
            <v>4582811</v>
          </cell>
          <cell r="I545" t="str">
            <v>STKMA0VW334MA</v>
          </cell>
          <cell r="J545">
            <v>0</v>
          </cell>
          <cell r="K545" t="str">
            <v>DF-601 Reversing Automatic Document Feeder</v>
          </cell>
          <cell r="L545">
            <v>1465</v>
          </cell>
          <cell r="M545">
            <v>34.03</v>
          </cell>
          <cell r="N545">
            <v>598</v>
          </cell>
          <cell r="O545">
            <v>-0.1764705882352941</v>
          </cell>
          <cell r="P545">
            <v>40.800000000000004</v>
          </cell>
          <cell r="Q545">
            <v>36.07</v>
          </cell>
          <cell r="R545">
            <v>40.76</v>
          </cell>
          <cell r="S545">
            <v>51</v>
          </cell>
          <cell r="T545">
            <v>0.30605490196078422</v>
          </cell>
          <cell r="U545">
            <v>0</v>
          </cell>
          <cell r="V545">
            <v>0</v>
          </cell>
          <cell r="W545">
            <v>508.3</v>
          </cell>
          <cell r="X545">
            <v>0.8</v>
          </cell>
          <cell r="Y545" t="str">
            <v>Act freight</v>
          </cell>
          <cell r="Z545">
            <v>0</v>
          </cell>
          <cell r="AA545">
            <v>615</v>
          </cell>
          <cell r="AB545">
            <v>509</v>
          </cell>
          <cell r="AC545">
            <v>565</v>
          </cell>
          <cell r="AD545">
            <v>597</v>
          </cell>
          <cell r="AE545">
            <v>627.53</v>
          </cell>
          <cell r="AF545">
            <v>0.18999888451548128</v>
          </cell>
          <cell r="AG545">
            <v>4.7057511194683876E-2</v>
          </cell>
          <cell r="AH545">
            <v>641</v>
          </cell>
          <cell r="AI545">
            <v>653</v>
          </cell>
          <cell r="AJ545">
            <v>0.22159264931087289</v>
          </cell>
          <cell r="AK545">
            <v>665.5</v>
          </cell>
          <cell r="AL545">
            <v>678</v>
          </cell>
          <cell r="AM545">
            <v>0.25029498525073746</v>
          </cell>
          <cell r="AN545">
            <v>773.24</v>
          </cell>
          <cell r="AO545">
            <v>868.48</v>
          </cell>
          <cell r="AP545">
            <v>963.72</v>
          </cell>
          <cell r="AQ545">
            <v>0</v>
          </cell>
          <cell r="AS545">
            <v>1465</v>
          </cell>
        </row>
        <row r="546">
          <cell r="B546" t="str">
            <v>AC</v>
          </cell>
          <cell r="C546" t="str">
            <v>IMP</v>
          </cell>
          <cell r="D546" t="str">
            <v>BT</v>
          </cell>
          <cell r="E546" t="str">
            <v>P3</v>
          </cell>
          <cell r="F546">
            <v>39989</v>
          </cell>
          <cell r="G546">
            <v>40001</v>
          </cell>
          <cell r="H546" t="str">
            <v>4599321</v>
          </cell>
          <cell r="I546" t="str">
            <v>STKMA0VW430CY</v>
          </cell>
          <cell r="J546">
            <v>0</v>
          </cell>
          <cell r="K546" t="str">
            <v>OC-501 Original Cover</v>
          </cell>
          <cell r="L546">
            <v>84</v>
          </cell>
          <cell r="M546">
            <v>24.54</v>
          </cell>
          <cell r="N546">
            <v>29.12</v>
          </cell>
          <cell r="O546">
            <v>-0.17647058823529421</v>
          </cell>
          <cell r="P546">
            <v>37.119999999999997</v>
          </cell>
          <cell r="Q546">
            <v>26.01</v>
          </cell>
          <cell r="R546">
            <v>29.39</v>
          </cell>
          <cell r="S546">
            <v>46.4</v>
          </cell>
          <cell r="T546">
            <v>0.45525431034482761</v>
          </cell>
          <cell r="U546">
            <v>0</v>
          </cell>
          <cell r="V546">
            <v>0</v>
          </cell>
          <cell r="W546">
            <v>24.751999999999999</v>
          </cell>
          <cell r="X546">
            <v>0.79999999999999993</v>
          </cell>
          <cell r="Y546" t="str">
            <v>Act freight</v>
          </cell>
          <cell r="Z546">
            <v>0</v>
          </cell>
          <cell r="AA546">
            <v>30</v>
          </cell>
          <cell r="AB546">
            <v>25</v>
          </cell>
          <cell r="AC546">
            <v>28</v>
          </cell>
          <cell r="AD546">
            <v>30</v>
          </cell>
          <cell r="AE546">
            <v>30.56</v>
          </cell>
          <cell r="AF546">
            <v>0.19005235602094242</v>
          </cell>
          <cell r="AG546">
            <v>4.7120418848167464E-2</v>
          </cell>
          <cell r="AH546">
            <v>32</v>
          </cell>
          <cell r="AI546">
            <v>33</v>
          </cell>
          <cell r="AJ546">
            <v>0.24993939393939396</v>
          </cell>
          <cell r="AK546">
            <v>33.5</v>
          </cell>
          <cell r="AL546">
            <v>34</v>
          </cell>
          <cell r="AM546">
            <v>0.27200000000000002</v>
          </cell>
          <cell r="AN546">
            <v>38.39</v>
          </cell>
          <cell r="AO546">
            <v>42.78</v>
          </cell>
          <cell r="AP546">
            <v>47.17</v>
          </cell>
          <cell r="AQ546">
            <v>0</v>
          </cell>
          <cell r="AS546">
            <v>84</v>
          </cell>
        </row>
        <row r="547">
          <cell r="B547" t="str">
            <v>AC</v>
          </cell>
          <cell r="C547" t="str">
            <v>IMP</v>
          </cell>
          <cell r="D547" t="str">
            <v>BT</v>
          </cell>
          <cell r="E547" t="str">
            <v>P3</v>
          </cell>
          <cell r="F547">
            <v>39989</v>
          </cell>
          <cell r="G547">
            <v>40001</v>
          </cell>
          <cell r="H547" t="str">
            <v>4599372</v>
          </cell>
          <cell r="I547" t="str">
            <v>STKMA0VW434CY</v>
          </cell>
          <cell r="J547">
            <v>0</v>
          </cell>
          <cell r="K547" t="str">
            <v>EK-702 Local I/F Kit (Parallel. USB 2.0)</v>
          </cell>
          <cell r="L547">
            <v>150</v>
          </cell>
          <cell r="M547">
            <v>34.03</v>
          </cell>
          <cell r="N547">
            <v>62.4</v>
          </cell>
          <cell r="O547">
            <v>-0.1764705882352941</v>
          </cell>
          <cell r="P547">
            <v>40.800000000000004</v>
          </cell>
          <cell r="Q547">
            <v>36.07</v>
          </cell>
          <cell r="R547">
            <v>40.76</v>
          </cell>
          <cell r="S547">
            <v>51</v>
          </cell>
          <cell r="T547">
            <v>0.30605490196078422</v>
          </cell>
          <cell r="U547">
            <v>0</v>
          </cell>
          <cell r="V547">
            <v>0</v>
          </cell>
          <cell r="W547">
            <v>53.04</v>
          </cell>
          <cell r="X547">
            <v>0.8</v>
          </cell>
          <cell r="Y547" t="str">
            <v>Act freight</v>
          </cell>
          <cell r="Z547">
            <v>0</v>
          </cell>
          <cell r="AA547">
            <v>64</v>
          </cell>
          <cell r="AB547">
            <v>54</v>
          </cell>
          <cell r="AC547">
            <v>59</v>
          </cell>
          <cell r="AD547">
            <v>63</v>
          </cell>
          <cell r="AE547">
            <v>65.48</v>
          </cell>
          <cell r="AF547">
            <v>0.18998167379352479</v>
          </cell>
          <cell r="AG547">
            <v>4.7037263286499771E-2</v>
          </cell>
          <cell r="AH547">
            <v>68</v>
          </cell>
          <cell r="AI547">
            <v>69</v>
          </cell>
          <cell r="AJ547">
            <v>0.23130434782608697</v>
          </cell>
          <cell r="AK547">
            <v>70</v>
          </cell>
          <cell r="AL547">
            <v>71</v>
          </cell>
          <cell r="AM547">
            <v>0.25295774647887326</v>
          </cell>
          <cell r="AN547">
            <v>80.88</v>
          </cell>
          <cell r="AO547">
            <v>90.76</v>
          </cell>
          <cell r="AP547">
            <v>100.64</v>
          </cell>
          <cell r="AQ547">
            <v>0</v>
          </cell>
          <cell r="AS547">
            <v>150</v>
          </cell>
        </row>
        <row r="548">
          <cell r="B548" t="str">
            <v>AC</v>
          </cell>
          <cell r="C548" t="str">
            <v>IMP</v>
          </cell>
          <cell r="D548" t="str">
            <v>BT</v>
          </cell>
          <cell r="E548" t="str">
            <v>P3</v>
          </cell>
          <cell r="F548">
            <v>39989</v>
          </cell>
          <cell r="G548">
            <v>40001</v>
          </cell>
          <cell r="H548" t="str">
            <v>4599381</v>
          </cell>
          <cell r="I548" t="str">
            <v>SBKMA0XN012</v>
          </cell>
          <cell r="J548">
            <v>0</v>
          </cell>
          <cell r="K548" t="str">
            <v>SA-501Scan Accelerator Kit</v>
          </cell>
          <cell r="L548">
            <v>400</v>
          </cell>
          <cell r="M548">
            <v>46.47115384615384</v>
          </cell>
          <cell r="N548">
            <v>176.99968000000001</v>
          </cell>
          <cell r="O548">
            <v>-0.17647058823529424</v>
          </cell>
          <cell r="P548">
            <v>48.33</v>
          </cell>
          <cell r="Q548">
            <v>49.26</v>
          </cell>
          <cell r="R548">
            <v>55.66</v>
          </cell>
          <cell r="S548">
            <v>60.4</v>
          </cell>
          <cell r="T548">
            <v>0.19983443708609272</v>
          </cell>
          <cell r="U548">
            <v>0</v>
          </cell>
          <cell r="V548">
            <v>0</v>
          </cell>
          <cell r="W548">
            <v>150.44972799999999</v>
          </cell>
          <cell r="X548">
            <v>0.80016556291390728</v>
          </cell>
          <cell r="Y548" t="str">
            <v>Act freight</v>
          </cell>
          <cell r="Z548">
            <v>0</v>
          </cell>
          <cell r="AA548">
            <v>182</v>
          </cell>
          <cell r="AB548">
            <v>151</v>
          </cell>
          <cell r="AC548">
            <v>168</v>
          </cell>
          <cell r="AD548">
            <v>177</v>
          </cell>
          <cell r="AE548">
            <v>185.74</v>
          </cell>
          <cell r="AF548">
            <v>0.18999823409066444</v>
          </cell>
          <cell r="AG548">
            <v>4.7056745989016886E-2</v>
          </cell>
          <cell r="AH548">
            <v>190</v>
          </cell>
          <cell r="AI548">
            <v>194</v>
          </cell>
          <cell r="AJ548">
            <v>0.22448593814432993</v>
          </cell>
          <cell r="AK548">
            <v>197.5</v>
          </cell>
          <cell r="AL548">
            <v>201</v>
          </cell>
          <cell r="AM548">
            <v>0.25149389054726373</v>
          </cell>
          <cell r="AN548">
            <v>229.11</v>
          </cell>
          <cell r="AO548">
            <v>257.22000000000003</v>
          </cell>
          <cell r="AP548">
            <v>285.33</v>
          </cell>
          <cell r="AQ548">
            <v>0</v>
          </cell>
          <cell r="AS548">
            <v>400</v>
          </cell>
        </row>
        <row r="549">
          <cell r="B549" t="str">
            <v>AC</v>
          </cell>
          <cell r="C549" t="str">
            <v>IMP</v>
          </cell>
          <cell r="D549" t="str">
            <v>BT</v>
          </cell>
          <cell r="E549" t="str">
            <v>P3</v>
          </cell>
          <cell r="F549">
            <v>39989</v>
          </cell>
          <cell r="G549">
            <v>40053</v>
          </cell>
          <cell r="H549" t="str">
            <v>4599401</v>
          </cell>
          <cell r="I549" t="str">
            <v>STKMA0XU030</v>
          </cell>
          <cell r="J549" t="str">
            <v>NLA</v>
          </cell>
          <cell r="K549" t="str">
            <v>MK-704 Mount Kit</v>
          </cell>
          <cell r="L549">
            <v>100</v>
          </cell>
          <cell r="M549">
            <v>44.230769230769226</v>
          </cell>
          <cell r="N549">
            <v>52</v>
          </cell>
          <cell r="O549">
            <v>-0.17647058823529424</v>
          </cell>
          <cell r="P549">
            <v>51.75</v>
          </cell>
          <cell r="Q549">
            <v>45.52</v>
          </cell>
          <cell r="R549">
            <v>51.44</v>
          </cell>
          <cell r="S549">
            <v>57.5</v>
          </cell>
          <cell r="T549">
            <v>0.23076923076923084</v>
          </cell>
          <cell r="U549">
            <v>0</v>
          </cell>
          <cell r="V549">
            <v>0</v>
          </cell>
          <cell r="W549">
            <v>44.199999999999996</v>
          </cell>
          <cell r="X549">
            <v>0.9</v>
          </cell>
          <cell r="Y549" t="str">
            <v>Act freight</v>
          </cell>
          <cell r="Z549">
            <v>0</v>
          </cell>
          <cell r="AA549">
            <v>53</v>
          </cell>
          <cell r="AB549">
            <v>45</v>
          </cell>
          <cell r="AC549">
            <v>50</v>
          </cell>
          <cell r="AD549">
            <v>53</v>
          </cell>
          <cell r="AE549">
            <v>54.57</v>
          </cell>
          <cell r="AF549">
            <v>0.19003115264797515</v>
          </cell>
          <cell r="AG549">
            <v>4.7095473703500097E-2</v>
          </cell>
          <cell r="AH549">
            <v>56</v>
          </cell>
          <cell r="AI549">
            <v>57</v>
          </cell>
          <cell r="AJ549">
            <v>0.22456140350877202</v>
          </cell>
          <cell r="AK549">
            <v>58</v>
          </cell>
          <cell r="AL549">
            <v>59</v>
          </cell>
          <cell r="AM549">
            <v>0.25084745762711874</v>
          </cell>
          <cell r="AN549">
            <v>67.27</v>
          </cell>
          <cell r="AO549">
            <v>75.540000000000006</v>
          </cell>
          <cell r="AP549">
            <v>83.81</v>
          </cell>
          <cell r="AQ549">
            <v>0</v>
          </cell>
          <cell r="AS549">
            <v>100</v>
          </cell>
        </row>
        <row r="550">
          <cell r="B550" t="str">
            <v>AC</v>
          </cell>
          <cell r="C550" t="str">
            <v>IMP</v>
          </cell>
          <cell r="D550" t="str">
            <v>BT</v>
          </cell>
          <cell r="E550" t="str">
            <v>P3</v>
          </cell>
          <cell r="F550">
            <v>39989</v>
          </cell>
          <cell r="G550">
            <v>40001</v>
          </cell>
          <cell r="H550" t="str">
            <v>4599411</v>
          </cell>
          <cell r="I550" t="str">
            <v>STKMA0YP030</v>
          </cell>
          <cell r="J550">
            <v>0</v>
          </cell>
          <cell r="K550" t="str">
            <v>ML-501 Multi Line</v>
          </cell>
          <cell r="L550">
            <v>300</v>
          </cell>
          <cell r="M550">
            <v>32.4</v>
          </cell>
          <cell r="N550">
            <v>135.19999999999999</v>
          </cell>
          <cell r="O550">
            <v>-0.17647058823529416</v>
          </cell>
          <cell r="P550">
            <v>48.783999999999999</v>
          </cell>
          <cell r="Q550">
            <v>34.340000000000003</v>
          </cell>
          <cell r="R550">
            <v>38.799999999999997</v>
          </cell>
          <cell r="S550">
            <v>60.98</v>
          </cell>
          <cell r="T550">
            <v>0.44742538537225318</v>
          </cell>
          <cell r="U550">
            <v>0</v>
          </cell>
          <cell r="V550">
            <v>0</v>
          </cell>
          <cell r="W550">
            <v>114.91999999999999</v>
          </cell>
          <cell r="X550">
            <v>0.8</v>
          </cell>
          <cell r="Y550" t="str">
            <v>Act freight</v>
          </cell>
          <cell r="Z550">
            <v>0</v>
          </cell>
          <cell r="AA550">
            <v>139</v>
          </cell>
          <cell r="AB550">
            <v>115</v>
          </cell>
          <cell r="AC550">
            <v>128</v>
          </cell>
          <cell r="AD550">
            <v>135</v>
          </cell>
          <cell r="AE550">
            <v>141.88</v>
          </cell>
          <cell r="AF550">
            <v>0.19001973498731328</v>
          </cell>
          <cell r="AG550">
            <v>4.7082041161545019E-2</v>
          </cell>
          <cell r="AH550">
            <v>145</v>
          </cell>
          <cell r="AI550">
            <v>148</v>
          </cell>
          <cell r="AJ550">
            <v>0.22351351351351359</v>
          </cell>
          <cell r="AK550">
            <v>151</v>
          </cell>
          <cell r="AL550">
            <v>154</v>
          </cell>
          <cell r="AM550">
            <v>0.25376623376623386</v>
          </cell>
          <cell r="AN550">
            <v>175.35</v>
          </cell>
          <cell r="AO550">
            <v>196.7</v>
          </cell>
          <cell r="AP550">
            <v>218.05</v>
          </cell>
          <cell r="AQ550">
            <v>0</v>
          </cell>
          <cell r="AS550">
            <v>300</v>
          </cell>
        </row>
        <row r="551">
          <cell r="B551" t="str">
            <v>AC</v>
          </cell>
          <cell r="C551" t="str">
            <v>IMP</v>
          </cell>
          <cell r="D551" t="str">
            <v>BT</v>
          </cell>
          <cell r="E551" t="str">
            <v>P3</v>
          </cell>
          <cell r="F551">
            <v>39989</v>
          </cell>
          <cell r="G551">
            <v>40001</v>
          </cell>
          <cell r="H551" t="str">
            <v>4599471</v>
          </cell>
          <cell r="I551" t="str">
            <v>SPKM7640002409_</v>
          </cell>
          <cell r="K551" t="str">
            <v>MK-706 Mount Kit (Enhanced Option Connection Kit)</v>
          </cell>
          <cell r="L551">
            <v>100</v>
          </cell>
          <cell r="M551">
            <v>34.76</v>
          </cell>
          <cell r="N551">
            <v>52</v>
          </cell>
          <cell r="O551">
            <v>-0.17647058823529424</v>
          </cell>
          <cell r="P551">
            <v>48</v>
          </cell>
          <cell r="Q551">
            <v>36.85</v>
          </cell>
          <cell r="R551">
            <v>41.64</v>
          </cell>
          <cell r="S551">
            <v>60</v>
          </cell>
          <cell r="T551">
            <v>0.40328666666666668</v>
          </cell>
          <cell r="W551">
            <v>44.199999999999996</v>
          </cell>
          <cell r="X551">
            <v>0.8</v>
          </cell>
          <cell r="Y551" t="str">
            <v>Act freight</v>
          </cell>
          <cell r="AA551">
            <v>53</v>
          </cell>
          <cell r="AB551">
            <v>45</v>
          </cell>
          <cell r="AC551">
            <v>50</v>
          </cell>
          <cell r="AD551">
            <v>53</v>
          </cell>
          <cell r="AE551">
            <v>54.57</v>
          </cell>
          <cell r="AF551">
            <v>0.19003115264797515</v>
          </cell>
          <cell r="AG551">
            <v>4.7095473703500097E-2</v>
          </cell>
          <cell r="AH551">
            <v>56</v>
          </cell>
          <cell r="AI551">
            <v>57</v>
          </cell>
          <cell r="AJ551">
            <v>0.22456140350877202</v>
          </cell>
          <cell r="AK551">
            <v>58</v>
          </cell>
          <cell r="AL551">
            <v>59</v>
          </cell>
          <cell r="AM551">
            <v>0.25084745762711874</v>
          </cell>
          <cell r="AN551">
            <v>67.27</v>
          </cell>
          <cell r="AO551">
            <v>75.540000000000006</v>
          </cell>
          <cell r="AP551">
            <v>83.81</v>
          </cell>
          <cell r="AQ551">
            <v>0</v>
          </cell>
          <cell r="AS551">
            <v>100</v>
          </cell>
        </row>
        <row r="552">
          <cell r="B552" t="str">
            <v>AC</v>
          </cell>
          <cell r="C552" t="str">
            <v>IMP</v>
          </cell>
          <cell r="D552" t="str">
            <v>BT</v>
          </cell>
          <cell r="E552" t="str">
            <v>P3</v>
          </cell>
          <cell r="F552">
            <v>39989</v>
          </cell>
          <cell r="G552">
            <v>40001</v>
          </cell>
          <cell r="H552" t="str">
            <v>7640X028</v>
          </cell>
          <cell r="I552">
            <v>0</v>
          </cell>
          <cell r="K552" t="str">
            <v>FS-603 Booklet Finisher ( consists of FS-603 &amp; Attachment Kit)</v>
          </cell>
          <cell r="L552">
            <v>3000</v>
          </cell>
          <cell r="M552">
            <v>0</v>
          </cell>
          <cell r="N552">
            <v>1121.4736</v>
          </cell>
          <cell r="O552">
            <v>-0.17647058823529413</v>
          </cell>
          <cell r="P552">
            <v>0</v>
          </cell>
          <cell r="Q552">
            <v>0</v>
          </cell>
          <cell r="R552">
            <v>0</v>
          </cell>
          <cell r="S552">
            <v>0</v>
          </cell>
          <cell r="T552">
            <v>0</v>
          </cell>
          <cell r="W552">
            <v>953.25256000000002</v>
          </cell>
          <cell r="X552">
            <v>0</v>
          </cell>
          <cell r="Y552">
            <v>0</v>
          </cell>
          <cell r="AA552">
            <v>1153</v>
          </cell>
          <cell r="AB552">
            <v>954</v>
          </cell>
          <cell r="AC552">
            <v>1060</v>
          </cell>
          <cell r="AD552">
            <v>1119</v>
          </cell>
          <cell r="AE552">
            <v>1176.8599999999999</v>
          </cell>
          <cell r="AF552">
            <v>0.19000343286372204</v>
          </cell>
          <cell r="AG552">
            <v>4.7062862192614137E-2</v>
          </cell>
          <cell r="AH552">
            <v>1201</v>
          </cell>
          <cell r="AI552">
            <v>1225</v>
          </cell>
          <cell r="AJ552">
            <v>0.22183464489795918</v>
          </cell>
          <cell r="AK552">
            <v>1248.5</v>
          </cell>
          <cell r="AL552">
            <v>1272</v>
          </cell>
          <cell r="AM552">
            <v>0.2505876100628931</v>
          </cell>
          <cell r="AN552">
            <v>1450.49</v>
          </cell>
          <cell r="AO552">
            <v>1628.98</v>
          </cell>
          <cell r="AP552">
            <v>1807.47</v>
          </cell>
          <cell r="AQ552">
            <v>0</v>
          </cell>
          <cell r="AS552">
            <v>3000</v>
          </cell>
        </row>
        <row r="553">
          <cell r="B553" t="str">
            <v>AC</v>
          </cell>
          <cell r="C553" t="str">
            <v>IMP</v>
          </cell>
          <cell r="D553" t="str">
            <v>BT</v>
          </cell>
          <cell r="E553" t="str">
            <v>P3</v>
          </cell>
          <cell r="F553">
            <v>39989</v>
          </cell>
          <cell r="G553">
            <v>40001</v>
          </cell>
          <cell r="H553" t="str">
            <v>9J05142</v>
          </cell>
          <cell r="K553" t="str">
            <v>VI-503 Fiery Controller Interface</v>
          </cell>
          <cell r="L553">
            <v>265</v>
          </cell>
          <cell r="M553">
            <v>357</v>
          </cell>
          <cell r="N553">
            <v>131.04</v>
          </cell>
          <cell r="O553">
            <v>-0.17647058823529418</v>
          </cell>
          <cell r="P553">
            <v>315.58800000000002</v>
          </cell>
          <cell r="Q553">
            <v>378.42</v>
          </cell>
          <cell r="R553">
            <v>408.69</v>
          </cell>
          <cell r="S553">
            <v>585.9</v>
          </cell>
          <cell r="T553">
            <v>0.36630824372759851</v>
          </cell>
          <cell r="U553">
            <v>453.72095999999999</v>
          </cell>
          <cell r="V553">
            <v>0.18169969489617574</v>
          </cell>
          <cell r="W553">
            <v>111.38399999999999</v>
          </cell>
          <cell r="X553">
            <v>0.53863799283154123</v>
          </cell>
          <cell r="AA553">
            <v>135</v>
          </cell>
          <cell r="AB553">
            <v>112</v>
          </cell>
          <cell r="AC553">
            <v>124</v>
          </cell>
          <cell r="AD553">
            <v>131</v>
          </cell>
          <cell r="AE553">
            <v>137.51</v>
          </cell>
          <cell r="AF553">
            <v>0.18999345502145304</v>
          </cell>
          <cell r="AG553">
            <v>4.7051123554650569E-2</v>
          </cell>
          <cell r="AH553">
            <v>141</v>
          </cell>
          <cell r="AI553">
            <v>144</v>
          </cell>
          <cell r="AJ553">
            <v>0.22650000000000009</v>
          </cell>
          <cell r="AK553">
            <v>146.5</v>
          </cell>
          <cell r="AL553">
            <v>149</v>
          </cell>
          <cell r="AM553">
            <v>0.25245637583892627</v>
          </cell>
          <cell r="AN553">
            <v>169.76</v>
          </cell>
          <cell r="AO553">
            <v>190.52</v>
          </cell>
          <cell r="AP553">
            <v>211.28</v>
          </cell>
          <cell r="AQ553">
            <v>0</v>
          </cell>
          <cell r="AS553">
            <v>265</v>
          </cell>
        </row>
        <row r="554">
          <cell r="B554" t="str">
            <v>AC</v>
          </cell>
          <cell r="C554" t="str">
            <v>IMP</v>
          </cell>
          <cell r="D554" t="str">
            <v>BT</v>
          </cell>
          <cell r="E554" t="str">
            <v>P3</v>
          </cell>
          <cell r="F554">
            <v>39989</v>
          </cell>
          <cell r="G554">
            <v>40001</v>
          </cell>
          <cell r="H554" t="str">
            <v>9J07611</v>
          </cell>
          <cell r="I554">
            <v>0</v>
          </cell>
          <cell r="J554">
            <v>0</v>
          </cell>
          <cell r="K554" t="str">
            <v>DF-608 Reversing Automatic Document Feeder</v>
          </cell>
          <cell r="L554">
            <v>1465</v>
          </cell>
          <cell r="M554">
            <v>0</v>
          </cell>
          <cell r="N554">
            <v>598</v>
          </cell>
          <cell r="O554">
            <v>-0.1764705882352941</v>
          </cell>
          <cell r="P554">
            <v>0</v>
          </cell>
          <cell r="Q554">
            <v>0</v>
          </cell>
          <cell r="R554">
            <v>0</v>
          </cell>
          <cell r="S554">
            <v>0</v>
          </cell>
          <cell r="T554">
            <v>0</v>
          </cell>
          <cell r="U554">
            <v>0</v>
          </cell>
          <cell r="V554">
            <v>0</v>
          </cell>
          <cell r="W554">
            <v>508.3</v>
          </cell>
          <cell r="X554">
            <v>0</v>
          </cell>
          <cell r="Y554">
            <v>0</v>
          </cell>
          <cell r="Z554">
            <v>0</v>
          </cell>
          <cell r="AA554">
            <v>615</v>
          </cell>
          <cell r="AB554">
            <v>509</v>
          </cell>
          <cell r="AC554">
            <v>565</v>
          </cell>
          <cell r="AD554">
            <v>597</v>
          </cell>
          <cell r="AE554">
            <v>627.53</v>
          </cell>
          <cell r="AF554">
            <v>0.18999888451548128</v>
          </cell>
          <cell r="AG554">
            <v>4.7057511194683876E-2</v>
          </cell>
          <cell r="AH554">
            <v>641</v>
          </cell>
          <cell r="AI554">
            <v>653</v>
          </cell>
          <cell r="AJ554">
            <v>0.22159264931087289</v>
          </cell>
          <cell r="AK554">
            <v>665.5</v>
          </cell>
          <cell r="AL554">
            <v>678</v>
          </cell>
          <cell r="AM554">
            <v>0.25029498525073746</v>
          </cell>
          <cell r="AN554">
            <v>773.24</v>
          </cell>
          <cell r="AO554">
            <v>868.48</v>
          </cell>
          <cell r="AP554">
            <v>963.72</v>
          </cell>
          <cell r="AQ554">
            <v>0</v>
          </cell>
          <cell r="AS554">
            <v>1465</v>
          </cell>
        </row>
        <row r="555">
          <cell r="B555" t="str">
            <v>AC</v>
          </cell>
          <cell r="C555" t="str">
            <v>IMP</v>
          </cell>
          <cell r="D555" t="str">
            <v>BT</v>
          </cell>
          <cell r="E555" t="str">
            <v>P3</v>
          </cell>
          <cell r="F555">
            <v>39989</v>
          </cell>
          <cell r="G555">
            <v>40001</v>
          </cell>
          <cell r="H555" t="str">
            <v>9J08611</v>
          </cell>
          <cell r="I555" t="str">
            <v>KM BHP 2500 SERIES O/T</v>
          </cell>
          <cell r="J555">
            <v>0</v>
          </cell>
          <cell r="K555" t="str">
            <v>FS-514 Base Finisher</v>
          </cell>
          <cell r="L555">
            <v>1500</v>
          </cell>
          <cell r="M555">
            <v>0</v>
          </cell>
          <cell r="N555">
            <v>629.20000000000005</v>
          </cell>
          <cell r="O555">
            <v>-0.1764705882352941</v>
          </cell>
          <cell r="P555">
            <v>2256.75</v>
          </cell>
          <cell r="Q555">
            <v>0</v>
          </cell>
          <cell r="R555">
            <v>0</v>
          </cell>
          <cell r="S555">
            <v>2655</v>
          </cell>
          <cell r="T555">
            <v>1</v>
          </cell>
          <cell r="U555">
            <v>0</v>
          </cell>
          <cell r="V555">
            <v>0</v>
          </cell>
          <cell r="W555">
            <v>534.82000000000005</v>
          </cell>
          <cell r="X555">
            <v>0.85</v>
          </cell>
          <cell r="Y555">
            <v>0</v>
          </cell>
          <cell r="Z555">
            <v>0</v>
          </cell>
          <cell r="AA555">
            <v>647</v>
          </cell>
          <cell r="AB555">
            <v>535</v>
          </cell>
          <cell r="AC555">
            <v>595</v>
          </cell>
          <cell r="AD555">
            <v>628</v>
          </cell>
          <cell r="AE555">
            <v>660.27</v>
          </cell>
          <cell r="AF555">
            <v>0.18999803110848582</v>
          </cell>
          <cell r="AG555">
            <v>4.7056507186453933E-2</v>
          </cell>
          <cell r="AH555">
            <v>675</v>
          </cell>
          <cell r="AI555">
            <v>688</v>
          </cell>
          <cell r="AJ555">
            <v>0.22264534883720924</v>
          </cell>
          <cell r="AK555">
            <v>701</v>
          </cell>
          <cell r="AL555">
            <v>714</v>
          </cell>
          <cell r="AM555">
            <v>0.25095238095238087</v>
          </cell>
          <cell r="AN555">
            <v>814.05</v>
          </cell>
          <cell r="AO555">
            <v>914.1</v>
          </cell>
          <cell r="AP555">
            <v>1014.15</v>
          </cell>
          <cell r="AQ555">
            <v>0</v>
          </cell>
          <cell r="AS555">
            <v>1500</v>
          </cell>
        </row>
        <row r="556">
          <cell r="B556" t="str">
            <v>AC</v>
          </cell>
          <cell r="C556" t="str">
            <v>IMP</v>
          </cell>
          <cell r="D556" t="str">
            <v>BT</v>
          </cell>
          <cell r="E556" t="str">
            <v>P3</v>
          </cell>
          <cell r="F556">
            <v>39989</v>
          </cell>
          <cell r="G556">
            <v>40001</v>
          </cell>
          <cell r="H556" t="str">
            <v>9J08621</v>
          </cell>
          <cell r="I556" t="str">
            <v>KM BHP 2500 SERIES S/I</v>
          </cell>
          <cell r="J556">
            <v>0</v>
          </cell>
          <cell r="K556" t="str">
            <v>FS-514 Base Finisher</v>
          </cell>
          <cell r="L556">
            <v>1500</v>
          </cell>
          <cell r="M556">
            <v>0</v>
          </cell>
          <cell r="N556">
            <v>629.20000000000005</v>
          </cell>
          <cell r="O556">
            <v>-0.1764705882352941</v>
          </cell>
          <cell r="P556">
            <v>2256.75</v>
          </cell>
          <cell r="Q556">
            <v>0</v>
          </cell>
          <cell r="R556">
            <v>0</v>
          </cell>
          <cell r="S556">
            <v>2655</v>
          </cell>
          <cell r="T556">
            <v>1</v>
          </cell>
          <cell r="U556">
            <v>0</v>
          </cell>
          <cell r="V556">
            <v>0</v>
          </cell>
          <cell r="W556">
            <v>534.82000000000005</v>
          </cell>
          <cell r="X556">
            <v>0.85</v>
          </cell>
          <cell r="Y556">
            <v>0</v>
          </cell>
          <cell r="Z556">
            <v>0</v>
          </cell>
          <cell r="AA556">
            <v>647</v>
          </cell>
          <cell r="AB556">
            <v>535</v>
          </cell>
          <cell r="AC556">
            <v>595</v>
          </cell>
          <cell r="AD556">
            <v>628</v>
          </cell>
          <cell r="AE556">
            <v>660.27</v>
          </cell>
          <cell r="AF556">
            <v>0.18999803110848582</v>
          </cell>
          <cell r="AG556">
            <v>4.7056507186453933E-2</v>
          </cell>
          <cell r="AH556">
            <v>675</v>
          </cell>
          <cell r="AI556">
            <v>688</v>
          </cell>
          <cell r="AJ556">
            <v>0.22264534883720924</v>
          </cell>
          <cell r="AK556">
            <v>701</v>
          </cell>
          <cell r="AL556">
            <v>714</v>
          </cell>
          <cell r="AM556">
            <v>0.25095238095238087</v>
          </cell>
          <cell r="AN556">
            <v>814.05</v>
          </cell>
          <cell r="AO556">
            <v>914.1</v>
          </cell>
          <cell r="AP556">
            <v>1014.15</v>
          </cell>
          <cell r="AQ556">
            <v>0</v>
          </cell>
          <cell r="AS556">
            <v>1500</v>
          </cell>
        </row>
        <row r="557">
          <cell r="B557" t="str">
            <v>AC</v>
          </cell>
          <cell r="C557" t="str">
            <v>IMP</v>
          </cell>
          <cell r="D557" t="str">
            <v>BT</v>
          </cell>
          <cell r="E557" t="str">
            <v>P3</v>
          </cell>
          <cell r="F557">
            <v>39989</v>
          </cell>
          <cell r="G557">
            <v>40001</v>
          </cell>
          <cell r="H557" t="str">
            <v>A006212</v>
          </cell>
          <cell r="I557" t="str">
            <v>KM BHP 2500 SERIES A/T</v>
          </cell>
          <cell r="J557" t="str">
            <v>changed to 08</v>
          </cell>
          <cell r="K557" t="str">
            <v>IC-406 Fiery Controller</v>
          </cell>
          <cell r="L557">
            <v>3950</v>
          </cell>
          <cell r="M557">
            <v>479</v>
          </cell>
          <cell r="N557">
            <v>2214.4999760000001</v>
          </cell>
          <cell r="O557">
            <v>-0.17647058823529416</v>
          </cell>
          <cell r="P557">
            <v>650.25</v>
          </cell>
          <cell r="Q557">
            <v>507.74</v>
          </cell>
          <cell r="R557">
            <v>548.36</v>
          </cell>
          <cell r="S557">
            <v>765</v>
          </cell>
          <cell r="T557">
            <v>1</v>
          </cell>
          <cell r="U557">
            <v>586.14335999999992</v>
          </cell>
          <cell r="V557">
            <v>0.15010553049683939</v>
          </cell>
          <cell r="W557">
            <v>1882.3249796</v>
          </cell>
          <cell r="X557">
            <v>0.85</v>
          </cell>
          <cell r="AA557">
            <v>2277</v>
          </cell>
          <cell r="AB557">
            <v>1883</v>
          </cell>
          <cell r="AC557">
            <v>2092</v>
          </cell>
          <cell r="AD557">
            <v>2208</v>
          </cell>
          <cell r="AE557">
            <v>2323.86</v>
          </cell>
          <cell r="AF557">
            <v>0.19000069728813271</v>
          </cell>
          <cell r="AG557">
            <v>4.7059643868391413E-2</v>
          </cell>
          <cell r="AH557">
            <v>2371</v>
          </cell>
          <cell r="AI557">
            <v>2417</v>
          </cell>
          <cell r="AJ557">
            <v>0.22121432370707489</v>
          </cell>
          <cell r="AK557">
            <v>2463.5</v>
          </cell>
          <cell r="AL557">
            <v>2510</v>
          </cell>
          <cell r="AM557">
            <v>0.25006972924302789</v>
          </cell>
          <cell r="AN557">
            <v>2862.88</v>
          </cell>
          <cell r="AO557">
            <v>3215.76</v>
          </cell>
          <cell r="AP557">
            <v>3568.64</v>
          </cell>
          <cell r="AQ557">
            <v>0</v>
          </cell>
          <cell r="AS557">
            <v>3950</v>
          </cell>
        </row>
        <row r="558">
          <cell r="B558" t="str">
            <v>AC</v>
          </cell>
          <cell r="C558" t="str">
            <v>IMP</v>
          </cell>
          <cell r="D558" t="str">
            <v>BT</v>
          </cell>
          <cell r="E558" t="str">
            <v>P3</v>
          </cell>
          <cell r="F558">
            <v>39989</v>
          </cell>
          <cell r="G558">
            <v>40001</v>
          </cell>
          <cell r="H558" t="str">
            <v>A06HWW0</v>
          </cell>
          <cell r="I558">
            <v>0</v>
          </cell>
          <cell r="J558">
            <v>0</v>
          </cell>
          <cell r="K558" t="str">
            <v>EM-309 256 MB Memory upgrade</v>
          </cell>
          <cell r="L558">
            <v>210</v>
          </cell>
          <cell r="M558">
            <v>0</v>
          </cell>
          <cell r="N558">
            <v>83.2</v>
          </cell>
          <cell r="O558">
            <v>-0.17647058823529418</v>
          </cell>
          <cell r="P558">
            <v>0</v>
          </cell>
          <cell r="Q558">
            <v>0</v>
          </cell>
          <cell r="R558">
            <v>0</v>
          </cell>
          <cell r="S558">
            <v>0</v>
          </cell>
          <cell r="T558">
            <v>0</v>
          </cell>
          <cell r="U558">
            <v>0</v>
          </cell>
          <cell r="V558">
            <v>0</v>
          </cell>
          <cell r="W558">
            <v>70.72</v>
          </cell>
          <cell r="X558">
            <v>0</v>
          </cell>
          <cell r="Y558">
            <v>0</v>
          </cell>
          <cell r="Z558">
            <v>0</v>
          </cell>
          <cell r="AA558">
            <v>86</v>
          </cell>
          <cell r="AB558">
            <v>71</v>
          </cell>
          <cell r="AC558">
            <v>79</v>
          </cell>
          <cell r="AD558">
            <v>84</v>
          </cell>
          <cell r="AE558">
            <v>87.31</v>
          </cell>
          <cell r="AF558">
            <v>0.19001259878593521</v>
          </cell>
          <cell r="AG558">
            <v>4.7073645630511959E-2</v>
          </cell>
          <cell r="AH558">
            <v>90</v>
          </cell>
          <cell r="AI558">
            <v>92</v>
          </cell>
          <cell r="AJ558">
            <v>0.23130434782608697</v>
          </cell>
          <cell r="AK558">
            <v>93.5</v>
          </cell>
          <cell r="AL558">
            <v>95</v>
          </cell>
          <cell r="AM558">
            <v>0.25557894736842107</v>
          </cell>
          <cell r="AN558">
            <v>108.08</v>
          </cell>
          <cell r="AO558">
            <v>121.16</v>
          </cell>
          <cell r="AP558">
            <v>134.24</v>
          </cell>
          <cell r="AQ558">
            <v>0</v>
          </cell>
          <cell r="AS558">
            <v>210</v>
          </cell>
        </row>
        <row r="559">
          <cell r="B559" t="str">
            <v>AC</v>
          </cell>
          <cell r="C559" t="str">
            <v>IMP</v>
          </cell>
          <cell r="D559" t="str">
            <v>BT</v>
          </cell>
          <cell r="E559" t="str">
            <v>P3</v>
          </cell>
          <cell r="F559">
            <v>39990</v>
          </cell>
          <cell r="G559">
            <v>40001</v>
          </cell>
          <cell r="H559" t="str">
            <v>947166</v>
          </cell>
          <cell r="I559" t="str">
            <v>9KDEX110G_N</v>
          </cell>
          <cell r="J559" t="str">
            <v>KHB694141A00</v>
          </cell>
          <cell r="K559" t="str">
            <v>Cabinet</v>
          </cell>
          <cell r="L559">
            <v>218</v>
          </cell>
          <cell r="M559">
            <v>37617</v>
          </cell>
          <cell r="N559">
            <v>52</v>
          </cell>
          <cell r="O559">
            <v>0</v>
          </cell>
          <cell r="P559">
            <v>38745.51</v>
          </cell>
          <cell r="Q559">
            <v>39874.019999999997</v>
          </cell>
          <cell r="R559">
            <v>45057.64</v>
          </cell>
          <cell r="T559" t="e">
            <v>#DIV/0!</v>
          </cell>
          <cell r="U559">
            <v>0</v>
          </cell>
          <cell r="V559">
            <v>0</v>
          </cell>
          <cell r="W559">
            <v>44.199999999999996</v>
          </cell>
          <cell r="X559" t="e">
            <v>#DIV/0!</v>
          </cell>
          <cell r="Y559">
            <v>1600</v>
          </cell>
          <cell r="Z559">
            <v>1000</v>
          </cell>
          <cell r="AA559">
            <v>43820</v>
          </cell>
          <cell r="AB559">
            <v>45</v>
          </cell>
          <cell r="AC559">
            <v>50</v>
          </cell>
          <cell r="AD559">
            <v>53</v>
          </cell>
          <cell r="AE559">
            <v>54.57</v>
          </cell>
          <cell r="AF559">
            <v>0.19003115264797515</v>
          </cell>
          <cell r="AG559">
            <v>4.7095473703500097E-2</v>
          </cell>
          <cell r="AH559">
            <v>56</v>
          </cell>
          <cell r="AI559">
            <v>57</v>
          </cell>
          <cell r="AJ559">
            <v>0.22456140350877202</v>
          </cell>
          <cell r="AK559">
            <v>58</v>
          </cell>
          <cell r="AL559">
            <v>59</v>
          </cell>
          <cell r="AM559">
            <v>0.25084745762711874</v>
          </cell>
          <cell r="AN559">
            <v>67.27</v>
          </cell>
          <cell r="AO559">
            <v>75.540000000000006</v>
          </cell>
          <cell r="AP559">
            <v>83.81</v>
          </cell>
          <cell r="AQ559">
            <v>0</v>
          </cell>
          <cell r="AS559">
            <v>218</v>
          </cell>
        </row>
        <row r="560">
          <cell r="B560" t="str">
            <v>AC</v>
          </cell>
          <cell r="C560" t="str">
            <v>IMP</v>
          </cell>
          <cell r="D560" t="str">
            <v>BT</v>
          </cell>
          <cell r="E560" t="str">
            <v>P3</v>
          </cell>
          <cell r="F560">
            <v>39990</v>
          </cell>
          <cell r="G560">
            <v>40001</v>
          </cell>
          <cell r="H560" t="str">
            <v>950218</v>
          </cell>
          <cell r="I560" t="str">
            <v>9KDEX125G_N</v>
          </cell>
          <cell r="J560" t="str">
            <v>KHB694143A00</v>
          </cell>
          <cell r="K560" t="str">
            <v>64MB Memory for Print Controller (MU-404)</v>
          </cell>
          <cell r="L560">
            <v>115</v>
          </cell>
          <cell r="M560">
            <v>42617</v>
          </cell>
          <cell r="N560">
            <v>34</v>
          </cell>
          <cell r="O560">
            <v>0</v>
          </cell>
          <cell r="P560">
            <v>43895.51</v>
          </cell>
          <cell r="Q560">
            <v>45174.02</v>
          </cell>
          <cell r="R560">
            <v>51046.64</v>
          </cell>
          <cell r="T560" t="e">
            <v>#DIV/0!</v>
          </cell>
          <cell r="U560">
            <v>0</v>
          </cell>
          <cell r="V560">
            <v>0</v>
          </cell>
          <cell r="W560">
            <v>28.9</v>
          </cell>
          <cell r="X560" t="e">
            <v>#DIV/0!</v>
          </cell>
          <cell r="Y560">
            <v>1600</v>
          </cell>
          <cell r="Z560">
            <v>1000</v>
          </cell>
          <cell r="AA560">
            <v>49306</v>
          </cell>
          <cell r="AB560">
            <v>29</v>
          </cell>
          <cell r="AC560">
            <v>33</v>
          </cell>
          <cell r="AD560">
            <v>35</v>
          </cell>
          <cell r="AE560">
            <v>35.68</v>
          </cell>
          <cell r="AF560">
            <v>0.1900224215246637</v>
          </cell>
          <cell r="AG560">
            <v>4.7085201793721963E-2</v>
          </cell>
          <cell r="AH560">
            <v>37</v>
          </cell>
          <cell r="AI560">
            <v>38</v>
          </cell>
          <cell r="AJ560">
            <v>0.23947368421052637</v>
          </cell>
          <cell r="AK560">
            <v>38.5</v>
          </cell>
          <cell r="AL560">
            <v>39</v>
          </cell>
          <cell r="AM560">
            <v>0.258974358974359</v>
          </cell>
          <cell r="AN560">
            <v>44.3</v>
          </cell>
          <cell r="AO560">
            <v>49.6</v>
          </cell>
          <cell r="AP560">
            <v>54.9</v>
          </cell>
          <cell r="AQ560">
            <v>0</v>
          </cell>
          <cell r="AS560">
            <v>115</v>
          </cell>
        </row>
        <row r="561">
          <cell r="B561" t="str">
            <v>AC</v>
          </cell>
          <cell r="C561" t="str">
            <v>IMP</v>
          </cell>
          <cell r="D561" t="str">
            <v>BT</v>
          </cell>
          <cell r="E561" t="str">
            <v>P3</v>
          </cell>
          <cell r="F561">
            <v>39990</v>
          </cell>
          <cell r="G561">
            <v>40001</v>
          </cell>
          <cell r="H561" t="str">
            <v>950219</v>
          </cell>
          <cell r="I561" t="str">
            <v>9KDEX138G_N</v>
          </cell>
          <cell r="J561" t="str">
            <v>KHB694145A00</v>
          </cell>
          <cell r="K561" t="str">
            <v>128MB Memory for Print Controller (MU-405)</v>
          </cell>
          <cell r="L561">
            <v>177</v>
          </cell>
          <cell r="M561">
            <v>53617</v>
          </cell>
          <cell r="N561">
            <v>57</v>
          </cell>
          <cell r="O561">
            <v>0</v>
          </cell>
          <cell r="P561">
            <v>55225.51</v>
          </cell>
          <cell r="Q561">
            <v>56834.02</v>
          </cell>
          <cell r="R561">
            <v>64222.44</v>
          </cell>
          <cell r="T561" t="e">
            <v>#DIV/0!</v>
          </cell>
          <cell r="U561">
            <v>0</v>
          </cell>
          <cell r="V561">
            <v>0</v>
          </cell>
          <cell r="W561">
            <v>48.449999999999996</v>
          </cell>
          <cell r="X561" t="e">
            <v>#DIV/0!</v>
          </cell>
          <cell r="Y561">
            <v>1600</v>
          </cell>
          <cell r="Z561">
            <v>1000</v>
          </cell>
          <cell r="AA561">
            <v>61375</v>
          </cell>
          <cell r="AB561">
            <v>49</v>
          </cell>
          <cell r="AC561">
            <v>54</v>
          </cell>
          <cell r="AD561">
            <v>57</v>
          </cell>
          <cell r="AE561">
            <v>59.81</v>
          </cell>
          <cell r="AF561">
            <v>0.18993479351279061</v>
          </cell>
          <cell r="AG561">
            <v>4.6982110015047686E-2</v>
          </cell>
          <cell r="AH561">
            <v>62</v>
          </cell>
          <cell r="AI561">
            <v>63</v>
          </cell>
          <cell r="AJ561">
            <v>0.23095238095238102</v>
          </cell>
          <cell r="AK561">
            <v>64</v>
          </cell>
          <cell r="AL561">
            <v>65</v>
          </cell>
          <cell r="AM561">
            <v>0.25461538461538469</v>
          </cell>
          <cell r="AN561">
            <v>73.98</v>
          </cell>
          <cell r="AO561">
            <v>82.96</v>
          </cell>
          <cell r="AP561">
            <v>91.94</v>
          </cell>
          <cell r="AQ561">
            <v>0</v>
          </cell>
          <cell r="AS561">
            <v>177</v>
          </cell>
        </row>
        <row r="562">
          <cell r="B562" t="str">
            <v>AC</v>
          </cell>
          <cell r="C562" t="str">
            <v>IMP</v>
          </cell>
          <cell r="D562" t="str">
            <v>BT</v>
          </cell>
          <cell r="E562" t="str">
            <v>P3</v>
          </cell>
          <cell r="F562">
            <v>39990</v>
          </cell>
          <cell r="G562">
            <v>40001</v>
          </cell>
          <cell r="H562" t="str">
            <v>950222</v>
          </cell>
          <cell r="I562" t="str">
            <v>9KDEX150G_N</v>
          </cell>
          <cell r="J562" t="str">
            <v>KHB694147A00</v>
          </cell>
          <cell r="K562" t="str">
            <v>Finisher (FS-107)</v>
          </cell>
          <cell r="L562">
            <v>2110</v>
          </cell>
          <cell r="M562">
            <v>63617</v>
          </cell>
          <cell r="N562">
            <v>481</v>
          </cell>
          <cell r="O562">
            <v>0</v>
          </cell>
          <cell r="P562">
            <v>65525.51</v>
          </cell>
          <cell r="Q562">
            <v>67434.02</v>
          </cell>
          <cell r="R562">
            <v>76200.44</v>
          </cell>
          <cell r="T562" t="e">
            <v>#DIV/0!</v>
          </cell>
          <cell r="U562">
            <v>0</v>
          </cell>
          <cell r="V562">
            <v>0</v>
          </cell>
          <cell r="W562">
            <v>408.84999999999997</v>
          </cell>
          <cell r="X562" t="e">
            <v>#DIV/0!</v>
          </cell>
          <cell r="Y562">
            <v>1600</v>
          </cell>
          <cell r="Z562">
            <v>1000</v>
          </cell>
          <cell r="AA562">
            <v>72347</v>
          </cell>
          <cell r="AB562">
            <v>409</v>
          </cell>
          <cell r="AC562">
            <v>455</v>
          </cell>
          <cell r="AD562">
            <v>480</v>
          </cell>
          <cell r="AE562">
            <v>504.75</v>
          </cell>
          <cell r="AF562">
            <v>0.18999504705299661</v>
          </cell>
          <cell r="AG562">
            <v>4.7052996532937097E-2</v>
          </cell>
          <cell r="AH562">
            <v>516</v>
          </cell>
          <cell r="AI562">
            <v>526</v>
          </cell>
          <cell r="AJ562">
            <v>0.2227186311787073</v>
          </cell>
          <cell r="AK562">
            <v>536</v>
          </cell>
          <cell r="AL562">
            <v>546</v>
          </cell>
          <cell r="AM562">
            <v>0.25119047619047624</v>
          </cell>
          <cell r="AN562">
            <v>622.44000000000005</v>
          </cell>
          <cell r="AO562">
            <v>698.88</v>
          </cell>
          <cell r="AP562">
            <v>775.32</v>
          </cell>
          <cell r="AQ562">
            <v>0</v>
          </cell>
          <cell r="AS562">
            <v>2110</v>
          </cell>
        </row>
        <row r="563">
          <cell r="B563" t="str">
            <v>AC</v>
          </cell>
          <cell r="C563" t="str">
            <v>IMP</v>
          </cell>
          <cell r="D563" t="str">
            <v>BT</v>
          </cell>
          <cell r="E563" t="str">
            <v>P3</v>
          </cell>
          <cell r="F563">
            <v>39990</v>
          </cell>
          <cell r="G563">
            <v>40001</v>
          </cell>
          <cell r="H563" t="str">
            <v>950225</v>
          </cell>
          <cell r="I563">
            <v>0</v>
          </cell>
          <cell r="J563">
            <v>0</v>
          </cell>
          <cell r="K563" t="str">
            <v>DNU - Use 960225 Plain Base (DK-109)</v>
          </cell>
          <cell r="L563">
            <v>290</v>
          </cell>
          <cell r="M563">
            <v>175000</v>
          </cell>
          <cell r="N563">
            <v>97</v>
          </cell>
          <cell r="O563">
            <v>0</v>
          </cell>
          <cell r="P563">
            <v>180250</v>
          </cell>
          <cell r="Q563">
            <v>185500</v>
          </cell>
          <cell r="R563">
            <v>209615</v>
          </cell>
          <cell r="T563" t="e">
            <v>#DIV/0!</v>
          </cell>
          <cell r="U563">
            <v>0</v>
          </cell>
          <cell r="V563">
            <v>0</v>
          </cell>
          <cell r="W563">
            <v>82.45</v>
          </cell>
          <cell r="X563" t="e">
            <v>#DIV/0!</v>
          </cell>
          <cell r="Y563">
            <v>1600</v>
          </cell>
          <cell r="Z563">
            <v>1000</v>
          </cell>
          <cell r="AA563">
            <v>194553</v>
          </cell>
          <cell r="AB563">
            <v>83</v>
          </cell>
          <cell r="AC563">
            <v>92</v>
          </cell>
          <cell r="AD563">
            <v>97</v>
          </cell>
          <cell r="AE563">
            <v>101.79</v>
          </cell>
          <cell r="AF563">
            <v>0.1899990175852245</v>
          </cell>
          <cell r="AG563">
            <v>4.7057667747322979E-2</v>
          </cell>
          <cell r="AH563">
            <v>104</v>
          </cell>
          <cell r="AI563">
            <v>106</v>
          </cell>
          <cell r="AJ563">
            <v>0.2221698113207547</v>
          </cell>
          <cell r="AK563">
            <v>108</v>
          </cell>
          <cell r="AL563">
            <v>110</v>
          </cell>
          <cell r="AM563">
            <v>0.25045454545454543</v>
          </cell>
          <cell r="AN563">
            <v>125.44</v>
          </cell>
          <cell r="AO563">
            <v>140.88</v>
          </cell>
          <cell r="AP563">
            <v>156.32</v>
          </cell>
          <cell r="AQ563">
            <v>0</v>
          </cell>
          <cell r="AS563">
            <v>290</v>
          </cell>
        </row>
        <row r="564">
          <cell r="B564" t="str">
            <v>AC</v>
          </cell>
          <cell r="C564" t="str">
            <v>IMP</v>
          </cell>
          <cell r="D564" t="str">
            <v>BT</v>
          </cell>
          <cell r="E564" t="str">
            <v>P3</v>
          </cell>
          <cell r="F564">
            <v>39990</v>
          </cell>
          <cell r="G564">
            <v>40001</v>
          </cell>
          <cell r="H564" t="str">
            <v>950226</v>
          </cell>
          <cell r="I564">
            <v>0</v>
          </cell>
          <cell r="J564">
            <v>0</v>
          </cell>
          <cell r="K564" t="str">
            <v>Optional Finisher Output Tray (FT-107)</v>
          </cell>
          <cell r="L564">
            <v>79</v>
          </cell>
          <cell r="M564">
            <v>55000</v>
          </cell>
          <cell r="N564">
            <v>24</v>
          </cell>
          <cell r="O564">
            <v>0</v>
          </cell>
          <cell r="P564">
            <v>56650</v>
          </cell>
          <cell r="Q564">
            <v>58300</v>
          </cell>
          <cell r="R564">
            <v>65879</v>
          </cell>
          <cell r="T564" t="e">
            <v>#DIV/0!</v>
          </cell>
          <cell r="U564">
            <v>0</v>
          </cell>
          <cell r="V564">
            <v>0</v>
          </cell>
          <cell r="W564">
            <v>20.399999999999999</v>
          </cell>
          <cell r="X564" t="e">
            <v>#DIV/0!</v>
          </cell>
          <cell r="Y564">
            <v>1600</v>
          </cell>
          <cell r="Z564">
            <v>1000</v>
          </cell>
          <cell r="AA564">
            <v>62893</v>
          </cell>
          <cell r="AB564">
            <v>21</v>
          </cell>
          <cell r="AC564">
            <v>23</v>
          </cell>
          <cell r="AD564">
            <v>25</v>
          </cell>
          <cell r="AE564">
            <v>25.19</v>
          </cell>
          <cell r="AF564">
            <v>0.19015482334259637</v>
          </cell>
          <cell r="AG564">
            <v>4.7240968638348597E-2</v>
          </cell>
          <cell r="AH564">
            <v>27</v>
          </cell>
          <cell r="AI564">
            <v>27</v>
          </cell>
          <cell r="AJ564">
            <v>0.24444444444444449</v>
          </cell>
          <cell r="AK564">
            <v>27.5</v>
          </cell>
          <cell r="AL564">
            <v>28</v>
          </cell>
          <cell r="AM564">
            <v>0.27142857142857146</v>
          </cell>
          <cell r="AN564">
            <v>31.63</v>
          </cell>
          <cell r="AO564">
            <v>35.26</v>
          </cell>
          <cell r="AP564">
            <v>38.89</v>
          </cell>
          <cell r="AQ564">
            <v>0</v>
          </cell>
          <cell r="AS564">
            <v>79</v>
          </cell>
        </row>
        <row r="565">
          <cell r="B565" t="str">
            <v>AC</v>
          </cell>
          <cell r="C565" t="str">
            <v>IMP</v>
          </cell>
          <cell r="D565" t="str">
            <v>BT</v>
          </cell>
          <cell r="E565" t="str">
            <v>P3</v>
          </cell>
          <cell r="F565">
            <v>39990</v>
          </cell>
          <cell r="G565">
            <v>40001</v>
          </cell>
          <cell r="H565" t="str">
            <v>950228</v>
          </cell>
          <cell r="I565">
            <v>0</v>
          </cell>
          <cell r="J565">
            <v>0</v>
          </cell>
          <cell r="K565" t="str">
            <v>Windows Print Controller (IP-011)</v>
          </cell>
          <cell r="L565">
            <v>930</v>
          </cell>
          <cell r="M565">
            <v>65000</v>
          </cell>
          <cell r="N565">
            <v>409</v>
          </cell>
          <cell r="O565">
            <v>0</v>
          </cell>
          <cell r="P565">
            <v>66950</v>
          </cell>
          <cell r="Q565">
            <v>68900</v>
          </cell>
          <cell r="R565">
            <v>77857</v>
          </cell>
          <cell r="S565">
            <v>28</v>
          </cell>
          <cell r="T565" t="e">
            <v>#DIV/0!</v>
          </cell>
          <cell r="U565">
            <v>0</v>
          </cell>
          <cell r="V565">
            <v>0</v>
          </cell>
          <cell r="W565">
            <v>347.65</v>
          </cell>
          <cell r="X565" t="e">
            <v>#DIV/0!</v>
          </cell>
          <cell r="Y565">
            <v>1600</v>
          </cell>
          <cell r="Z565">
            <v>1000</v>
          </cell>
          <cell r="AA565">
            <v>75449</v>
          </cell>
          <cell r="AB565">
            <v>348</v>
          </cell>
          <cell r="AC565">
            <v>387</v>
          </cell>
          <cell r="AD565">
            <v>409</v>
          </cell>
          <cell r="AE565">
            <v>429.2</v>
          </cell>
          <cell r="AF565">
            <v>0.19000465983224607</v>
          </cell>
          <cell r="AG565">
            <v>4.7064305684995318E-2</v>
          </cell>
          <cell r="AH565">
            <v>439</v>
          </cell>
          <cell r="AI565">
            <v>447</v>
          </cell>
          <cell r="AJ565">
            <v>0.22225950782997769</v>
          </cell>
          <cell r="AK565">
            <v>455.5</v>
          </cell>
          <cell r="AL565">
            <v>464</v>
          </cell>
          <cell r="AM565">
            <v>0.25075431034482765</v>
          </cell>
          <cell r="AN565">
            <v>529.07000000000005</v>
          </cell>
          <cell r="AO565">
            <v>594.14</v>
          </cell>
          <cell r="AP565">
            <v>659.21</v>
          </cell>
          <cell r="AQ565">
            <v>0</v>
          </cell>
          <cell r="AS565">
            <v>930</v>
          </cell>
        </row>
        <row r="566">
          <cell r="B566" t="str">
            <v>AC</v>
          </cell>
          <cell r="C566" t="str">
            <v>IMP</v>
          </cell>
          <cell r="D566" t="str">
            <v>BT</v>
          </cell>
          <cell r="E566" t="str">
            <v>P3</v>
          </cell>
          <cell r="F566">
            <v>39990</v>
          </cell>
          <cell r="G566">
            <v>40001</v>
          </cell>
          <cell r="H566" t="str">
            <v>950233</v>
          </cell>
          <cell r="I566">
            <v>0</v>
          </cell>
          <cell r="J566" t="str">
            <v>NLA</v>
          </cell>
          <cell r="K566" t="str">
            <v>Platen Cover (must key in if no RADF (DF-314 is added) (CV109)</v>
          </cell>
          <cell r="L566">
            <v>125</v>
          </cell>
          <cell r="M566">
            <v>76000</v>
          </cell>
          <cell r="N566">
            <v>43</v>
          </cell>
          <cell r="O566">
            <v>0</v>
          </cell>
          <cell r="P566">
            <v>78280</v>
          </cell>
          <cell r="Q566">
            <v>80560</v>
          </cell>
          <cell r="R566">
            <v>91032.8</v>
          </cell>
          <cell r="S566">
            <v>74</v>
          </cell>
          <cell r="T566" t="e">
            <v>#DIV/0!</v>
          </cell>
          <cell r="U566">
            <v>0</v>
          </cell>
          <cell r="V566">
            <v>0</v>
          </cell>
          <cell r="W566">
            <v>36.549999999999997</v>
          </cell>
          <cell r="X566" t="e">
            <v>#DIV/0!</v>
          </cell>
          <cell r="Y566">
            <v>1600</v>
          </cell>
          <cell r="Z566">
            <v>1000</v>
          </cell>
          <cell r="AA566">
            <v>87786</v>
          </cell>
          <cell r="AB566">
            <v>37</v>
          </cell>
          <cell r="AC566">
            <v>41</v>
          </cell>
          <cell r="AD566">
            <v>44</v>
          </cell>
          <cell r="AE566">
            <v>45.12</v>
          </cell>
          <cell r="AF566">
            <v>0.18993794326241137</v>
          </cell>
          <cell r="AG566">
            <v>4.6985815602836822E-2</v>
          </cell>
          <cell r="AH566">
            <v>47</v>
          </cell>
          <cell r="AI566">
            <v>48</v>
          </cell>
          <cell r="AJ566">
            <v>0.23854166666666674</v>
          </cell>
          <cell r="AK566">
            <v>48.5</v>
          </cell>
          <cell r="AL566">
            <v>49</v>
          </cell>
          <cell r="AM566">
            <v>0.25408163265306127</v>
          </cell>
          <cell r="AN566">
            <v>55.79</v>
          </cell>
          <cell r="AO566">
            <v>62.58</v>
          </cell>
          <cell r="AP566">
            <v>69.37</v>
          </cell>
          <cell r="AQ566">
            <v>0</v>
          </cell>
          <cell r="AS566">
            <v>125</v>
          </cell>
        </row>
        <row r="567">
          <cell r="B567" t="str">
            <v>AC</v>
          </cell>
          <cell r="C567" t="str">
            <v>IMP</v>
          </cell>
          <cell r="D567" t="str">
            <v>BT</v>
          </cell>
          <cell r="E567" t="str">
            <v>P3</v>
          </cell>
          <cell r="F567">
            <v>39990</v>
          </cell>
          <cell r="G567">
            <v>40001</v>
          </cell>
          <cell r="H567" t="str">
            <v>950234</v>
          </cell>
          <cell r="I567">
            <v>0</v>
          </cell>
          <cell r="J567">
            <v>0</v>
          </cell>
          <cell r="K567" t="str">
            <v>RADF - Automatic Document Feeder (DF-314)</v>
          </cell>
          <cell r="L567">
            <v>1690</v>
          </cell>
          <cell r="M567">
            <v>87000</v>
          </cell>
          <cell r="N567">
            <v>570</v>
          </cell>
          <cell r="O567">
            <v>0</v>
          </cell>
          <cell r="P567">
            <v>89610</v>
          </cell>
          <cell r="Q567">
            <v>92220</v>
          </cell>
          <cell r="R567">
            <v>104208.6</v>
          </cell>
          <cell r="S567">
            <v>54</v>
          </cell>
          <cell r="T567" t="e">
            <v>#DIV/0!</v>
          </cell>
          <cell r="U567">
            <v>0</v>
          </cell>
          <cell r="V567">
            <v>0</v>
          </cell>
          <cell r="W567">
            <v>484.5</v>
          </cell>
          <cell r="X567" t="e">
            <v>#DIV/0!</v>
          </cell>
          <cell r="Y567">
            <v>1600</v>
          </cell>
          <cell r="Z567">
            <v>1000</v>
          </cell>
          <cell r="AA567">
            <v>100123</v>
          </cell>
          <cell r="AB567">
            <v>485</v>
          </cell>
          <cell r="AC567">
            <v>539</v>
          </cell>
          <cell r="AD567">
            <v>569</v>
          </cell>
          <cell r="AE567">
            <v>598.15</v>
          </cell>
          <cell r="AF567">
            <v>0.19000250773217417</v>
          </cell>
          <cell r="AG567">
            <v>4.7061773802557848E-2</v>
          </cell>
          <cell r="AH567">
            <v>611</v>
          </cell>
          <cell r="AI567">
            <v>623</v>
          </cell>
          <cell r="AJ567">
            <v>0.22231139646869985</v>
          </cell>
          <cell r="AK567">
            <v>634.5</v>
          </cell>
          <cell r="AL567">
            <v>646</v>
          </cell>
          <cell r="AM567">
            <v>0.25</v>
          </cell>
          <cell r="AN567">
            <v>736.84</v>
          </cell>
          <cell r="AO567">
            <v>827.68</v>
          </cell>
          <cell r="AP567">
            <v>918.52</v>
          </cell>
          <cell r="AQ567">
            <v>0</v>
          </cell>
          <cell r="AS567">
            <v>1690</v>
          </cell>
        </row>
        <row r="568">
          <cell r="B568" t="str">
            <v>AC</v>
          </cell>
          <cell r="C568" t="str">
            <v>IMP</v>
          </cell>
          <cell r="D568" t="str">
            <v>BT</v>
          </cell>
          <cell r="E568" t="str">
            <v>P3</v>
          </cell>
          <cell r="F568">
            <v>39990</v>
          </cell>
          <cell r="G568">
            <v>40001</v>
          </cell>
          <cell r="H568" t="str">
            <v>950235</v>
          </cell>
          <cell r="I568" t="str">
            <v>3KDBKHB694069M00</v>
          </cell>
          <cell r="J568" t="str">
            <v>KHB694069M00</v>
          </cell>
          <cell r="K568" t="str">
            <v>Ethernet Network I/F Card for IP-011 (KN-304)</v>
          </cell>
          <cell r="L568">
            <v>525</v>
          </cell>
          <cell r="M568">
            <v>6000</v>
          </cell>
          <cell r="N568">
            <v>283</v>
          </cell>
          <cell r="O568">
            <v>0</v>
          </cell>
          <cell r="P568">
            <v>6180</v>
          </cell>
          <cell r="Q568">
            <v>6360</v>
          </cell>
          <cell r="R568">
            <v>7186.8</v>
          </cell>
          <cell r="S568">
            <v>35.5</v>
          </cell>
          <cell r="T568" t="e">
            <v>#DIV/0!</v>
          </cell>
          <cell r="U568">
            <v>0</v>
          </cell>
          <cell r="V568">
            <v>0</v>
          </cell>
          <cell r="W568">
            <v>240.54999999999998</v>
          </cell>
          <cell r="X568" t="e">
            <v>#DIV/0!</v>
          </cell>
          <cell r="Y568">
            <v>0</v>
          </cell>
          <cell r="Z568">
            <v>0</v>
          </cell>
          <cell r="AA568">
            <v>7297</v>
          </cell>
          <cell r="AB568">
            <v>241</v>
          </cell>
          <cell r="AC568">
            <v>268</v>
          </cell>
          <cell r="AD568">
            <v>283</v>
          </cell>
          <cell r="AE568">
            <v>296.98</v>
          </cell>
          <cell r="AF568">
            <v>0.19001279547444283</v>
          </cell>
          <cell r="AG568">
            <v>4.7073877028756206E-2</v>
          </cell>
          <cell r="AH568">
            <v>303</v>
          </cell>
          <cell r="AI568">
            <v>309</v>
          </cell>
          <cell r="AJ568">
            <v>0.22152103559870556</v>
          </cell>
          <cell r="AK568">
            <v>315</v>
          </cell>
          <cell r="AL568">
            <v>321</v>
          </cell>
          <cell r="AM568">
            <v>0.2506230529595016</v>
          </cell>
          <cell r="AN568">
            <v>366.04</v>
          </cell>
          <cell r="AO568">
            <v>411.08</v>
          </cell>
          <cell r="AP568">
            <v>456.12</v>
          </cell>
          <cell r="AQ568">
            <v>0</v>
          </cell>
          <cell r="AS568">
            <v>525</v>
          </cell>
        </row>
        <row r="569">
          <cell r="B569" t="str">
            <v>AC</v>
          </cell>
          <cell r="C569" t="str">
            <v>IMP</v>
          </cell>
          <cell r="D569" t="str">
            <v>BT</v>
          </cell>
          <cell r="E569" t="str">
            <v>P3</v>
          </cell>
          <cell r="F569">
            <v>39990</v>
          </cell>
          <cell r="G569">
            <v>40001</v>
          </cell>
          <cell r="H569" t="str">
            <v>950242</v>
          </cell>
          <cell r="I569" t="str">
            <v>3KDBKHB694070M00</v>
          </cell>
          <cell r="J569" t="str">
            <v>KHB694070M00</v>
          </cell>
          <cell r="K569" t="str">
            <v>IP-422 Print Controller (network card included)</v>
          </cell>
          <cell r="L569">
            <v>1350</v>
          </cell>
          <cell r="M569">
            <v>12000</v>
          </cell>
          <cell r="N569">
            <v>320</v>
          </cell>
          <cell r="O569">
            <v>0</v>
          </cell>
          <cell r="P569">
            <v>12360</v>
          </cell>
          <cell r="Q569">
            <v>12720</v>
          </cell>
          <cell r="R569">
            <v>14373.6</v>
          </cell>
          <cell r="S569">
            <v>1507.3</v>
          </cell>
          <cell r="T569" t="e">
            <v>#DIV/0!</v>
          </cell>
          <cell r="U569">
            <v>0</v>
          </cell>
          <cell r="V569">
            <v>0</v>
          </cell>
          <cell r="W569">
            <v>272</v>
          </cell>
          <cell r="X569" t="e">
            <v>#DIV/0!</v>
          </cell>
          <cell r="Y569">
            <v>0</v>
          </cell>
          <cell r="Z569">
            <v>0</v>
          </cell>
          <cell r="AA569">
            <v>14594</v>
          </cell>
          <cell r="AB569">
            <v>272</v>
          </cell>
          <cell r="AC569">
            <v>303</v>
          </cell>
          <cell r="AD569">
            <v>320</v>
          </cell>
          <cell r="AE569">
            <v>335.8</v>
          </cell>
          <cell r="AF569">
            <v>0.18999404407385351</v>
          </cell>
          <cell r="AG569">
            <v>4.7051816557474722E-2</v>
          </cell>
          <cell r="AH569">
            <v>343</v>
          </cell>
          <cell r="AI569">
            <v>350</v>
          </cell>
          <cell r="AJ569">
            <v>0.22285714285714286</v>
          </cell>
          <cell r="AK569">
            <v>356.5</v>
          </cell>
          <cell r="AL569">
            <v>363</v>
          </cell>
          <cell r="AM569">
            <v>0.25068870523415976</v>
          </cell>
          <cell r="AN569">
            <v>413.92</v>
          </cell>
          <cell r="AO569">
            <v>464.84</v>
          </cell>
          <cell r="AP569">
            <v>515.76</v>
          </cell>
          <cell r="AQ569">
            <v>0</v>
          </cell>
          <cell r="AS569">
            <v>1350</v>
          </cell>
        </row>
        <row r="570">
          <cell r="B570" t="str">
            <v>AC</v>
          </cell>
          <cell r="C570" t="str">
            <v>IMP</v>
          </cell>
          <cell r="D570" t="str">
            <v>BT</v>
          </cell>
          <cell r="E570" t="str">
            <v>P3</v>
          </cell>
          <cell r="F570">
            <v>39990</v>
          </cell>
          <cell r="G570">
            <v>40001</v>
          </cell>
          <cell r="H570" t="str">
            <v>950243</v>
          </cell>
          <cell r="I570" t="str">
            <v>3KDBKHB694071M00</v>
          </cell>
          <cell r="J570" t="str">
            <v>KHB694071 M00</v>
          </cell>
          <cell r="K570" t="str">
            <v>PS Kit for IP-422 (PS-343)</v>
          </cell>
          <cell r="L570">
            <v>650</v>
          </cell>
          <cell r="M570">
            <v>12000</v>
          </cell>
          <cell r="N570">
            <v>286</v>
          </cell>
          <cell r="O570">
            <v>0</v>
          </cell>
          <cell r="P570">
            <v>12360</v>
          </cell>
          <cell r="Q570">
            <v>12720</v>
          </cell>
          <cell r="R570">
            <v>14373.6</v>
          </cell>
          <cell r="S570">
            <v>1656.9</v>
          </cell>
          <cell r="T570" t="e">
            <v>#DIV/0!</v>
          </cell>
          <cell r="U570">
            <v>0</v>
          </cell>
          <cell r="V570">
            <v>0</v>
          </cell>
          <cell r="W570">
            <v>243.1</v>
          </cell>
          <cell r="X570" t="e">
            <v>#DIV/0!</v>
          </cell>
          <cell r="Y570">
            <v>0</v>
          </cell>
          <cell r="Z570">
            <v>0</v>
          </cell>
          <cell r="AA570">
            <v>14594</v>
          </cell>
          <cell r="AB570">
            <v>244</v>
          </cell>
          <cell r="AC570">
            <v>271</v>
          </cell>
          <cell r="AD570">
            <v>286</v>
          </cell>
          <cell r="AE570">
            <v>300.12</v>
          </cell>
          <cell r="AF570">
            <v>0.18999067039850728</v>
          </cell>
          <cell r="AG570">
            <v>4.7047847527655617E-2</v>
          </cell>
          <cell r="AH570">
            <v>307</v>
          </cell>
          <cell r="AI570">
            <v>313</v>
          </cell>
          <cell r="AJ570">
            <v>0.22332268370607031</v>
          </cell>
          <cell r="AK570">
            <v>319</v>
          </cell>
          <cell r="AL570">
            <v>325</v>
          </cell>
          <cell r="AM570">
            <v>0.252</v>
          </cell>
          <cell r="AN570">
            <v>370.36</v>
          </cell>
          <cell r="AO570">
            <v>415.72</v>
          </cell>
          <cell r="AP570">
            <v>461.08</v>
          </cell>
          <cell r="AQ570">
            <v>0</v>
          </cell>
          <cell r="AS570">
            <v>650</v>
          </cell>
        </row>
        <row r="571">
          <cell r="B571" t="str">
            <v>AC</v>
          </cell>
          <cell r="C571" t="str">
            <v>IMP</v>
          </cell>
          <cell r="D571" t="str">
            <v>BT</v>
          </cell>
          <cell r="E571" t="str">
            <v>P3</v>
          </cell>
          <cell r="F571">
            <v>39990</v>
          </cell>
          <cell r="G571">
            <v>40001</v>
          </cell>
          <cell r="H571" t="str">
            <v>950244</v>
          </cell>
          <cell r="I571" t="str">
            <v>3KDBKHB694072M00</v>
          </cell>
          <cell r="J571" t="str">
            <v>KHB694072M00</v>
          </cell>
          <cell r="K571" t="str">
            <v>Fax Kit (FK-102) DNU - NO LONGER AVAILABLE</v>
          </cell>
          <cell r="L571">
            <v>1190</v>
          </cell>
          <cell r="M571">
            <v>12000</v>
          </cell>
          <cell r="N571">
            <v>544</v>
          </cell>
          <cell r="O571">
            <v>0</v>
          </cell>
          <cell r="P571">
            <v>12360</v>
          </cell>
          <cell r="Q571">
            <v>12720</v>
          </cell>
          <cell r="R571">
            <v>14373.6</v>
          </cell>
          <cell r="T571" t="e">
            <v>#DIV/0!</v>
          </cell>
          <cell r="U571">
            <v>0</v>
          </cell>
          <cell r="V571">
            <v>0</v>
          </cell>
          <cell r="W571">
            <v>462.4</v>
          </cell>
          <cell r="X571" t="e">
            <v>#DIV/0!</v>
          </cell>
          <cell r="Y571">
            <v>0</v>
          </cell>
          <cell r="Z571">
            <v>0</v>
          </cell>
          <cell r="AA571">
            <v>14594</v>
          </cell>
          <cell r="AB571">
            <v>463</v>
          </cell>
          <cell r="AC571">
            <v>514</v>
          </cell>
          <cell r="AD571">
            <v>543</v>
          </cell>
          <cell r="AE571">
            <v>570.86</v>
          </cell>
          <cell r="AF571">
            <v>0.18999404407385354</v>
          </cell>
          <cell r="AG571">
            <v>4.7051816557474709E-2</v>
          </cell>
          <cell r="AH571">
            <v>583</v>
          </cell>
          <cell r="AI571">
            <v>594</v>
          </cell>
          <cell r="AJ571">
            <v>0.22154882154882158</v>
          </cell>
          <cell r="AK571">
            <v>605.5</v>
          </cell>
          <cell r="AL571">
            <v>617</v>
          </cell>
          <cell r="AM571">
            <v>0.25056726094003245</v>
          </cell>
          <cell r="AN571">
            <v>703.58</v>
          </cell>
          <cell r="AO571">
            <v>790.16</v>
          </cell>
          <cell r="AP571">
            <v>876.74</v>
          </cell>
          <cell r="AQ571">
            <v>0</v>
          </cell>
          <cell r="AS571">
            <v>1190</v>
          </cell>
        </row>
        <row r="572">
          <cell r="B572" t="str">
            <v>AC</v>
          </cell>
          <cell r="C572" t="str">
            <v>IMP</v>
          </cell>
          <cell r="D572" t="str">
            <v>BT</v>
          </cell>
          <cell r="E572" t="str">
            <v>P3</v>
          </cell>
          <cell r="F572">
            <v>39990</v>
          </cell>
          <cell r="G572">
            <v>40001</v>
          </cell>
          <cell r="H572" t="str">
            <v>950245</v>
          </cell>
          <cell r="I572" t="str">
            <v>3KDBKHB694074M00</v>
          </cell>
          <cell r="J572" t="str">
            <v>KHB694074M00</v>
          </cell>
          <cell r="K572" t="str">
            <v>Fax Line Option (FL-102)</v>
          </cell>
          <cell r="L572">
            <v>700</v>
          </cell>
          <cell r="M572">
            <v>12000</v>
          </cell>
          <cell r="N572">
            <v>323</v>
          </cell>
          <cell r="O572">
            <v>0</v>
          </cell>
          <cell r="P572">
            <v>12360</v>
          </cell>
          <cell r="Q572">
            <v>12720</v>
          </cell>
          <cell r="R572">
            <v>14373.6</v>
          </cell>
          <cell r="T572" t="e">
            <v>#DIV/0!</v>
          </cell>
          <cell r="U572">
            <v>0</v>
          </cell>
          <cell r="V572">
            <v>0</v>
          </cell>
          <cell r="W572">
            <v>274.55</v>
          </cell>
          <cell r="X572" t="e">
            <v>#DIV/0!</v>
          </cell>
          <cell r="Y572">
            <v>0</v>
          </cell>
          <cell r="Z572">
            <v>0</v>
          </cell>
          <cell r="AA572">
            <v>14594</v>
          </cell>
          <cell r="AB572">
            <v>275</v>
          </cell>
          <cell r="AC572">
            <v>306</v>
          </cell>
          <cell r="AD572">
            <v>323</v>
          </cell>
          <cell r="AE572">
            <v>338.95</v>
          </cell>
          <cell r="AF572">
            <v>0.18999852485617341</v>
          </cell>
          <cell r="AG572">
            <v>4.7057088066086411E-2</v>
          </cell>
          <cell r="AH572">
            <v>346</v>
          </cell>
          <cell r="AI572">
            <v>353</v>
          </cell>
          <cell r="AJ572">
            <v>0.22223796033994331</v>
          </cell>
          <cell r="AK572">
            <v>360</v>
          </cell>
          <cell r="AL572">
            <v>367</v>
          </cell>
          <cell r="AM572">
            <v>0.25190735694822886</v>
          </cell>
          <cell r="AN572">
            <v>418.24</v>
          </cell>
          <cell r="AO572">
            <v>469.48</v>
          </cell>
          <cell r="AP572">
            <v>520.72</v>
          </cell>
          <cell r="AQ572">
            <v>0</v>
          </cell>
          <cell r="AS572">
            <v>700</v>
          </cell>
        </row>
        <row r="573">
          <cell r="B573" t="str">
            <v>AC</v>
          </cell>
          <cell r="C573" t="str">
            <v>IMP</v>
          </cell>
          <cell r="D573" t="str">
            <v>BT</v>
          </cell>
          <cell r="E573" t="str">
            <v>P3</v>
          </cell>
          <cell r="F573">
            <v>39990</v>
          </cell>
          <cell r="G573">
            <v>40001</v>
          </cell>
          <cell r="H573" t="str">
            <v>950249</v>
          </cell>
          <cell r="I573" t="str">
            <v>3KDEXCABKITG</v>
          </cell>
          <cell r="J573" t="str">
            <v>KHB694149A00</v>
          </cell>
          <cell r="K573" t="str">
            <v>64MB Memory for IP-422 (MU-411)</v>
          </cell>
          <cell r="L573">
            <v>185</v>
          </cell>
          <cell r="M573">
            <v>5406</v>
          </cell>
          <cell r="N573">
            <v>80</v>
          </cell>
          <cell r="O573">
            <v>0</v>
          </cell>
          <cell r="P573">
            <v>5568.18</v>
          </cell>
          <cell r="Q573">
            <v>5730.36</v>
          </cell>
          <cell r="R573">
            <v>6475.31</v>
          </cell>
          <cell r="T573" t="e">
            <v>#DIV/0!</v>
          </cell>
          <cell r="U573">
            <v>0</v>
          </cell>
          <cell r="V573">
            <v>0</v>
          </cell>
          <cell r="W573">
            <v>68</v>
          </cell>
          <cell r="X573" t="e">
            <v>#DIV/0!</v>
          </cell>
          <cell r="Y573">
            <v>0</v>
          </cell>
          <cell r="Z573">
            <v>0</v>
          </cell>
          <cell r="AA573">
            <v>6574</v>
          </cell>
          <cell r="AB573">
            <v>68</v>
          </cell>
          <cell r="AC573">
            <v>76</v>
          </cell>
          <cell r="AD573">
            <v>80</v>
          </cell>
          <cell r="AE573">
            <v>83.95</v>
          </cell>
          <cell r="AF573">
            <v>0.18999404407385351</v>
          </cell>
          <cell r="AG573">
            <v>4.7051816557474722E-2</v>
          </cell>
          <cell r="AH573">
            <v>86</v>
          </cell>
          <cell r="AI573">
            <v>88</v>
          </cell>
          <cell r="AJ573">
            <v>0.22727272727272727</v>
          </cell>
          <cell r="AK573">
            <v>89.5</v>
          </cell>
          <cell r="AL573">
            <v>91</v>
          </cell>
          <cell r="AM573">
            <v>0.25274725274725274</v>
          </cell>
          <cell r="AN573">
            <v>103.67</v>
          </cell>
          <cell r="AO573">
            <v>116.34</v>
          </cell>
          <cell r="AP573">
            <v>129.01</v>
          </cell>
          <cell r="AQ573">
            <v>0</v>
          </cell>
          <cell r="AS573">
            <v>185</v>
          </cell>
        </row>
        <row r="574">
          <cell r="B574" t="str">
            <v>AC</v>
          </cell>
          <cell r="C574" t="str">
            <v>IMP</v>
          </cell>
          <cell r="D574" t="str">
            <v>BT</v>
          </cell>
          <cell r="E574" t="str">
            <v>P3</v>
          </cell>
          <cell r="F574">
            <v>39990</v>
          </cell>
          <cell r="G574">
            <v>40001</v>
          </cell>
          <cell r="H574" t="str">
            <v>950255</v>
          </cell>
          <cell r="I574" t="str">
            <v>6KDEXFING_N</v>
          </cell>
          <cell r="J574" t="str">
            <v>KHB694151A00</v>
          </cell>
          <cell r="K574" t="str">
            <v>Internal Exit Tray (IT-101)</v>
          </cell>
          <cell r="L574">
            <v>315</v>
          </cell>
          <cell r="M574">
            <v>15792</v>
          </cell>
          <cell r="N574">
            <v>135</v>
          </cell>
          <cell r="O574">
            <v>0</v>
          </cell>
          <cell r="P574">
            <v>16265.76</v>
          </cell>
          <cell r="Q574">
            <v>16739.52</v>
          </cell>
          <cell r="R574">
            <v>18915.66</v>
          </cell>
          <cell r="T574" t="e">
            <v>#DIV/0!</v>
          </cell>
          <cell r="U574">
            <v>0</v>
          </cell>
          <cell r="V574">
            <v>0</v>
          </cell>
          <cell r="W574">
            <v>114.75</v>
          </cell>
          <cell r="X574" t="e">
            <v>#DIV/0!</v>
          </cell>
          <cell r="Y574">
            <v>0</v>
          </cell>
          <cell r="Z574">
            <v>0</v>
          </cell>
          <cell r="AA574">
            <v>19205</v>
          </cell>
          <cell r="AB574">
            <v>115</v>
          </cell>
          <cell r="AC574">
            <v>128</v>
          </cell>
          <cell r="AD574">
            <v>135</v>
          </cell>
          <cell r="AE574">
            <v>141.66999999999999</v>
          </cell>
          <cell r="AF574">
            <v>0.19001905837509697</v>
          </cell>
          <cell r="AG574">
            <v>4.708124514717292E-2</v>
          </cell>
          <cell r="AH574">
            <v>145</v>
          </cell>
          <cell r="AI574">
            <v>148</v>
          </cell>
          <cell r="AJ574">
            <v>0.22466216216216217</v>
          </cell>
          <cell r="AK574">
            <v>150.5</v>
          </cell>
          <cell r="AL574">
            <v>153</v>
          </cell>
          <cell r="AM574">
            <v>0.25</v>
          </cell>
          <cell r="AN574">
            <v>174.52</v>
          </cell>
          <cell r="AO574">
            <v>196.04</v>
          </cell>
          <cell r="AP574">
            <v>217.56</v>
          </cell>
          <cell r="AQ574">
            <v>0</v>
          </cell>
          <cell r="AS574">
            <v>315</v>
          </cell>
        </row>
        <row r="575">
          <cell r="B575" t="str">
            <v>AC</v>
          </cell>
          <cell r="C575" t="str">
            <v>IMP</v>
          </cell>
          <cell r="D575" t="str">
            <v>BT</v>
          </cell>
          <cell r="E575" t="str">
            <v>P3</v>
          </cell>
          <cell r="F575">
            <v>39990</v>
          </cell>
          <cell r="G575">
            <v>40001</v>
          </cell>
          <cell r="H575" t="str">
            <v>950265</v>
          </cell>
          <cell r="I575" t="str">
            <v>4KDU45SCSG</v>
          </cell>
          <cell r="J575" t="str">
            <v>KHB694161A00</v>
          </cell>
          <cell r="K575" t="str">
            <v>Platen Cover (Must be keyed in if DF-217 not ordered) (CV-117)</v>
          </cell>
          <cell r="L575">
            <v>82</v>
          </cell>
          <cell r="M575">
            <v>21041</v>
          </cell>
          <cell r="N575">
            <v>36</v>
          </cell>
          <cell r="O575">
            <v>0</v>
          </cell>
          <cell r="P575">
            <v>21672.23</v>
          </cell>
          <cell r="Q575">
            <v>22303.46</v>
          </cell>
          <cell r="R575">
            <v>25202.91</v>
          </cell>
          <cell r="S575">
            <v>634.79999999999995</v>
          </cell>
          <cell r="T575" t="e">
            <v>#DIV/0!</v>
          </cell>
          <cell r="U575">
            <v>0</v>
          </cell>
          <cell r="V575">
            <v>0</v>
          </cell>
          <cell r="W575">
            <v>30.599999999999998</v>
          </cell>
          <cell r="X575" t="e">
            <v>#DIV/0!</v>
          </cell>
          <cell r="Y575">
            <v>0</v>
          </cell>
          <cell r="Z575">
            <v>0</v>
          </cell>
          <cell r="AA575">
            <v>23599</v>
          </cell>
          <cell r="AB575">
            <v>31</v>
          </cell>
          <cell r="AC575">
            <v>34</v>
          </cell>
          <cell r="AD575">
            <v>36</v>
          </cell>
          <cell r="AE575">
            <v>37.78</v>
          </cell>
          <cell r="AF575">
            <v>0.19004764425622031</v>
          </cell>
          <cell r="AG575">
            <v>4.7114875595553232E-2</v>
          </cell>
          <cell r="AH575">
            <v>39</v>
          </cell>
          <cell r="AI575">
            <v>40</v>
          </cell>
          <cell r="AJ575">
            <v>0.23500000000000004</v>
          </cell>
          <cell r="AK575">
            <v>40.5</v>
          </cell>
          <cell r="AL575">
            <v>41</v>
          </cell>
          <cell r="AM575">
            <v>0.25365853658536591</v>
          </cell>
          <cell r="AN575">
            <v>46.69</v>
          </cell>
          <cell r="AO575">
            <v>52.38</v>
          </cell>
          <cell r="AP575">
            <v>58.07</v>
          </cell>
          <cell r="AQ575">
            <v>0</v>
          </cell>
          <cell r="AS575">
            <v>82</v>
          </cell>
        </row>
        <row r="576">
          <cell r="B576" t="str">
            <v>AC</v>
          </cell>
          <cell r="C576" t="str">
            <v>IMP</v>
          </cell>
          <cell r="D576" t="str">
            <v>BT</v>
          </cell>
          <cell r="E576" t="str">
            <v>P3</v>
          </cell>
          <cell r="F576">
            <v>39990</v>
          </cell>
          <cell r="G576">
            <v>40001</v>
          </cell>
          <cell r="H576" t="str">
            <v>950266</v>
          </cell>
          <cell r="I576" t="str">
            <v>3KDBKHB694045M00</v>
          </cell>
          <cell r="J576" t="str">
            <v>KHB694045A00</v>
          </cell>
          <cell r="K576" t="str">
            <v>Automatic Document Feeder (DF-217)</v>
          </cell>
          <cell r="L576">
            <v>600</v>
          </cell>
          <cell r="M576">
            <v>0</v>
          </cell>
          <cell r="N576">
            <v>247</v>
          </cell>
          <cell r="O576" t="e">
            <v>#DIV/0!</v>
          </cell>
          <cell r="P576">
            <v>0</v>
          </cell>
          <cell r="Q576">
            <v>0</v>
          </cell>
          <cell r="R576">
            <v>0</v>
          </cell>
          <cell r="S576">
            <v>628.5</v>
          </cell>
          <cell r="T576" t="e">
            <v>#DIV/0!</v>
          </cell>
          <cell r="U576">
            <v>0</v>
          </cell>
          <cell r="V576">
            <v>0</v>
          </cell>
          <cell r="W576">
            <v>209.95</v>
          </cell>
          <cell r="X576" t="e">
            <v>#DIV/0!</v>
          </cell>
          <cell r="Y576">
            <v>0</v>
          </cell>
          <cell r="Z576">
            <v>0</v>
          </cell>
          <cell r="AA576">
            <v>0</v>
          </cell>
          <cell r="AB576">
            <v>210</v>
          </cell>
          <cell r="AC576">
            <v>234</v>
          </cell>
          <cell r="AD576">
            <v>247</v>
          </cell>
          <cell r="AE576">
            <v>259.2</v>
          </cell>
          <cell r="AF576">
            <v>0.19000771604938271</v>
          </cell>
          <cell r="AG576">
            <v>4.706790123456786E-2</v>
          </cell>
          <cell r="AH576">
            <v>265</v>
          </cell>
          <cell r="AI576">
            <v>270</v>
          </cell>
          <cell r="AJ576">
            <v>0.22240740740740744</v>
          </cell>
          <cell r="AK576">
            <v>275</v>
          </cell>
          <cell r="AL576">
            <v>280</v>
          </cell>
          <cell r="AM576">
            <v>0.25017857142857147</v>
          </cell>
          <cell r="AN576">
            <v>319.35000000000002</v>
          </cell>
          <cell r="AO576">
            <v>358.7</v>
          </cell>
          <cell r="AP576">
            <v>398.05</v>
          </cell>
          <cell r="AQ576">
            <v>0</v>
          </cell>
          <cell r="AS576">
            <v>600</v>
          </cell>
        </row>
        <row r="577">
          <cell r="B577" t="str">
            <v>AC</v>
          </cell>
          <cell r="C577" t="str">
            <v>IMP</v>
          </cell>
          <cell r="D577" t="str">
            <v>BT</v>
          </cell>
          <cell r="E577" t="str">
            <v>P3</v>
          </cell>
          <cell r="F577">
            <v>39990</v>
          </cell>
          <cell r="G577">
            <v>40001</v>
          </cell>
          <cell r="H577" t="str">
            <v>950267</v>
          </cell>
          <cell r="I577" t="str">
            <v>3KMH7640002580</v>
          </cell>
          <cell r="J577" t="str">
            <v>KCA10354</v>
          </cell>
          <cell r="K577" t="str">
            <v>275 sheet Paper Feed Unit (PF-121)</v>
          </cell>
          <cell r="L577">
            <v>335</v>
          </cell>
          <cell r="M577">
            <v>542.72</v>
          </cell>
          <cell r="N577">
            <v>143</v>
          </cell>
          <cell r="O577">
            <v>0</v>
          </cell>
          <cell r="P577">
            <v>559</v>
          </cell>
          <cell r="Q577">
            <v>575.28</v>
          </cell>
          <cell r="R577">
            <v>650.07000000000005</v>
          </cell>
          <cell r="S577">
            <v>76.2</v>
          </cell>
          <cell r="T577" t="e">
            <v>#DIV/0!</v>
          </cell>
          <cell r="U577">
            <v>0</v>
          </cell>
          <cell r="V577">
            <v>0</v>
          </cell>
          <cell r="W577">
            <v>121.55</v>
          </cell>
          <cell r="X577" t="e">
            <v>#DIV/0!</v>
          </cell>
          <cell r="Y577">
            <v>0</v>
          </cell>
          <cell r="Z577">
            <v>0</v>
          </cell>
          <cell r="AA577">
            <v>660</v>
          </cell>
          <cell r="AB577">
            <v>122</v>
          </cell>
          <cell r="AC577">
            <v>136</v>
          </cell>
          <cell r="AD577">
            <v>144</v>
          </cell>
          <cell r="AE577">
            <v>150.06</v>
          </cell>
          <cell r="AF577">
            <v>0.18999067039850728</v>
          </cell>
          <cell r="AG577">
            <v>4.7047847527655617E-2</v>
          </cell>
          <cell r="AH577">
            <v>154</v>
          </cell>
          <cell r="AI577">
            <v>157</v>
          </cell>
          <cell r="AJ577">
            <v>0.22579617834394905</v>
          </cell>
          <cell r="AK577">
            <v>160</v>
          </cell>
          <cell r="AL577">
            <v>163</v>
          </cell>
          <cell r="AM577">
            <v>0.25429447852760739</v>
          </cell>
          <cell r="AN577">
            <v>185.56</v>
          </cell>
          <cell r="AO577">
            <v>208.12</v>
          </cell>
          <cell r="AP577">
            <v>230.68</v>
          </cell>
          <cell r="AQ577">
            <v>0</v>
          </cell>
          <cell r="AS577">
            <v>335</v>
          </cell>
        </row>
        <row r="578">
          <cell r="B578" t="str">
            <v>AC</v>
          </cell>
          <cell r="C578" t="str">
            <v>IMP</v>
          </cell>
          <cell r="D578" t="str">
            <v>BT</v>
          </cell>
          <cell r="E578" t="str">
            <v>P3</v>
          </cell>
          <cell r="F578">
            <v>39990</v>
          </cell>
          <cell r="G578">
            <v>40001</v>
          </cell>
          <cell r="H578" t="str">
            <v>950268</v>
          </cell>
          <cell r="I578" t="str">
            <v xml:space="preserve">3HBBKCA14735   </v>
          </cell>
          <cell r="J578" t="str">
            <v>KCA14735</v>
          </cell>
          <cell r="K578" t="str">
            <v>50 sheet Multi Bypass Tray (MT-102)</v>
          </cell>
          <cell r="L578">
            <v>197</v>
          </cell>
          <cell r="M578">
            <v>3960</v>
          </cell>
          <cell r="N578">
            <v>104</v>
          </cell>
          <cell r="O578">
            <v>0</v>
          </cell>
          <cell r="P578">
            <v>4078.8</v>
          </cell>
          <cell r="Q578">
            <v>4197.6000000000004</v>
          </cell>
          <cell r="R578">
            <v>4743.29</v>
          </cell>
          <cell r="S578">
            <v>152.4</v>
          </cell>
          <cell r="T578" t="e">
            <v>#DIV/0!</v>
          </cell>
          <cell r="U578">
            <v>0</v>
          </cell>
          <cell r="V578">
            <v>0</v>
          </cell>
          <cell r="W578">
            <v>88.399999999999991</v>
          </cell>
          <cell r="X578" t="e">
            <v>#DIV/0!</v>
          </cell>
          <cell r="Y578">
            <v>0</v>
          </cell>
          <cell r="Z578">
            <v>0</v>
          </cell>
          <cell r="AA578">
            <v>4816</v>
          </cell>
          <cell r="AB578">
            <v>89</v>
          </cell>
          <cell r="AC578">
            <v>99</v>
          </cell>
          <cell r="AD578">
            <v>105</v>
          </cell>
          <cell r="AE578">
            <v>109.14</v>
          </cell>
          <cell r="AF578">
            <v>0.19003115264797515</v>
          </cell>
          <cell r="AG578">
            <v>4.7095473703500097E-2</v>
          </cell>
          <cell r="AH578">
            <v>112</v>
          </cell>
          <cell r="AI578">
            <v>114</v>
          </cell>
          <cell r="AJ578">
            <v>0.22456140350877202</v>
          </cell>
          <cell r="AK578">
            <v>116</v>
          </cell>
          <cell r="AL578">
            <v>118</v>
          </cell>
          <cell r="AM578">
            <v>0.25084745762711874</v>
          </cell>
          <cell r="AN578">
            <v>134.54</v>
          </cell>
          <cell r="AO578">
            <v>151.08000000000001</v>
          </cell>
          <cell r="AP578">
            <v>167.62</v>
          </cell>
          <cell r="AQ578">
            <v>0</v>
          </cell>
          <cell r="AS578">
            <v>197</v>
          </cell>
        </row>
        <row r="579">
          <cell r="B579" t="str">
            <v>AC</v>
          </cell>
          <cell r="C579" t="str">
            <v>IMP</v>
          </cell>
          <cell r="D579" t="str">
            <v>BT</v>
          </cell>
          <cell r="E579" t="str">
            <v>P3</v>
          </cell>
          <cell r="F579">
            <v>39990</v>
          </cell>
          <cell r="G579">
            <v>40001</v>
          </cell>
          <cell r="H579" t="str">
            <v>950269</v>
          </cell>
          <cell r="I579" t="str">
            <v>3HBBKCA14736</v>
          </cell>
          <cell r="J579" t="str">
            <v>KCA14736</v>
          </cell>
          <cell r="K579" t="str">
            <v>2 bin Job Tray/Job Seperator (IT-102)</v>
          </cell>
          <cell r="L579">
            <v>200</v>
          </cell>
          <cell r="M579">
            <v>5280</v>
          </cell>
          <cell r="N579">
            <v>84</v>
          </cell>
          <cell r="O579">
            <v>0</v>
          </cell>
          <cell r="P579">
            <v>5438.4</v>
          </cell>
          <cell r="Q579">
            <v>5596.8</v>
          </cell>
          <cell r="R579">
            <v>6324.38</v>
          </cell>
          <cell r="S579">
            <v>304.8</v>
          </cell>
          <cell r="T579" t="e">
            <v>#DIV/0!</v>
          </cell>
          <cell r="U579">
            <v>0</v>
          </cell>
          <cell r="V579">
            <v>0</v>
          </cell>
          <cell r="W579">
            <v>71.399999999999991</v>
          </cell>
          <cell r="X579" t="e">
            <v>#DIV/0!</v>
          </cell>
          <cell r="Y579">
            <v>0</v>
          </cell>
          <cell r="Z579">
            <v>0</v>
          </cell>
          <cell r="AA579">
            <v>6421</v>
          </cell>
          <cell r="AB579">
            <v>72</v>
          </cell>
          <cell r="AC579">
            <v>80</v>
          </cell>
          <cell r="AD579">
            <v>85</v>
          </cell>
          <cell r="AE579">
            <v>88.15</v>
          </cell>
          <cell r="AF579">
            <v>0.19001701644923441</v>
          </cell>
          <cell r="AG579">
            <v>4.7078842881452129E-2</v>
          </cell>
          <cell r="AH579">
            <v>91</v>
          </cell>
          <cell r="AI579">
            <v>93</v>
          </cell>
          <cell r="AJ579">
            <v>0.23225806451612913</v>
          </cell>
          <cell r="AK579">
            <v>94.5</v>
          </cell>
          <cell r="AL579">
            <v>96</v>
          </cell>
          <cell r="AM579">
            <v>0.25625000000000009</v>
          </cell>
          <cell r="AN579">
            <v>109.19</v>
          </cell>
          <cell r="AO579">
            <v>122.38</v>
          </cell>
          <cell r="AP579">
            <v>135.57</v>
          </cell>
          <cell r="AQ579">
            <v>0</v>
          </cell>
          <cell r="AS579">
            <v>200</v>
          </cell>
        </row>
        <row r="580">
          <cell r="B580" t="str">
            <v>AC</v>
          </cell>
          <cell r="C580" t="str">
            <v>IMP</v>
          </cell>
          <cell r="D580" t="str">
            <v>BT</v>
          </cell>
          <cell r="E580" t="str">
            <v>P3</v>
          </cell>
          <cell r="F580">
            <v>39990</v>
          </cell>
          <cell r="G580">
            <v>40001</v>
          </cell>
          <cell r="H580" t="str">
            <v>950270</v>
          </cell>
          <cell r="I580" t="str">
            <v>3HBBKCA14737</v>
          </cell>
          <cell r="J580" t="str">
            <v>KCA14737</v>
          </cell>
          <cell r="K580" t="str">
            <v>Sorter / Shifting Unit (IS-101)</v>
          </cell>
          <cell r="L580">
            <v>300</v>
          </cell>
          <cell r="M580">
            <v>6600</v>
          </cell>
          <cell r="N580">
            <v>120</v>
          </cell>
          <cell r="O580">
            <v>0</v>
          </cell>
          <cell r="P580">
            <v>6798</v>
          </cell>
          <cell r="Q580">
            <v>6996</v>
          </cell>
          <cell r="R580">
            <v>7905.48</v>
          </cell>
          <cell r="T580" t="e">
            <v>#DIV/0!</v>
          </cell>
          <cell r="U580">
            <v>0</v>
          </cell>
          <cell r="V580">
            <v>0</v>
          </cell>
          <cell r="W580">
            <v>102</v>
          </cell>
          <cell r="X580" t="e">
            <v>#DIV/0!</v>
          </cell>
          <cell r="Y580">
            <v>0</v>
          </cell>
          <cell r="Z580">
            <v>0</v>
          </cell>
          <cell r="AA580">
            <v>8027</v>
          </cell>
          <cell r="AB580">
            <v>102</v>
          </cell>
          <cell r="AC580">
            <v>114</v>
          </cell>
          <cell r="AD580">
            <v>120</v>
          </cell>
          <cell r="AE580">
            <v>125.93</v>
          </cell>
          <cell r="AF580">
            <v>0.19002620503454304</v>
          </cell>
          <cell r="AG580">
            <v>4.7089652981815347E-2</v>
          </cell>
          <cell r="AH580">
            <v>129</v>
          </cell>
          <cell r="AI580">
            <v>131</v>
          </cell>
          <cell r="AJ580">
            <v>0.22137404580152673</v>
          </cell>
          <cell r="AK580">
            <v>133.5</v>
          </cell>
          <cell r="AL580">
            <v>136</v>
          </cell>
          <cell r="AM580">
            <v>0.25</v>
          </cell>
          <cell r="AN580">
            <v>155.13</v>
          </cell>
          <cell r="AO580">
            <v>174.26</v>
          </cell>
          <cell r="AP580">
            <v>193.39</v>
          </cell>
          <cell r="AQ580">
            <v>0</v>
          </cell>
          <cell r="AS580">
            <v>300</v>
          </cell>
        </row>
        <row r="581">
          <cell r="B581" t="str">
            <v>AC</v>
          </cell>
          <cell r="C581" t="str">
            <v>IMP</v>
          </cell>
          <cell r="D581" t="str">
            <v>BT</v>
          </cell>
          <cell r="E581" t="str">
            <v>P3</v>
          </cell>
          <cell r="F581">
            <v>39990</v>
          </cell>
          <cell r="G581">
            <v>40001</v>
          </cell>
          <cell r="H581" t="str">
            <v>950271</v>
          </cell>
          <cell r="I581" t="str">
            <v>3HBBKCA14738</v>
          </cell>
          <cell r="J581" t="str">
            <v>KCA14738</v>
          </cell>
          <cell r="K581" t="str">
            <v>16MB Copier Memory (MU-409)</v>
          </cell>
          <cell r="L581">
            <v>200</v>
          </cell>
          <cell r="M581">
            <v>7920</v>
          </cell>
          <cell r="N581">
            <v>86</v>
          </cell>
          <cell r="O581">
            <v>0</v>
          </cell>
          <cell r="P581">
            <v>8157.6</v>
          </cell>
          <cell r="Q581">
            <v>8395.2000000000007</v>
          </cell>
          <cell r="R581">
            <v>9486.58</v>
          </cell>
          <cell r="T581" t="e">
            <v>#DIV/0!</v>
          </cell>
          <cell r="U581">
            <v>0</v>
          </cell>
          <cell r="V581">
            <v>0</v>
          </cell>
          <cell r="W581">
            <v>73.099999999999994</v>
          </cell>
          <cell r="X581" t="e">
            <v>#DIV/0!</v>
          </cell>
          <cell r="Y581">
            <v>0</v>
          </cell>
          <cell r="Z581">
            <v>0</v>
          </cell>
          <cell r="AA581">
            <v>9632</v>
          </cell>
          <cell r="AB581">
            <v>74</v>
          </cell>
          <cell r="AC581">
            <v>82</v>
          </cell>
          <cell r="AD581">
            <v>87</v>
          </cell>
          <cell r="AE581">
            <v>90.25</v>
          </cell>
          <cell r="AF581">
            <v>0.19002770083102499</v>
          </cell>
          <cell r="AG581">
            <v>4.7091412742382273E-2</v>
          </cell>
          <cell r="AH581">
            <v>93</v>
          </cell>
          <cell r="AI581">
            <v>95</v>
          </cell>
          <cell r="AJ581">
            <v>0.23052631578947375</v>
          </cell>
          <cell r="AK581">
            <v>96.5</v>
          </cell>
          <cell r="AL581">
            <v>98</v>
          </cell>
          <cell r="AM581">
            <v>0.25408163265306127</v>
          </cell>
          <cell r="AN581">
            <v>111.57</v>
          </cell>
          <cell r="AO581">
            <v>125.14</v>
          </cell>
          <cell r="AP581">
            <v>138.71</v>
          </cell>
          <cell r="AQ581">
            <v>0</v>
          </cell>
          <cell r="AS581">
            <v>200</v>
          </cell>
        </row>
        <row r="582">
          <cell r="B582" t="str">
            <v>AC</v>
          </cell>
          <cell r="C582" t="str">
            <v>IMP</v>
          </cell>
          <cell r="D582" t="str">
            <v>BT</v>
          </cell>
          <cell r="E582" t="str">
            <v>P3</v>
          </cell>
          <cell r="F582">
            <v>39990</v>
          </cell>
          <cell r="G582">
            <v>40001</v>
          </cell>
          <cell r="H582" t="str">
            <v>950272</v>
          </cell>
          <cell r="I582" t="str">
            <v xml:space="preserve">3HBBKCA14740  </v>
          </cell>
          <cell r="J582" t="str">
            <v>KCA14740</v>
          </cell>
          <cell r="K582" t="str">
            <v>32MB Copier Memory (MU-410)</v>
          </cell>
          <cell r="L582">
            <v>300</v>
          </cell>
          <cell r="M582">
            <v>2640</v>
          </cell>
          <cell r="N582">
            <v>132</v>
          </cell>
          <cell r="O582">
            <v>0</v>
          </cell>
          <cell r="P582">
            <v>2719.2</v>
          </cell>
          <cell r="Q582">
            <v>2798.4</v>
          </cell>
          <cell r="R582">
            <v>3162.19</v>
          </cell>
          <cell r="T582" t="e">
            <v>#DIV/0!</v>
          </cell>
          <cell r="U582">
            <v>0</v>
          </cell>
          <cell r="V582">
            <v>0</v>
          </cell>
          <cell r="W582">
            <v>112.2</v>
          </cell>
          <cell r="X582" t="e">
            <v>#DIV/0!</v>
          </cell>
          <cell r="Y582">
            <v>0</v>
          </cell>
          <cell r="Z582">
            <v>0</v>
          </cell>
          <cell r="AA582">
            <v>3211</v>
          </cell>
          <cell r="AB582">
            <v>113</v>
          </cell>
          <cell r="AC582">
            <v>125</v>
          </cell>
          <cell r="AD582">
            <v>132</v>
          </cell>
          <cell r="AE582">
            <v>138.52000000000001</v>
          </cell>
          <cell r="AF582">
            <v>0.19000866300895181</v>
          </cell>
          <cell r="AG582">
            <v>4.7069015304649221E-2</v>
          </cell>
          <cell r="AH582">
            <v>142</v>
          </cell>
          <cell r="AI582">
            <v>145</v>
          </cell>
          <cell r="AJ582">
            <v>0.22620689655172413</v>
          </cell>
          <cell r="AK582">
            <v>147.5</v>
          </cell>
          <cell r="AL582">
            <v>150</v>
          </cell>
          <cell r="AM582">
            <v>0.252</v>
          </cell>
          <cell r="AN582">
            <v>170.94</v>
          </cell>
          <cell r="AO582">
            <v>191.88</v>
          </cell>
          <cell r="AP582">
            <v>212.82</v>
          </cell>
          <cell r="AQ582">
            <v>0</v>
          </cell>
          <cell r="AS582">
            <v>300</v>
          </cell>
        </row>
        <row r="583">
          <cell r="B583" t="str">
            <v>AC</v>
          </cell>
          <cell r="C583" t="str">
            <v>IMP</v>
          </cell>
          <cell r="D583" t="str">
            <v>BT</v>
          </cell>
          <cell r="E583" t="str">
            <v>P3</v>
          </cell>
          <cell r="F583">
            <v>39990</v>
          </cell>
          <cell r="G583">
            <v>40001</v>
          </cell>
          <cell r="H583" t="str">
            <v>950273</v>
          </cell>
          <cell r="I583" t="str">
            <v>3HBBKN000526100</v>
          </cell>
          <cell r="J583" t="str">
            <v>KN.0005261/00</v>
          </cell>
          <cell r="K583" t="str">
            <v>Fax Board (FK-117)</v>
          </cell>
          <cell r="L583">
            <v>1150</v>
          </cell>
          <cell r="M583">
            <v>513</v>
          </cell>
          <cell r="N583">
            <v>514</v>
          </cell>
          <cell r="O583">
            <v>0</v>
          </cell>
          <cell r="P583">
            <v>528.39</v>
          </cell>
          <cell r="Q583">
            <v>543.78</v>
          </cell>
          <cell r="R583">
            <v>614.47</v>
          </cell>
          <cell r="T583" t="e">
            <v>#DIV/0!</v>
          </cell>
          <cell r="U583">
            <v>0</v>
          </cell>
          <cell r="V583">
            <v>0</v>
          </cell>
          <cell r="W583">
            <v>436.9</v>
          </cell>
          <cell r="X583" t="e">
            <v>#DIV/0!</v>
          </cell>
          <cell r="Y583">
            <v>0</v>
          </cell>
          <cell r="Z583">
            <v>0</v>
          </cell>
          <cell r="AA583">
            <v>624</v>
          </cell>
          <cell r="AB583">
            <v>437</v>
          </cell>
          <cell r="AC583">
            <v>486</v>
          </cell>
          <cell r="AD583">
            <v>513</v>
          </cell>
          <cell r="AE583">
            <v>539.38</v>
          </cell>
          <cell r="AF583">
            <v>0.18999592124290857</v>
          </cell>
          <cell r="AG583">
            <v>4.7054024991657083E-2</v>
          </cell>
          <cell r="AH583">
            <v>551</v>
          </cell>
          <cell r="AI583">
            <v>562</v>
          </cell>
          <cell r="AJ583">
            <v>0.22259786476868332</v>
          </cell>
          <cell r="AK583">
            <v>572.5</v>
          </cell>
          <cell r="AL583">
            <v>583</v>
          </cell>
          <cell r="AM583">
            <v>0.2506003430531733</v>
          </cell>
          <cell r="AN583">
            <v>664.8</v>
          </cell>
          <cell r="AO583">
            <v>746.6</v>
          </cell>
          <cell r="AP583">
            <v>828.4</v>
          </cell>
          <cell r="AQ583">
            <v>0</v>
          </cell>
          <cell r="AS583">
            <v>1150</v>
          </cell>
        </row>
        <row r="584">
          <cell r="B584" t="str">
            <v>AC</v>
          </cell>
          <cell r="C584" t="str">
            <v>IMP</v>
          </cell>
          <cell r="D584" t="str">
            <v>BT</v>
          </cell>
          <cell r="E584" t="str">
            <v>P3</v>
          </cell>
          <cell r="F584">
            <v>39990</v>
          </cell>
          <cell r="G584">
            <v>40001</v>
          </cell>
          <cell r="H584" t="str">
            <v>950274</v>
          </cell>
          <cell r="I584" t="str">
            <v>3HBBKCA14663</v>
          </cell>
          <cell r="J584" t="str">
            <v>KC.A14663</v>
          </cell>
          <cell r="K584" t="str">
            <v>Internet Fax/Network Scan Kit (IF-204)</v>
          </cell>
          <cell r="L584">
            <v>1000</v>
          </cell>
          <cell r="M584">
            <v>2000</v>
          </cell>
          <cell r="N584">
            <v>399</v>
          </cell>
          <cell r="O584">
            <v>0</v>
          </cell>
          <cell r="P584">
            <v>2060</v>
          </cell>
          <cell r="Q584">
            <v>2120</v>
          </cell>
          <cell r="R584">
            <v>2395.6</v>
          </cell>
          <cell r="T584" t="e">
            <v>#DIV/0!</v>
          </cell>
          <cell r="U584">
            <v>0</v>
          </cell>
          <cell r="V584">
            <v>0</v>
          </cell>
          <cell r="W584">
            <v>339.15</v>
          </cell>
          <cell r="X584" t="e">
            <v>#DIV/0!</v>
          </cell>
          <cell r="Y584">
            <v>0</v>
          </cell>
          <cell r="Z584">
            <v>0</v>
          </cell>
          <cell r="AA584">
            <v>2432</v>
          </cell>
          <cell r="AB584">
            <v>340</v>
          </cell>
          <cell r="AC584">
            <v>377</v>
          </cell>
          <cell r="AD584">
            <v>398</v>
          </cell>
          <cell r="AE584">
            <v>418.7</v>
          </cell>
          <cell r="AF584">
            <v>0.18999283496536903</v>
          </cell>
          <cell r="AG584">
            <v>4.7050394076904679E-2</v>
          </cell>
          <cell r="AH584">
            <v>428</v>
          </cell>
          <cell r="AI584">
            <v>436</v>
          </cell>
          <cell r="AJ584">
            <v>0.22213302752293584</v>
          </cell>
          <cell r="AK584">
            <v>444.5</v>
          </cell>
          <cell r="AL584">
            <v>453</v>
          </cell>
          <cell r="AM584">
            <v>0.25132450331125833</v>
          </cell>
          <cell r="AN584">
            <v>516.39</v>
          </cell>
          <cell r="AO584">
            <v>579.78</v>
          </cell>
          <cell r="AP584">
            <v>643.16999999999996</v>
          </cell>
          <cell r="AQ584">
            <v>0</v>
          </cell>
          <cell r="AS584">
            <v>1000</v>
          </cell>
        </row>
        <row r="585">
          <cell r="B585" t="str">
            <v>AC</v>
          </cell>
          <cell r="C585" t="str">
            <v>IMP</v>
          </cell>
          <cell r="D585" t="str">
            <v>BT</v>
          </cell>
          <cell r="E585" t="str">
            <v>P3</v>
          </cell>
          <cell r="F585">
            <v>39990</v>
          </cell>
          <cell r="G585">
            <v>40001</v>
          </cell>
          <cell r="H585" t="str">
            <v>950275</v>
          </cell>
          <cell r="I585" t="str">
            <v>3HBBKCA14664</v>
          </cell>
          <cell r="J585" t="str">
            <v>KC.A14664</v>
          </cell>
          <cell r="K585" t="str">
            <v>8MB Additional Fax Memory (MU-408)</v>
          </cell>
          <cell r="L585">
            <v>175</v>
          </cell>
          <cell r="M585">
            <v>2000</v>
          </cell>
          <cell r="N585">
            <v>84</v>
          </cell>
          <cell r="O585">
            <v>0</v>
          </cell>
          <cell r="P585">
            <v>2060</v>
          </cell>
          <cell r="Q585">
            <v>2120</v>
          </cell>
          <cell r="R585">
            <v>2395.6</v>
          </cell>
          <cell r="T585" t="e">
            <v>#DIV/0!</v>
          </cell>
          <cell r="U585">
            <v>0</v>
          </cell>
          <cell r="V585">
            <v>0</v>
          </cell>
          <cell r="W585">
            <v>71.399999999999991</v>
          </cell>
          <cell r="X585" t="e">
            <v>#DIV/0!</v>
          </cell>
          <cell r="Y585">
            <v>0</v>
          </cell>
          <cell r="Z585">
            <v>0</v>
          </cell>
          <cell r="AA585">
            <v>2432</v>
          </cell>
          <cell r="AB585">
            <v>72</v>
          </cell>
          <cell r="AC585">
            <v>80</v>
          </cell>
          <cell r="AD585">
            <v>85</v>
          </cell>
          <cell r="AE585">
            <v>88.15</v>
          </cell>
          <cell r="AF585">
            <v>0.19001701644923441</v>
          </cell>
          <cell r="AG585">
            <v>4.7078842881452129E-2</v>
          </cell>
          <cell r="AH585">
            <v>91</v>
          </cell>
          <cell r="AI585">
            <v>93</v>
          </cell>
          <cell r="AJ585">
            <v>0.23225806451612913</v>
          </cell>
          <cell r="AK585">
            <v>94.5</v>
          </cell>
          <cell r="AL585">
            <v>96</v>
          </cell>
          <cell r="AM585">
            <v>0.25625000000000009</v>
          </cell>
          <cell r="AN585">
            <v>109.19</v>
          </cell>
          <cell r="AO585">
            <v>122.38</v>
          </cell>
          <cell r="AP585">
            <v>135.57</v>
          </cell>
          <cell r="AQ585">
            <v>0</v>
          </cell>
          <cell r="AS585">
            <v>175</v>
          </cell>
        </row>
        <row r="586">
          <cell r="B586" t="str">
            <v>AC</v>
          </cell>
          <cell r="C586" t="str">
            <v>IMP</v>
          </cell>
          <cell r="D586" t="str">
            <v>BT</v>
          </cell>
          <cell r="E586" t="str">
            <v>P3</v>
          </cell>
          <cell r="F586">
            <v>39990</v>
          </cell>
          <cell r="G586">
            <v>40001</v>
          </cell>
          <cell r="H586" t="str">
            <v>950277</v>
          </cell>
          <cell r="I586" t="str">
            <v>3HBBKCA14665</v>
          </cell>
          <cell r="J586" t="str">
            <v>KC.A14665</v>
          </cell>
          <cell r="K586" t="str">
            <v>IP-413 Print Controller</v>
          </cell>
          <cell r="L586">
            <v>700</v>
          </cell>
          <cell r="M586">
            <v>0</v>
          </cell>
          <cell r="N586">
            <v>286</v>
          </cell>
          <cell r="O586" t="e">
            <v>#DIV/0!</v>
          </cell>
          <cell r="P586">
            <v>0</v>
          </cell>
          <cell r="Q586">
            <v>0</v>
          </cell>
          <cell r="R586">
            <v>0</v>
          </cell>
          <cell r="T586" t="e">
            <v>#DIV/0!</v>
          </cell>
          <cell r="U586">
            <v>0</v>
          </cell>
          <cell r="V586">
            <v>0</v>
          </cell>
          <cell r="W586">
            <v>243.1</v>
          </cell>
          <cell r="X586" t="e">
            <v>#DIV/0!</v>
          </cell>
          <cell r="Y586">
            <v>0</v>
          </cell>
          <cell r="Z586">
            <v>0</v>
          </cell>
          <cell r="AA586">
            <v>0</v>
          </cell>
          <cell r="AB586">
            <v>244</v>
          </cell>
          <cell r="AC586">
            <v>271</v>
          </cell>
          <cell r="AD586">
            <v>286</v>
          </cell>
          <cell r="AE586">
            <v>300.12</v>
          </cell>
          <cell r="AF586">
            <v>0.18999067039850728</v>
          </cell>
          <cell r="AG586">
            <v>4.7047847527655617E-2</v>
          </cell>
          <cell r="AH586">
            <v>307</v>
          </cell>
          <cell r="AI586">
            <v>313</v>
          </cell>
          <cell r="AJ586">
            <v>0.22332268370607031</v>
          </cell>
          <cell r="AK586">
            <v>319</v>
          </cell>
          <cell r="AL586">
            <v>325</v>
          </cell>
          <cell r="AM586">
            <v>0.252</v>
          </cell>
          <cell r="AN586">
            <v>370.36</v>
          </cell>
          <cell r="AO586">
            <v>415.72</v>
          </cell>
          <cell r="AP586">
            <v>461.08</v>
          </cell>
          <cell r="AQ586">
            <v>0</v>
          </cell>
          <cell r="AS586">
            <v>700</v>
          </cell>
        </row>
        <row r="587">
          <cell r="B587" t="str">
            <v>AC</v>
          </cell>
          <cell r="C587" t="str">
            <v>IMP</v>
          </cell>
          <cell r="D587" t="str">
            <v>BT</v>
          </cell>
          <cell r="E587" t="str">
            <v>P3</v>
          </cell>
          <cell r="F587">
            <v>39990</v>
          </cell>
          <cell r="G587">
            <v>40001</v>
          </cell>
          <cell r="H587" t="str">
            <v>950278</v>
          </cell>
          <cell r="I587" t="str">
            <v>3HBBKCA13958</v>
          </cell>
          <cell r="J587" t="str">
            <v>KCA13958</v>
          </cell>
          <cell r="K587" t="str">
            <v>Network Interface Card (KN-305)</v>
          </cell>
          <cell r="L587">
            <v>450</v>
          </cell>
          <cell r="M587">
            <v>11400</v>
          </cell>
          <cell r="N587">
            <v>206</v>
          </cell>
          <cell r="O587">
            <v>0</v>
          </cell>
          <cell r="P587">
            <v>11742</v>
          </cell>
          <cell r="Q587">
            <v>12084</v>
          </cell>
          <cell r="R587">
            <v>13654.92</v>
          </cell>
          <cell r="T587" t="e">
            <v>#DIV/0!</v>
          </cell>
          <cell r="U587">
            <v>0</v>
          </cell>
          <cell r="V587">
            <v>0</v>
          </cell>
          <cell r="W587">
            <v>175.1</v>
          </cell>
          <cell r="X587" t="e">
            <v>#DIV/0!</v>
          </cell>
          <cell r="Y587">
            <v>0</v>
          </cell>
          <cell r="Z587">
            <v>0</v>
          </cell>
          <cell r="AA587">
            <v>12786</v>
          </cell>
          <cell r="AB587">
            <v>176</v>
          </cell>
          <cell r="AC587">
            <v>195</v>
          </cell>
          <cell r="AD587">
            <v>206</v>
          </cell>
          <cell r="AE587">
            <v>216.17</v>
          </cell>
          <cell r="AF587">
            <v>0.18998936022574822</v>
          </cell>
          <cell r="AG587">
            <v>4.7046306147939067E-2</v>
          </cell>
          <cell r="AH587">
            <v>222</v>
          </cell>
          <cell r="AI587">
            <v>226</v>
          </cell>
          <cell r="AJ587">
            <v>0.22522123893805313</v>
          </cell>
          <cell r="AK587">
            <v>230</v>
          </cell>
          <cell r="AL587">
            <v>234</v>
          </cell>
          <cell r="AM587">
            <v>0.25170940170940176</v>
          </cell>
          <cell r="AN587">
            <v>266.7</v>
          </cell>
          <cell r="AO587">
            <v>299.39999999999998</v>
          </cell>
          <cell r="AP587">
            <v>332.1</v>
          </cell>
          <cell r="AQ587">
            <v>0</v>
          </cell>
          <cell r="AS587">
            <v>450</v>
          </cell>
        </row>
        <row r="588">
          <cell r="B588" t="str">
            <v>AC</v>
          </cell>
          <cell r="C588" t="str">
            <v>IMP</v>
          </cell>
          <cell r="D588" t="str">
            <v>BT</v>
          </cell>
          <cell r="E588" t="str">
            <v>P3</v>
          </cell>
          <cell r="F588">
            <v>39990</v>
          </cell>
          <cell r="G588">
            <v>40001</v>
          </cell>
          <cell r="H588" t="str">
            <v>950283</v>
          </cell>
          <cell r="I588" t="str">
            <v>3HBBKCA12305</v>
          </cell>
          <cell r="J588" t="str">
            <v>KC.A12305</v>
          </cell>
          <cell r="K588" t="str">
            <v>64MB Printer Memory (MU-406)</v>
          </cell>
          <cell r="L588">
            <v>45</v>
          </cell>
          <cell r="M588">
            <v>4800</v>
          </cell>
          <cell r="N588">
            <v>36</v>
          </cell>
          <cell r="O588">
            <v>0</v>
          </cell>
          <cell r="P588">
            <v>4944</v>
          </cell>
          <cell r="Q588">
            <v>5088</v>
          </cell>
          <cell r="R588">
            <v>5749.44</v>
          </cell>
          <cell r="T588" t="e">
            <v>#DIV/0!</v>
          </cell>
          <cell r="U588">
            <v>0</v>
          </cell>
          <cell r="V588">
            <v>0</v>
          </cell>
          <cell r="W588">
            <v>30.599999999999998</v>
          </cell>
          <cell r="X588" t="e">
            <v>#DIV/0!</v>
          </cell>
          <cell r="Y588">
            <v>0</v>
          </cell>
          <cell r="Z588">
            <v>0</v>
          </cell>
          <cell r="AA588">
            <v>5837</v>
          </cell>
          <cell r="AB588">
            <v>31</v>
          </cell>
          <cell r="AC588">
            <v>34</v>
          </cell>
          <cell r="AD588">
            <v>36</v>
          </cell>
          <cell r="AE588">
            <v>37.78</v>
          </cell>
          <cell r="AF588">
            <v>0.19004764425622031</v>
          </cell>
          <cell r="AG588">
            <v>4.7114875595553232E-2</v>
          </cell>
          <cell r="AH588">
            <v>39</v>
          </cell>
          <cell r="AI588">
            <v>40</v>
          </cell>
          <cell r="AJ588">
            <v>0.23500000000000004</v>
          </cell>
          <cell r="AK588">
            <v>40.5</v>
          </cell>
          <cell r="AL588">
            <v>41</v>
          </cell>
          <cell r="AM588">
            <v>0.25365853658536591</v>
          </cell>
          <cell r="AN588">
            <v>42</v>
          </cell>
          <cell r="AO588">
            <v>43</v>
          </cell>
          <cell r="AP588">
            <v>44</v>
          </cell>
          <cell r="AQ588">
            <v>0</v>
          </cell>
          <cell r="AS588">
            <v>45</v>
          </cell>
        </row>
        <row r="589">
          <cell r="B589" t="str">
            <v>AC</v>
          </cell>
          <cell r="C589" t="str">
            <v>IMP</v>
          </cell>
          <cell r="D589" t="str">
            <v>BT</v>
          </cell>
          <cell r="E589" t="str">
            <v>P3</v>
          </cell>
          <cell r="F589">
            <v>39990</v>
          </cell>
          <cell r="G589">
            <v>40001</v>
          </cell>
          <cell r="H589" t="str">
            <v>950284</v>
          </cell>
          <cell r="I589" t="str">
            <v>3KDBKCA14662</v>
          </cell>
          <cell r="J589" t="str">
            <v>KC.A14662</v>
          </cell>
          <cell r="K589" t="str">
            <v>128MB Printer Memory (MU-407)</v>
          </cell>
          <cell r="L589">
            <v>80</v>
          </cell>
          <cell r="M589">
            <v>2000</v>
          </cell>
          <cell r="N589">
            <v>63</v>
          </cell>
          <cell r="O589">
            <v>0</v>
          </cell>
          <cell r="P589">
            <v>2060</v>
          </cell>
          <cell r="Q589">
            <v>2120</v>
          </cell>
          <cell r="R589">
            <v>2395.6</v>
          </cell>
          <cell r="T589" t="e">
            <v>#DIV/0!</v>
          </cell>
          <cell r="U589">
            <v>0</v>
          </cell>
          <cell r="V589">
            <v>0</v>
          </cell>
          <cell r="W589">
            <v>53.55</v>
          </cell>
          <cell r="X589" t="e">
            <v>#DIV/0!</v>
          </cell>
          <cell r="Y589">
            <v>0</v>
          </cell>
          <cell r="Z589">
            <v>0</v>
          </cell>
          <cell r="AA589">
            <v>2432</v>
          </cell>
          <cell r="AB589">
            <v>54</v>
          </cell>
          <cell r="AC589">
            <v>60</v>
          </cell>
          <cell r="AD589">
            <v>64</v>
          </cell>
          <cell r="AE589">
            <v>66.11</v>
          </cell>
          <cell r="AF589">
            <v>0.18998638632582063</v>
          </cell>
          <cell r="AG589">
            <v>4.7042807442141878E-2</v>
          </cell>
          <cell r="AH589">
            <v>69</v>
          </cell>
          <cell r="AI589">
            <v>70</v>
          </cell>
          <cell r="AJ589">
            <v>0.23500000000000004</v>
          </cell>
          <cell r="AK589">
            <v>71</v>
          </cell>
          <cell r="AL589">
            <v>72</v>
          </cell>
          <cell r="AM589">
            <v>0.25625000000000003</v>
          </cell>
          <cell r="AN589">
            <v>74</v>
          </cell>
          <cell r="AO589">
            <v>76</v>
          </cell>
          <cell r="AP589">
            <v>78</v>
          </cell>
          <cell r="AQ589">
            <v>0</v>
          </cell>
          <cell r="AS589">
            <v>80</v>
          </cell>
        </row>
        <row r="590">
          <cell r="B590" t="str">
            <v>AC</v>
          </cell>
          <cell r="C590" t="str">
            <v>IMP</v>
          </cell>
          <cell r="D590" t="str">
            <v>BT</v>
          </cell>
          <cell r="E590" t="str">
            <v>P3</v>
          </cell>
          <cell r="F590">
            <v>39990</v>
          </cell>
          <cell r="G590">
            <v>40001</v>
          </cell>
          <cell r="H590" t="str">
            <v>950291</v>
          </cell>
          <cell r="I590" t="str">
            <v>3KDBKCA14666</v>
          </cell>
          <cell r="J590" t="str">
            <v>KC.A14666</v>
          </cell>
          <cell r="K590" t="str">
            <v>Stand (L) (DK-111)</v>
          </cell>
          <cell r="L590">
            <v>125</v>
          </cell>
          <cell r="M590">
            <v>8000</v>
          </cell>
          <cell r="N590">
            <v>51</v>
          </cell>
          <cell r="O590">
            <v>0</v>
          </cell>
          <cell r="P590">
            <v>8240</v>
          </cell>
          <cell r="Q590">
            <v>8480</v>
          </cell>
          <cell r="R590">
            <v>9582.4</v>
          </cell>
          <cell r="T590" t="e">
            <v>#DIV/0!</v>
          </cell>
          <cell r="U590">
            <v>0</v>
          </cell>
          <cell r="V590">
            <v>0</v>
          </cell>
          <cell r="W590">
            <v>43.35</v>
          </cell>
          <cell r="X590" t="e">
            <v>#DIV/0!</v>
          </cell>
          <cell r="Y590">
            <v>0</v>
          </cell>
          <cell r="Z590">
            <v>0</v>
          </cell>
          <cell r="AA590">
            <v>9729</v>
          </cell>
          <cell r="AB590">
            <v>44</v>
          </cell>
          <cell r="AC590">
            <v>49</v>
          </cell>
          <cell r="AD590">
            <v>52</v>
          </cell>
          <cell r="AE590">
            <v>53.52</v>
          </cell>
          <cell r="AF590">
            <v>0.1900224215246637</v>
          </cell>
          <cell r="AG590">
            <v>4.7085201793722026E-2</v>
          </cell>
          <cell r="AH590">
            <v>55</v>
          </cell>
          <cell r="AI590">
            <v>56</v>
          </cell>
          <cell r="AJ590">
            <v>0.22589285714285712</v>
          </cell>
          <cell r="AK590">
            <v>57</v>
          </cell>
          <cell r="AL590">
            <v>58</v>
          </cell>
          <cell r="AM590">
            <v>0.2525862068965517</v>
          </cell>
          <cell r="AN590">
            <v>66.08</v>
          </cell>
          <cell r="AO590">
            <v>74.16</v>
          </cell>
          <cell r="AP590">
            <v>82.24</v>
          </cell>
          <cell r="AQ590">
            <v>0</v>
          </cell>
          <cell r="AS590">
            <v>125</v>
          </cell>
        </row>
        <row r="591">
          <cell r="B591" t="str">
            <v>AC</v>
          </cell>
          <cell r="C591" t="str">
            <v>IMP</v>
          </cell>
          <cell r="D591" t="str">
            <v>BT</v>
          </cell>
          <cell r="E591" t="str">
            <v>P3</v>
          </cell>
          <cell r="F591">
            <v>39990</v>
          </cell>
          <cell r="G591">
            <v>40001</v>
          </cell>
          <cell r="H591" t="str">
            <v>950292</v>
          </cell>
          <cell r="I591" t="str">
            <v>3KDBKCA14667</v>
          </cell>
          <cell r="J591" t="str">
            <v>KC.A14667</v>
          </cell>
          <cell r="K591" t="str">
            <v>Stand (M) (DK-112) DNU to 7640000097</v>
          </cell>
          <cell r="L591">
            <v>158</v>
          </cell>
          <cell r="M591">
            <v>1200</v>
          </cell>
          <cell r="N591">
            <v>66</v>
          </cell>
          <cell r="O591">
            <v>0</v>
          </cell>
          <cell r="P591">
            <v>1236</v>
          </cell>
          <cell r="Q591">
            <v>1272</v>
          </cell>
          <cell r="R591">
            <v>1437.36</v>
          </cell>
          <cell r="T591" t="e">
            <v>#DIV/0!</v>
          </cell>
          <cell r="U591">
            <v>0</v>
          </cell>
          <cell r="V591">
            <v>0</v>
          </cell>
          <cell r="W591">
            <v>56.1</v>
          </cell>
          <cell r="X591" t="e">
            <v>#DIV/0!</v>
          </cell>
          <cell r="Y591">
            <v>0</v>
          </cell>
          <cell r="Z591">
            <v>0</v>
          </cell>
          <cell r="AA591">
            <v>1459</v>
          </cell>
          <cell r="AB591">
            <v>57</v>
          </cell>
          <cell r="AC591">
            <v>63</v>
          </cell>
          <cell r="AD591">
            <v>67</v>
          </cell>
          <cell r="AE591">
            <v>69.260000000000005</v>
          </cell>
          <cell r="AF591">
            <v>0.19000866300895181</v>
          </cell>
          <cell r="AG591">
            <v>4.7069015304649221E-2</v>
          </cell>
          <cell r="AH591">
            <v>72</v>
          </cell>
          <cell r="AI591">
            <v>73</v>
          </cell>
          <cell r="AJ591">
            <v>0.23150684931506849</v>
          </cell>
          <cell r="AK591">
            <v>74</v>
          </cell>
          <cell r="AL591">
            <v>75</v>
          </cell>
          <cell r="AM591">
            <v>0.252</v>
          </cell>
          <cell r="AN591">
            <v>85.47</v>
          </cell>
          <cell r="AO591">
            <v>95.94</v>
          </cell>
          <cell r="AP591">
            <v>106.41</v>
          </cell>
          <cell r="AQ591">
            <v>0</v>
          </cell>
          <cell r="AS591">
            <v>158</v>
          </cell>
        </row>
        <row r="592">
          <cell r="B592" t="str">
            <v>AC</v>
          </cell>
          <cell r="C592" t="str">
            <v>IMP</v>
          </cell>
          <cell r="D592" t="str">
            <v>BT</v>
          </cell>
          <cell r="E592" t="str">
            <v>P3</v>
          </cell>
          <cell r="F592">
            <v>39990</v>
          </cell>
          <cell r="G592">
            <v>40001</v>
          </cell>
          <cell r="H592" t="str">
            <v>950293</v>
          </cell>
          <cell r="I592" t="str">
            <v>3KDBSB415A00</v>
          </cell>
          <cell r="J592" t="str">
            <v>KHR696415A00</v>
          </cell>
          <cell r="K592" t="str">
            <v>Stand (H) (DK-113) DNU to 7640000098</v>
          </cell>
          <cell r="L592">
            <v>182</v>
          </cell>
          <cell r="M592">
            <v>4500</v>
          </cell>
          <cell r="N592">
            <v>74</v>
          </cell>
          <cell r="O592">
            <v>0</v>
          </cell>
          <cell r="P592">
            <v>4635</v>
          </cell>
          <cell r="Q592">
            <v>4770</v>
          </cell>
          <cell r="R592">
            <v>5390.1</v>
          </cell>
          <cell r="T592" t="e">
            <v>#DIV/0!</v>
          </cell>
          <cell r="U592">
            <v>0</v>
          </cell>
          <cell r="V592">
            <v>0</v>
          </cell>
          <cell r="W592">
            <v>62.9</v>
          </cell>
          <cell r="X592" t="e">
            <v>#DIV/0!</v>
          </cell>
          <cell r="Y592">
            <v>0</v>
          </cell>
          <cell r="Z592">
            <v>0</v>
          </cell>
          <cell r="AA592">
            <v>5473</v>
          </cell>
          <cell r="AB592">
            <v>63</v>
          </cell>
          <cell r="AC592">
            <v>70</v>
          </cell>
          <cell r="AD592">
            <v>74</v>
          </cell>
          <cell r="AE592">
            <v>77.650000000000006</v>
          </cell>
          <cell r="AF592">
            <v>0.1899549259497747</v>
          </cell>
          <cell r="AG592">
            <v>4.7005795235029048E-2</v>
          </cell>
          <cell r="AH592">
            <v>80</v>
          </cell>
          <cell r="AI592">
            <v>81</v>
          </cell>
          <cell r="AJ592">
            <v>0.22345679012345682</v>
          </cell>
          <cell r="AK592">
            <v>82.5</v>
          </cell>
          <cell r="AL592">
            <v>84</v>
          </cell>
          <cell r="AM592">
            <v>0.25119047619047619</v>
          </cell>
          <cell r="AN592">
            <v>95.76</v>
          </cell>
          <cell r="AO592">
            <v>107.52</v>
          </cell>
          <cell r="AP592">
            <v>119.28</v>
          </cell>
          <cell r="AQ592">
            <v>0</v>
          </cell>
          <cell r="AS592">
            <v>182</v>
          </cell>
        </row>
        <row r="593">
          <cell r="B593" t="str">
            <v>AC</v>
          </cell>
          <cell r="C593" t="str">
            <v>IMP</v>
          </cell>
          <cell r="D593" t="str">
            <v>BT</v>
          </cell>
          <cell r="E593" t="str">
            <v>P3</v>
          </cell>
          <cell r="F593">
            <v>39990</v>
          </cell>
          <cell r="G593">
            <v>40001</v>
          </cell>
          <cell r="H593" t="str">
            <v>950298</v>
          </cell>
          <cell r="I593" t="str">
            <v>3KDBSB432A00</v>
          </cell>
          <cell r="J593" t="str">
            <v>KHR696432A00</v>
          </cell>
          <cell r="K593" t="str">
            <v>Key Counter Mounting Kit</v>
          </cell>
          <cell r="L593">
            <v>50</v>
          </cell>
          <cell r="M593">
            <v>500</v>
          </cell>
          <cell r="N593">
            <v>9</v>
          </cell>
          <cell r="O593">
            <v>0</v>
          </cell>
          <cell r="P593">
            <v>515</v>
          </cell>
          <cell r="Q593">
            <v>530</v>
          </cell>
          <cell r="R593">
            <v>598.9</v>
          </cell>
          <cell r="T593" t="e">
            <v>#DIV/0!</v>
          </cell>
          <cell r="U593">
            <v>0</v>
          </cell>
          <cell r="V593">
            <v>0</v>
          </cell>
          <cell r="W593">
            <v>7.6499999999999995</v>
          </cell>
          <cell r="X593" t="e">
            <v>#DIV/0!</v>
          </cell>
          <cell r="Y593">
            <v>0</v>
          </cell>
          <cell r="Z593">
            <v>0</v>
          </cell>
          <cell r="AA593">
            <v>608</v>
          </cell>
          <cell r="AB593">
            <v>8</v>
          </cell>
          <cell r="AC593">
            <v>9</v>
          </cell>
          <cell r="AD593">
            <v>10</v>
          </cell>
          <cell r="AE593">
            <v>9.44</v>
          </cell>
          <cell r="AF593">
            <v>0.18961864406779663</v>
          </cell>
          <cell r="AG593">
            <v>4.6610169491525376E-2</v>
          </cell>
          <cell r="AH593">
            <v>11</v>
          </cell>
          <cell r="AI593">
            <v>11</v>
          </cell>
          <cell r="AJ593">
            <v>0.30454545454545462</v>
          </cell>
          <cell r="AK593">
            <v>11</v>
          </cell>
          <cell r="AL593">
            <v>11</v>
          </cell>
          <cell r="AM593">
            <v>0.30454545454545462</v>
          </cell>
          <cell r="AN593">
            <v>12.23</v>
          </cell>
          <cell r="AO593">
            <v>13.46</v>
          </cell>
          <cell r="AP593">
            <v>14.69</v>
          </cell>
          <cell r="AQ593">
            <v>0</v>
          </cell>
          <cell r="AS593">
            <v>50</v>
          </cell>
        </row>
        <row r="594">
          <cell r="B594" t="str">
            <v>AC</v>
          </cell>
          <cell r="C594" t="str">
            <v>IMP</v>
          </cell>
          <cell r="D594" t="str">
            <v>BT</v>
          </cell>
          <cell r="E594" t="str">
            <v>P3</v>
          </cell>
          <cell r="F594">
            <v>39990</v>
          </cell>
          <cell r="G594">
            <v>40001</v>
          </cell>
          <cell r="H594" t="str">
            <v>950351</v>
          </cell>
          <cell r="I594" t="str">
            <v>3KDBKN000526200</v>
          </cell>
          <cell r="J594" t="str">
            <v>KN.0005262/00</v>
          </cell>
          <cell r="K594" t="str">
            <v>Drawer Base w/PFU (DB-210)</v>
          </cell>
          <cell r="L594">
            <v>1320</v>
          </cell>
          <cell r="M594">
            <v>257</v>
          </cell>
          <cell r="N594">
            <v>456</v>
          </cell>
          <cell r="O594">
            <v>0</v>
          </cell>
          <cell r="P594">
            <v>264.70999999999998</v>
          </cell>
          <cell r="Q594">
            <v>272.42</v>
          </cell>
          <cell r="R594">
            <v>307.83</v>
          </cell>
          <cell r="S594">
            <v>87.98</v>
          </cell>
          <cell r="T594" t="e">
            <v>#DIV/0!</v>
          </cell>
          <cell r="U594">
            <v>0</v>
          </cell>
          <cell r="V594">
            <v>0</v>
          </cell>
          <cell r="W594">
            <v>387.59999999999997</v>
          </cell>
          <cell r="X594" t="e">
            <v>#DIV/0!</v>
          </cell>
          <cell r="Y594">
            <v>0</v>
          </cell>
          <cell r="Z594">
            <v>0</v>
          </cell>
          <cell r="AA594">
            <v>313</v>
          </cell>
          <cell r="AB594">
            <v>388</v>
          </cell>
          <cell r="AC594">
            <v>431</v>
          </cell>
          <cell r="AD594">
            <v>455</v>
          </cell>
          <cell r="AE594">
            <v>478.52</v>
          </cell>
          <cell r="AF594">
            <v>0.19000250773217425</v>
          </cell>
          <cell r="AG594">
            <v>4.7061773802557848E-2</v>
          </cell>
          <cell r="AH594">
            <v>489</v>
          </cell>
          <cell r="AI594">
            <v>498</v>
          </cell>
          <cell r="AJ594">
            <v>0.22168674698795188</v>
          </cell>
          <cell r="AK594">
            <v>507.5</v>
          </cell>
          <cell r="AL594">
            <v>517</v>
          </cell>
          <cell r="AM594">
            <v>0.25029013539651845</v>
          </cell>
          <cell r="AN594">
            <v>589.63</v>
          </cell>
          <cell r="AO594">
            <v>662.26</v>
          </cell>
          <cell r="AP594">
            <v>734.89</v>
          </cell>
          <cell r="AQ594">
            <v>0</v>
          </cell>
          <cell r="AS594">
            <v>1320</v>
          </cell>
        </row>
        <row r="595">
          <cell r="B595" t="str">
            <v>AC</v>
          </cell>
          <cell r="C595" t="str">
            <v>IMP</v>
          </cell>
          <cell r="D595" t="str">
            <v>BT</v>
          </cell>
          <cell r="E595" t="str">
            <v>P3</v>
          </cell>
          <cell r="F595">
            <v>39990</v>
          </cell>
          <cell r="G595">
            <v>40001</v>
          </cell>
          <cell r="H595" t="str">
            <v>950352</v>
          </cell>
          <cell r="I595" t="str">
            <v>6HBBKMR5G_N</v>
          </cell>
          <cell r="J595" t="str">
            <v>KHB694053A00</v>
          </cell>
          <cell r="K595" t="str">
            <v>Drawer Base w/LCT (DB-410)</v>
          </cell>
          <cell r="L595">
            <v>1480</v>
          </cell>
          <cell r="M595">
            <v>31450</v>
          </cell>
          <cell r="N595">
            <v>479</v>
          </cell>
          <cell r="O595">
            <v>0</v>
          </cell>
          <cell r="P595">
            <v>32393.5</v>
          </cell>
          <cell r="Q595">
            <v>33337</v>
          </cell>
          <cell r="R595">
            <v>37670.81</v>
          </cell>
          <cell r="S595">
            <v>30.4</v>
          </cell>
          <cell r="T595" t="e">
            <v>#DIV/0!</v>
          </cell>
          <cell r="U595">
            <v>0</v>
          </cell>
          <cell r="V595">
            <v>0</v>
          </cell>
          <cell r="W595">
            <v>407.15</v>
          </cell>
          <cell r="X595" t="e">
            <v>#DIV/0!</v>
          </cell>
          <cell r="Y595">
            <v>0</v>
          </cell>
          <cell r="Z595">
            <v>300</v>
          </cell>
          <cell r="AA595">
            <v>35567</v>
          </cell>
          <cell r="AB595">
            <v>408</v>
          </cell>
          <cell r="AC595">
            <v>453</v>
          </cell>
          <cell r="AD595">
            <v>478</v>
          </cell>
          <cell r="AE595">
            <v>502.65</v>
          </cell>
          <cell r="AF595">
            <v>0.18999303690440666</v>
          </cell>
          <cell r="AG595">
            <v>4.7050631652243068E-2</v>
          </cell>
          <cell r="AH595">
            <v>513</v>
          </cell>
          <cell r="AI595">
            <v>523</v>
          </cell>
          <cell r="AJ595">
            <v>0.2215105162523901</v>
          </cell>
          <cell r="AK595">
            <v>533</v>
          </cell>
          <cell r="AL595">
            <v>543</v>
          </cell>
          <cell r="AM595">
            <v>0.25018416206261512</v>
          </cell>
          <cell r="AN595">
            <v>619.30999999999995</v>
          </cell>
          <cell r="AO595">
            <v>695.62</v>
          </cell>
          <cell r="AP595">
            <v>771.93</v>
          </cell>
          <cell r="AQ595">
            <v>0</v>
          </cell>
          <cell r="AS595">
            <v>1480</v>
          </cell>
        </row>
        <row r="596">
          <cell r="B596" t="str">
            <v>AC</v>
          </cell>
          <cell r="C596" t="str">
            <v>IMP</v>
          </cell>
          <cell r="D596" t="str">
            <v>BT</v>
          </cell>
          <cell r="E596" t="str">
            <v>P3</v>
          </cell>
          <cell r="F596">
            <v>39990</v>
          </cell>
          <cell r="G596">
            <v>40001</v>
          </cell>
          <cell r="H596" t="str">
            <v>950365</v>
          </cell>
          <cell r="I596" t="str">
            <v>6KDKHB694056A00_N</v>
          </cell>
          <cell r="J596" t="str">
            <v>NLA</v>
          </cell>
          <cell r="K596" t="str">
            <v>IP-423 Print Controller (network card included)</v>
          </cell>
          <cell r="L596">
            <v>1550</v>
          </cell>
          <cell r="M596">
            <v>10144.200000000001</v>
          </cell>
          <cell r="N596">
            <v>661</v>
          </cell>
          <cell r="O596">
            <v>0</v>
          </cell>
          <cell r="P596">
            <v>10448.530000000001</v>
          </cell>
          <cell r="Q596">
            <v>10752.86</v>
          </cell>
          <cell r="R596">
            <v>12150.73</v>
          </cell>
          <cell r="T596" t="e">
            <v>#DIV/0!</v>
          </cell>
          <cell r="U596">
            <v>0</v>
          </cell>
          <cell r="V596">
            <v>0</v>
          </cell>
          <cell r="W596">
            <v>561.85</v>
          </cell>
          <cell r="X596" t="e">
            <v>#DIV/0!</v>
          </cell>
          <cell r="Y596">
            <v>0</v>
          </cell>
          <cell r="Z596">
            <v>0</v>
          </cell>
          <cell r="AA596">
            <v>11377</v>
          </cell>
          <cell r="AB596">
            <v>562</v>
          </cell>
          <cell r="AC596">
            <v>625</v>
          </cell>
          <cell r="AD596">
            <v>660</v>
          </cell>
          <cell r="AE596">
            <v>693.64</v>
          </cell>
          <cell r="AF596">
            <v>0.18999769332795105</v>
          </cell>
          <cell r="AG596">
            <v>4.7056109797589507E-2</v>
          </cell>
          <cell r="AH596">
            <v>708</v>
          </cell>
          <cell r="AI596">
            <v>722</v>
          </cell>
          <cell r="AJ596">
            <v>0.22181440443213293</v>
          </cell>
          <cell r="AK596">
            <v>736</v>
          </cell>
          <cell r="AL596">
            <v>750</v>
          </cell>
          <cell r="AM596">
            <v>0.25086666666666663</v>
          </cell>
          <cell r="AN596">
            <v>855.13</v>
          </cell>
          <cell r="AO596">
            <v>960.26</v>
          </cell>
          <cell r="AP596">
            <v>1065.3900000000001</v>
          </cell>
          <cell r="AQ596">
            <v>0</v>
          </cell>
          <cell r="AS596">
            <v>1550</v>
          </cell>
        </row>
        <row r="597">
          <cell r="B597" t="str">
            <v>AC</v>
          </cell>
          <cell r="C597" t="str">
            <v>IMP</v>
          </cell>
          <cell r="D597" t="str">
            <v>BT</v>
          </cell>
          <cell r="E597" t="str">
            <v>P3</v>
          </cell>
          <cell r="F597">
            <v>39990</v>
          </cell>
          <cell r="G597">
            <v>40001</v>
          </cell>
          <cell r="H597" t="str">
            <v>950366</v>
          </cell>
          <cell r="I597" t="str">
            <v>6KDKHB694057A00_N</v>
          </cell>
          <cell r="J597" t="str">
            <v>KHB694057A00</v>
          </cell>
          <cell r="K597" t="str">
            <v>PS Kit for IP-423 (PS-345)</v>
          </cell>
          <cell r="L597">
            <v>720</v>
          </cell>
          <cell r="M597">
            <v>4000.15</v>
          </cell>
          <cell r="N597">
            <v>298</v>
          </cell>
          <cell r="O597">
            <v>0</v>
          </cell>
          <cell r="P597">
            <v>4120.1499999999996</v>
          </cell>
          <cell r="Q597">
            <v>4240.1499999999996</v>
          </cell>
          <cell r="R597">
            <v>4791.37</v>
          </cell>
          <cell r="T597" t="e">
            <v>#DIV/0!</v>
          </cell>
          <cell r="U597">
            <v>0</v>
          </cell>
          <cell r="V597">
            <v>0</v>
          </cell>
          <cell r="W597">
            <v>253.29999999999998</v>
          </cell>
          <cell r="X597" t="e">
            <v>#DIV/0!</v>
          </cell>
          <cell r="Y597">
            <v>0</v>
          </cell>
          <cell r="Z597">
            <v>0</v>
          </cell>
          <cell r="AA597">
            <v>4250</v>
          </cell>
          <cell r="AB597">
            <v>254</v>
          </cell>
          <cell r="AC597">
            <v>282</v>
          </cell>
          <cell r="AD597">
            <v>298</v>
          </cell>
          <cell r="AE597">
            <v>312.72000000000003</v>
          </cell>
          <cell r="AF597">
            <v>0.19001023279611165</v>
          </cell>
          <cell r="AG597">
            <v>4.707086211307248E-2</v>
          </cell>
          <cell r="AH597">
            <v>320</v>
          </cell>
          <cell r="AI597">
            <v>326</v>
          </cell>
          <cell r="AJ597">
            <v>0.2230061349693252</v>
          </cell>
          <cell r="AK597">
            <v>332</v>
          </cell>
          <cell r="AL597">
            <v>338</v>
          </cell>
          <cell r="AM597">
            <v>0.2505917159763314</v>
          </cell>
          <cell r="AN597">
            <v>385.43</v>
          </cell>
          <cell r="AO597">
            <v>432.86</v>
          </cell>
          <cell r="AP597">
            <v>480.29</v>
          </cell>
          <cell r="AQ597">
            <v>0</v>
          </cell>
          <cell r="AS597">
            <v>720</v>
          </cell>
        </row>
        <row r="598">
          <cell r="B598" t="str">
            <v>AC</v>
          </cell>
          <cell r="C598" t="str">
            <v>IMP</v>
          </cell>
          <cell r="D598" t="str">
            <v>BT</v>
          </cell>
          <cell r="E598" t="str">
            <v>P3</v>
          </cell>
          <cell r="F598">
            <v>39990</v>
          </cell>
          <cell r="G598">
            <v>40001</v>
          </cell>
          <cell r="H598" t="str">
            <v>950370</v>
          </cell>
          <cell r="I598" t="str">
            <v>6KDKHB694058A00_N</v>
          </cell>
          <cell r="J598" t="str">
            <v>KHB694058A00</v>
          </cell>
          <cell r="K598" t="str">
            <v>IP-511 Print Controller (IP-511) - NO LONGER AVAIL.</v>
          </cell>
          <cell r="L598">
            <v>3500</v>
          </cell>
          <cell r="M598">
            <v>50100</v>
          </cell>
          <cell r="N598">
            <v>1128</v>
          </cell>
          <cell r="O598">
            <v>0</v>
          </cell>
          <cell r="P598">
            <v>51603</v>
          </cell>
          <cell r="Q598">
            <v>53106</v>
          </cell>
          <cell r="R598">
            <v>60009.78</v>
          </cell>
          <cell r="T598" t="e">
            <v>#DIV/0!</v>
          </cell>
          <cell r="U598">
            <v>0</v>
          </cell>
          <cell r="V598">
            <v>0</v>
          </cell>
          <cell r="W598">
            <v>958.8</v>
          </cell>
          <cell r="X598" t="e">
            <v>#DIV/0!</v>
          </cell>
          <cell r="Y598">
            <v>0</v>
          </cell>
          <cell r="Z598">
            <v>300</v>
          </cell>
          <cell r="AA598">
            <v>53527</v>
          </cell>
          <cell r="AB598">
            <v>959</v>
          </cell>
          <cell r="AC598">
            <v>1066</v>
          </cell>
          <cell r="AD598">
            <v>1125</v>
          </cell>
          <cell r="AE598">
            <v>1183.7</v>
          </cell>
          <cell r="AF598">
            <v>0.18999746557404754</v>
          </cell>
          <cell r="AG598">
            <v>4.7055841851820601E-2</v>
          </cell>
          <cell r="AH598">
            <v>1208</v>
          </cell>
          <cell r="AI598">
            <v>1232</v>
          </cell>
          <cell r="AJ598">
            <v>0.22175324675324679</v>
          </cell>
          <cell r="AK598">
            <v>1255.5</v>
          </cell>
          <cell r="AL598">
            <v>1279</v>
          </cell>
          <cell r="AM598">
            <v>0.25035183737294764</v>
          </cell>
          <cell r="AN598">
            <v>1458.63</v>
          </cell>
          <cell r="AO598">
            <v>1638.26</v>
          </cell>
          <cell r="AP598">
            <v>1817.89</v>
          </cell>
          <cell r="AQ598">
            <v>0</v>
          </cell>
          <cell r="AS598">
            <v>3500</v>
          </cell>
        </row>
        <row r="599">
          <cell r="B599" t="str">
            <v>AC</v>
          </cell>
          <cell r="C599" t="str">
            <v>IMP</v>
          </cell>
          <cell r="D599" t="str">
            <v>BT</v>
          </cell>
          <cell r="E599" t="str">
            <v>P3</v>
          </cell>
          <cell r="F599">
            <v>39990</v>
          </cell>
          <cell r="G599">
            <v>40001</v>
          </cell>
          <cell r="H599" t="str">
            <v>950371</v>
          </cell>
          <cell r="I599" t="str">
            <v>6KDKHB694057A00_N</v>
          </cell>
          <cell r="J599" t="str">
            <v>KHB694057A00</v>
          </cell>
          <cell r="K599" t="str">
            <v>Postscript Kit (PS-351) - NO LONGER AVAIL.</v>
          </cell>
          <cell r="L599">
            <v>1400</v>
          </cell>
          <cell r="M599">
            <v>4000.15</v>
          </cell>
          <cell r="N599">
            <v>561</v>
          </cell>
          <cell r="O599">
            <v>0</v>
          </cell>
          <cell r="P599">
            <v>4120.1499999999996</v>
          </cell>
          <cell r="Q599">
            <v>4240.1499999999996</v>
          </cell>
          <cell r="R599">
            <v>4791.37</v>
          </cell>
          <cell r="T599" t="e">
            <v>#DIV/0!</v>
          </cell>
          <cell r="U599">
            <v>0</v>
          </cell>
          <cell r="V599">
            <v>0</v>
          </cell>
          <cell r="W599">
            <v>476.84999999999997</v>
          </cell>
          <cell r="X599" t="e">
            <v>#DIV/0!</v>
          </cell>
          <cell r="Y599">
            <v>0</v>
          </cell>
          <cell r="Z599">
            <v>0</v>
          </cell>
          <cell r="AA599">
            <v>4250</v>
          </cell>
          <cell r="AB599">
            <v>477</v>
          </cell>
          <cell r="AC599">
            <v>530</v>
          </cell>
          <cell r="AD599">
            <v>560</v>
          </cell>
          <cell r="AE599">
            <v>588.70000000000005</v>
          </cell>
          <cell r="AF599">
            <v>0.18999490402581973</v>
          </cell>
          <cell r="AG599">
            <v>4.7052828265670192E-2</v>
          </cell>
          <cell r="AH599">
            <v>601</v>
          </cell>
          <cell r="AI599">
            <v>613</v>
          </cell>
          <cell r="AJ599">
            <v>0.22210440456769989</v>
          </cell>
          <cell r="AK599">
            <v>624.5</v>
          </cell>
          <cell r="AL599">
            <v>636</v>
          </cell>
          <cell r="AM599">
            <v>0.25023584905660384</v>
          </cell>
          <cell r="AN599">
            <v>725.36</v>
          </cell>
          <cell r="AO599">
            <v>814.72</v>
          </cell>
          <cell r="AP599">
            <v>904.08</v>
          </cell>
          <cell r="AQ599">
            <v>0</v>
          </cell>
          <cell r="AS599">
            <v>1400</v>
          </cell>
        </row>
        <row r="600">
          <cell r="B600" t="str">
            <v>AC</v>
          </cell>
          <cell r="C600" t="str">
            <v>IMP</v>
          </cell>
          <cell r="D600" t="str">
            <v>BT</v>
          </cell>
          <cell r="E600" t="str">
            <v>P3</v>
          </cell>
          <cell r="F600">
            <v>39990</v>
          </cell>
          <cell r="G600">
            <v>40001</v>
          </cell>
          <cell r="H600" t="str">
            <v>950456</v>
          </cell>
          <cell r="I600" t="str">
            <v>3HBEKC3E3849</v>
          </cell>
          <cell r="J600" t="str">
            <v>KC3E3849</v>
          </cell>
          <cell r="K600" t="str">
            <v>Platen Cover (CV-131)</v>
          </cell>
          <cell r="L600">
            <v>84</v>
          </cell>
          <cell r="M600">
            <v>28.2</v>
          </cell>
          <cell r="N600">
            <v>29.327999999999999</v>
          </cell>
          <cell r="O600">
            <v>-0.17647058823529413</v>
          </cell>
          <cell r="P600">
            <v>227.09</v>
          </cell>
          <cell r="Q600">
            <v>233.7</v>
          </cell>
          <cell r="R600">
            <v>264.08</v>
          </cell>
          <cell r="S600">
            <v>46</v>
          </cell>
          <cell r="T600" t="e">
            <v>#DIV/0!</v>
          </cell>
          <cell r="U600">
            <v>0</v>
          </cell>
          <cell r="V600">
            <v>0</v>
          </cell>
          <cell r="W600">
            <v>24.928799999999999</v>
          </cell>
          <cell r="X600" t="e">
            <v>#DIV/0!</v>
          </cell>
          <cell r="Y600">
            <v>0</v>
          </cell>
          <cell r="Z600">
            <v>0</v>
          </cell>
          <cell r="AA600">
            <v>268</v>
          </cell>
          <cell r="AB600">
            <v>25</v>
          </cell>
          <cell r="AC600">
            <v>28</v>
          </cell>
          <cell r="AD600">
            <v>30</v>
          </cell>
          <cell r="AE600">
            <v>30.78</v>
          </cell>
          <cell r="AF600">
            <v>0.19009746588693963</v>
          </cell>
          <cell r="AG600">
            <v>4.7173489278752492E-2</v>
          </cell>
          <cell r="AH600">
            <v>32</v>
          </cell>
          <cell r="AI600">
            <v>33</v>
          </cell>
          <cell r="AJ600">
            <v>0.24458181818181821</v>
          </cell>
          <cell r="AK600">
            <v>33.5</v>
          </cell>
          <cell r="AL600">
            <v>34</v>
          </cell>
          <cell r="AM600">
            <v>0.26680000000000004</v>
          </cell>
          <cell r="AN600">
            <v>38.479999999999997</v>
          </cell>
          <cell r="AO600">
            <v>42.96</v>
          </cell>
          <cell r="AP600">
            <v>47.44</v>
          </cell>
          <cell r="AQ600">
            <v>0</v>
          </cell>
          <cell r="AS600">
            <v>84</v>
          </cell>
        </row>
        <row r="601">
          <cell r="B601" t="str">
            <v>AC</v>
          </cell>
          <cell r="C601" t="str">
            <v>IMP</v>
          </cell>
          <cell r="D601" t="str">
            <v>BT</v>
          </cell>
          <cell r="E601" t="str">
            <v>P3</v>
          </cell>
          <cell r="F601">
            <v>39990</v>
          </cell>
          <cell r="G601">
            <v>40001</v>
          </cell>
          <cell r="H601" t="str">
            <v>950463</v>
          </cell>
          <cell r="I601" t="str">
            <v>3HBKA00122_</v>
          </cell>
          <cell r="J601" t="str">
            <v>KCA00140</v>
          </cell>
          <cell r="K601" t="str">
            <v>Copy Table (DK-134)</v>
          </cell>
          <cell r="L601">
            <v>130</v>
          </cell>
          <cell r="M601">
            <v>286.2</v>
          </cell>
          <cell r="N601">
            <v>59</v>
          </cell>
          <cell r="O601">
            <v>0</v>
          </cell>
          <cell r="P601">
            <v>294.79000000000002</v>
          </cell>
          <cell r="Q601">
            <v>303.38</v>
          </cell>
          <cell r="R601">
            <v>342.82</v>
          </cell>
          <cell r="S601">
            <v>46.9</v>
          </cell>
          <cell r="T601" t="e">
            <v>#DIV/0!</v>
          </cell>
          <cell r="U601">
            <v>0</v>
          </cell>
          <cell r="V601">
            <v>0</v>
          </cell>
          <cell r="W601">
            <v>50.15</v>
          </cell>
          <cell r="X601" t="e">
            <v>#DIV/0!</v>
          </cell>
          <cell r="Y601">
            <v>0</v>
          </cell>
          <cell r="Z601">
            <v>0</v>
          </cell>
          <cell r="AA601">
            <v>348</v>
          </cell>
          <cell r="AB601">
            <v>51</v>
          </cell>
          <cell r="AC601">
            <v>56</v>
          </cell>
          <cell r="AD601">
            <v>59</v>
          </cell>
          <cell r="AE601">
            <v>61.91</v>
          </cell>
          <cell r="AF601">
            <v>0.18995315780972377</v>
          </cell>
          <cell r="AG601">
            <v>4.7003715070263234E-2</v>
          </cell>
          <cell r="AH601">
            <v>64</v>
          </cell>
          <cell r="AI601">
            <v>65</v>
          </cell>
          <cell r="AJ601">
            <v>0.22846153846153849</v>
          </cell>
          <cell r="AK601">
            <v>66</v>
          </cell>
          <cell r="AL601">
            <v>67</v>
          </cell>
          <cell r="AM601">
            <v>0.25149253731343285</v>
          </cell>
          <cell r="AN601">
            <v>76.37</v>
          </cell>
          <cell r="AO601">
            <v>85.74</v>
          </cell>
          <cell r="AP601">
            <v>95.11</v>
          </cell>
          <cell r="AQ601">
            <v>0</v>
          </cell>
          <cell r="AS601">
            <v>130</v>
          </cell>
        </row>
        <row r="602">
          <cell r="B602" t="str">
            <v>AC</v>
          </cell>
          <cell r="C602" t="str">
            <v>IMP</v>
          </cell>
          <cell r="D602" t="str">
            <v>BT</v>
          </cell>
          <cell r="E602" t="str">
            <v>P3</v>
          </cell>
          <cell r="F602">
            <v>39990</v>
          </cell>
          <cell r="G602">
            <v>40001</v>
          </cell>
          <cell r="H602" t="str">
            <v>950465</v>
          </cell>
          <cell r="I602" t="str">
            <v>3HBKKCA12053</v>
          </cell>
          <cell r="J602" t="str">
            <v>KCA12053</v>
          </cell>
          <cell r="K602" t="str">
            <v>Copy Desk - Plain Stand (DK-133)</v>
          </cell>
          <cell r="L602">
            <v>164</v>
          </cell>
          <cell r="M602">
            <v>742</v>
          </cell>
          <cell r="N602">
            <v>61</v>
          </cell>
          <cell r="O602">
            <v>0</v>
          </cell>
          <cell r="P602">
            <v>764.26</v>
          </cell>
          <cell r="Q602">
            <v>786.52</v>
          </cell>
          <cell r="R602">
            <v>888.77</v>
          </cell>
          <cell r="S602">
            <v>46.9</v>
          </cell>
          <cell r="T602" t="e">
            <v>#DIV/0!</v>
          </cell>
          <cell r="U602">
            <v>0</v>
          </cell>
          <cell r="V602">
            <v>0</v>
          </cell>
          <cell r="W602">
            <v>51.85</v>
          </cell>
          <cell r="X602" t="e">
            <v>#DIV/0!</v>
          </cell>
          <cell r="Y602">
            <v>0</v>
          </cell>
          <cell r="Z602">
            <v>0</v>
          </cell>
          <cell r="AA602">
            <v>902</v>
          </cell>
          <cell r="AB602">
            <v>52</v>
          </cell>
          <cell r="AC602">
            <v>58</v>
          </cell>
          <cell r="AD602">
            <v>62</v>
          </cell>
          <cell r="AE602">
            <v>64.010000000000005</v>
          </cell>
          <cell r="AF602">
            <v>0.18997031713794724</v>
          </cell>
          <cell r="AG602">
            <v>4.7023902515232072E-2</v>
          </cell>
          <cell r="AH602">
            <v>67</v>
          </cell>
          <cell r="AI602">
            <v>68</v>
          </cell>
          <cell r="AJ602">
            <v>0.23749999999999999</v>
          </cell>
          <cell r="AK602">
            <v>69</v>
          </cell>
          <cell r="AL602">
            <v>70</v>
          </cell>
          <cell r="AM602">
            <v>0.25928571428571429</v>
          </cell>
          <cell r="AN602">
            <v>79.510000000000005</v>
          </cell>
          <cell r="AO602">
            <v>89.02</v>
          </cell>
          <cell r="AP602">
            <v>98.53</v>
          </cell>
          <cell r="AQ602">
            <v>0</v>
          </cell>
          <cell r="AS602">
            <v>164</v>
          </cell>
        </row>
        <row r="603">
          <cell r="B603" t="str">
            <v>AC</v>
          </cell>
          <cell r="C603" t="str">
            <v>IMP</v>
          </cell>
          <cell r="D603" t="str">
            <v>BT</v>
          </cell>
          <cell r="E603" t="str">
            <v>P3</v>
          </cell>
          <cell r="F603">
            <v>39990</v>
          </cell>
          <cell r="G603">
            <v>40001</v>
          </cell>
          <cell r="H603" t="str">
            <v>950471</v>
          </cell>
          <cell r="I603" t="str">
            <v>3KDKHB670630A00</v>
          </cell>
          <cell r="J603" t="str">
            <v>KHB670630A00</v>
          </cell>
          <cell r="K603" t="str">
            <v>128MB Memory Upgrade for the X3e+ Controller</v>
          </cell>
          <cell r="L603">
            <v>110</v>
          </cell>
          <cell r="M603">
            <v>349.8</v>
          </cell>
          <cell r="N603">
            <v>38</v>
          </cell>
          <cell r="O603">
            <v>0</v>
          </cell>
          <cell r="P603">
            <v>360.29</v>
          </cell>
          <cell r="Q603">
            <v>370.78</v>
          </cell>
          <cell r="R603">
            <v>418.98</v>
          </cell>
          <cell r="T603" t="e">
            <v>#DIV/0!</v>
          </cell>
          <cell r="U603">
            <v>0</v>
          </cell>
          <cell r="V603">
            <v>0</v>
          </cell>
          <cell r="W603">
            <v>32.299999999999997</v>
          </cell>
          <cell r="X603" t="e">
            <v>#DIV/0!</v>
          </cell>
          <cell r="Y603">
            <v>0</v>
          </cell>
          <cell r="Z603">
            <v>0</v>
          </cell>
          <cell r="AA603">
            <v>425</v>
          </cell>
          <cell r="AB603">
            <v>33</v>
          </cell>
          <cell r="AC603">
            <v>36</v>
          </cell>
          <cell r="AD603">
            <v>38</v>
          </cell>
          <cell r="AE603">
            <v>39.880000000000003</v>
          </cell>
          <cell r="AF603">
            <v>0.1900702106318958</v>
          </cell>
          <cell r="AG603">
            <v>4.7141424272818519E-2</v>
          </cell>
          <cell r="AH603">
            <v>41</v>
          </cell>
          <cell r="AI603">
            <v>42</v>
          </cell>
          <cell r="AJ603">
            <v>0.23095238095238102</v>
          </cell>
          <cell r="AK603">
            <v>43</v>
          </cell>
          <cell r="AL603">
            <v>44</v>
          </cell>
          <cell r="AM603">
            <v>0.26590909090909098</v>
          </cell>
          <cell r="AN603">
            <v>49.82</v>
          </cell>
          <cell r="AO603">
            <v>55.64</v>
          </cell>
          <cell r="AP603">
            <v>61.46</v>
          </cell>
          <cell r="AQ603">
            <v>0</v>
          </cell>
          <cell r="AS603">
            <v>110</v>
          </cell>
        </row>
        <row r="604">
          <cell r="B604" t="str">
            <v>AC</v>
          </cell>
          <cell r="C604" t="str">
            <v>IMP</v>
          </cell>
          <cell r="D604" t="str">
            <v>BT</v>
          </cell>
          <cell r="E604" t="str">
            <v>P3</v>
          </cell>
          <cell r="F604">
            <v>39990</v>
          </cell>
          <cell r="G604">
            <v>40001</v>
          </cell>
          <cell r="H604" t="str">
            <v>950551</v>
          </cell>
          <cell r="I604" t="str">
            <v>3HBKA00123</v>
          </cell>
          <cell r="J604" t="str">
            <v>KCA00141</v>
          </cell>
          <cell r="K604" t="str">
            <v>Stapling Finisher (FS-110)</v>
          </cell>
          <cell r="L604">
            <v>2850</v>
          </cell>
          <cell r="M604">
            <v>534.98</v>
          </cell>
          <cell r="N604">
            <v>1030</v>
          </cell>
          <cell r="O604">
            <v>0</v>
          </cell>
          <cell r="P604">
            <v>551.03</v>
          </cell>
          <cell r="Q604">
            <v>567.08000000000004</v>
          </cell>
          <cell r="R604">
            <v>640.79999999999995</v>
          </cell>
          <cell r="S604">
            <v>25.2</v>
          </cell>
          <cell r="T604" t="e">
            <v>#DIV/0!</v>
          </cell>
          <cell r="U604">
            <v>0</v>
          </cell>
          <cell r="V604">
            <v>0</v>
          </cell>
          <cell r="W604">
            <v>875.5</v>
          </cell>
          <cell r="X604" t="e">
            <v>#DIV/0!</v>
          </cell>
          <cell r="Y604">
            <v>0</v>
          </cell>
          <cell r="Z604">
            <v>0</v>
          </cell>
          <cell r="AA604">
            <v>651</v>
          </cell>
          <cell r="AB604">
            <v>876</v>
          </cell>
          <cell r="AC604">
            <v>973</v>
          </cell>
          <cell r="AD604">
            <v>1027</v>
          </cell>
          <cell r="AE604">
            <v>1080.8599999999999</v>
          </cell>
          <cell r="AF604">
            <v>0.18999685435671587</v>
          </cell>
          <cell r="AG604">
            <v>4.7055122772606907E-2</v>
          </cell>
          <cell r="AH604">
            <v>1103</v>
          </cell>
          <cell r="AI604">
            <v>1125</v>
          </cell>
          <cell r="AJ604">
            <v>0.22177777777777777</v>
          </cell>
          <cell r="AK604">
            <v>1146.5</v>
          </cell>
          <cell r="AL604">
            <v>1168</v>
          </cell>
          <cell r="AM604">
            <v>0.25042808219178081</v>
          </cell>
          <cell r="AN604">
            <v>1331.99</v>
          </cell>
          <cell r="AO604">
            <v>1495.98</v>
          </cell>
          <cell r="AP604">
            <v>1659.97</v>
          </cell>
          <cell r="AQ604">
            <v>0</v>
          </cell>
          <cell r="AS604">
            <v>2850</v>
          </cell>
        </row>
        <row r="605">
          <cell r="B605" t="str">
            <v>AC</v>
          </cell>
          <cell r="C605" t="str">
            <v>IMP</v>
          </cell>
          <cell r="D605" t="str">
            <v>BT</v>
          </cell>
          <cell r="E605" t="str">
            <v>P3</v>
          </cell>
          <cell r="F605">
            <v>39990</v>
          </cell>
          <cell r="G605">
            <v>40001</v>
          </cell>
          <cell r="H605" t="str">
            <v>950552</v>
          </cell>
          <cell r="I605" t="str">
            <v>3HBHA00124</v>
          </cell>
          <cell r="J605" t="str">
            <v>KCA00142</v>
          </cell>
          <cell r="K605" t="str">
            <v>Booklet/Folding Finisher (FS-210)</v>
          </cell>
          <cell r="L605">
            <v>4500</v>
          </cell>
          <cell r="M605">
            <v>1205.01</v>
          </cell>
          <cell r="N605">
            <v>1975</v>
          </cell>
          <cell r="O605">
            <v>0</v>
          </cell>
          <cell r="P605">
            <v>1241.1600000000001</v>
          </cell>
          <cell r="Q605">
            <v>1277.31</v>
          </cell>
          <cell r="R605">
            <v>1443.36</v>
          </cell>
          <cell r="T605" t="e">
            <v>#DIV/0!</v>
          </cell>
          <cell r="U605">
            <v>0</v>
          </cell>
          <cell r="V605">
            <v>0</v>
          </cell>
          <cell r="W605">
            <v>1678.75</v>
          </cell>
          <cell r="X605" t="e">
            <v>#DIV/0!</v>
          </cell>
          <cell r="Y605">
            <v>0</v>
          </cell>
          <cell r="Z605">
            <v>0</v>
          </cell>
          <cell r="AA605">
            <v>1465</v>
          </cell>
          <cell r="AB605">
            <v>1679</v>
          </cell>
          <cell r="AC605">
            <v>1866</v>
          </cell>
          <cell r="AD605">
            <v>1970</v>
          </cell>
          <cell r="AE605">
            <v>2072.5300000000002</v>
          </cell>
          <cell r="AF605">
            <v>0.18999966224855619</v>
          </cell>
          <cell r="AG605">
            <v>4.7058426174771989E-2</v>
          </cell>
          <cell r="AH605">
            <v>2115</v>
          </cell>
          <cell r="AI605">
            <v>2156</v>
          </cell>
          <cell r="AJ605">
            <v>0.22135899814471244</v>
          </cell>
          <cell r="AK605">
            <v>2197.5</v>
          </cell>
          <cell r="AL605">
            <v>2239</v>
          </cell>
          <cell r="AM605">
            <v>0.25022331397945513</v>
          </cell>
          <cell r="AN605">
            <v>2553.6</v>
          </cell>
          <cell r="AO605">
            <v>2868.2</v>
          </cell>
          <cell r="AP605">
            <v>3182.8</v>
          </cell>
          <cell r="AQ605">
            <v>0</v>
          </cell>
          <cell r="AS605">
            <v>4500</v>
          </cell>
        </row>
        <row r="606">
          <cell r="B606" t="str">
            <v>AC</v>
          </cell>
          <cell r="C606" t="str">
            <v>IMP</v>
          </cell>
          <cell r="D606" t="str">
            <v>BT</v>
          </cell>
          <cell r="E606" t="str">
            <v>P3</v>
          </cell>
          <cell r="F606">
            <v>39990</v>
          </cell>
          <cell r="G606">
            <v>40001</v>
          </cell>
          <cell r="H606" t="str">
            <v>950553</v>
          </cell>
          <cell r="I606" t="str">
            <v>6HBDME150STG_N</v>
          </cell>
          <cell r="J606" t="str">
            <v>KHB694050A00</v>
          </cell>
          <cell r="K606" t="str">
            <v>Multi-Post Inserter (PI-110)</v>
          </cell>
          <cell r="L606">
            <v>1045</v>
          </cell>
          <cell r="M606">
            <v>405.93</v>
          </cell>
          <cell r="N606">
            <v>422.16720000000004</v>
          </cell>
          <cell r="O606">
            <v>-0.17647058823529416</v>
          </cell>
          <cell r="P606">
            <v>18560.599999999999</v>
          </cell>
          <cell r="Q606">
            <v>19101.2</v>
          </cell>
          <cell r="R606">
            <v>21584.36</v>
          </cell>
          <cell r="S606">
            <v>627</v>
          </cell>
          <cell r="T606" t="e">
            <v>#DIV/0!</v>
          </cell>
          <cell r="U606">
            <v>0</v>
          </cell>
          <cell r="V606">
            <v>0</v>
          </cell>
          <cell r="W606">
            <v>358.84212000000002</v>
          </cell>
          <cell r="X606" t="e">
            <v>#DIV/0!</v>
          </cell>
          <cell r="Y606">
            <v>0</v>
          </cell>
          <cell r="Z606">
            <v>300</v>
          </cell>
          <cell r="AA606">
            <v>22209</v>
          </cell>
          <cell r="AB606">
            <v>359</v>
          </cell>
          <cell r="AC606">
            <v>399</v>
          </cell>
          <cell r="AD606">
            <v>422</v>
          </cell>
          <cell r="AE606">
            <v>443.01</v>
          </cell>
          <cell r="AF606">
            <v>0.18999092571273779</v>
          </cell>
          <cell r="AG606">
            <v>4.7048147897338556E-2</v>
          </cell>
          <cell r="AH606">
            <v>453</v>
          </cell>
          <cell r="AI606">
            <v>462</v>
          </cell>
          <cell r="AJ606">
            <v>0.22328545454545451</v>
          </cell>
          <cell r="AK606">
            <v>470.5</v>
          </cell>
          <cell r="AL606">
            <v>479</v>
          </cell>
          <cell r="AM606">
            <v>0.2508515240083507</v>
          </cell>
          <cell r="AN606">
            <v>546.15</v>
          </cell>
          <cell r="AO606">
            <v>613.29999999999995</v>
          </cell>
          <cell r="AP606">
            <v>680.45</v>
          </cell>
          <cell r="AQ606">
            <v>0</v>
          </cell>
          <cell r="AS606">
            <v>1045</v>
          </cell>
        </row>
        <row r="607">
          <cell r="B607" t="str">
            <v>AC</v>
          </cell>
          <cell r="C607" t="str">
            <v>IMP</v>
          </cell>
          <cell r="D607" t="str">
            <v>BT</v>
          </cell>
          <cell r="E607" t="str">
            <v>P3</v>
          </cell>
          <cell r="F607">
            <v>39990</v>
          </cell>
          <cell r="G607">
            <v>40001</v>
          </cell>
          <cell r="H607" t="str">
            <v>950556</v>
          </cell>
          <cell r="I607" t="str">
            <v>3HBHDM9110STG</v>
          </cell>
          <cell r="J607" t="str">
            <v>KHB694051A00</v>
          </cell>
          <cell r="K607" t="str">
            <v>Hard Disk Drive Main Body (HD-105)</v>
          </cell>
          <cell r="L607">
            <v>850</v>
          </cell>
          <cell r="M607">
            <v>428.05</v>
          </cell>
          <cell r="N607">
            <v>378</v>
          </cell>
          <cell r="O607">
            <v>0</v>
          </cell>
          <cell r="P607">
            <v>440.89</v>
          </cell>
          <cell r="Q607">
            <v>453.73</v>
          </cell>
          <cell r="R607">
            <v>512.71</v>
          </cell>
          <cell r="T607" t="e">
            <v>#DIV/0!</v>
          </cell>
          <cell r="U607">
            <v>0</v>
          </cell>
          <cell r="V607">
            <v>0</v>
          </cell>
          <cell r="W607">
            <v>321.3</v>
          </cell>
          <cell r="X607" t="e">
            <v>#DIV/0!</v>
          </cell>
          <cell r="Y607">
            <v>0</v>
          </cell>
          <cell r="Z607">
            <v>0</v>
          </cell>
          <cell r="AA607">
            <v>521</v>
          </cell>
          <cell r="AB607">
            <v>322</v>
          </cell>
          <cell r="AC607">
            <v>357</v>
          </cell>
          <cell r="AD607">
            <v>377</v>
          </cell>
          <cell r="AE607">
            <v>396.67</v>
          </cell>
          <cell r="AF607">
            <v>0.19000680666549022</v>
          </cell>
          <cell r="AG607">
            <v>4.7066831371164984E-2</v>
          </cell>
          <cell r="AH607">
            <v>405</v>
          </cell>
          <cell r="AI607">
            <v>413</v>
          </cell>
          <cell r="AJ607">
            <v>0.22203389830508471</v>
          </cell>
          <cell r="AK607">
            <v>421</v>
          </cell>
          <cell r="AL607">
            <v>429</v>
          </cell>
          <cell r="AM607">
            <v>0.25104895104895103</v>
          </cell>
          <cell r="AN607">
            <v>489.09</v>
          </cell>
          <cell r="AO607">
            <v>549.17999999999995</v>
          </cell>
          <cell r="AP607">
            <v>609.27</v>
          </cell>
          <cell r="AQ607">
            <v>0</v>
          </cell>
          <cell r="AS607">
            <v>850</v>
          </cell>
        </row>
        <row r="608">
          <cell r="B608" t="str">
            <v>AC</v>
          </cell>
          <cell r="C608" t="str">
            <v>IMP</v>
          </cell>
          <cell r="D608" t="str">
            <v>BT</v>
          </cell>
          <cell r="E608" t="str">
            <v>P3</v>
          </cell>
          <cell r="F608">
            <v>39990</v>
          </cell>
          <cell r="G608">
            <v>40001</v>
          </cell>
          <cell r="H608" t="str">
            <v>950559</v>
          </cell>
          <cell r="I608" t="str">
            <v>6HBDMNLINEHPG_N</v>
          </cell>
          <cell r="J608" t="str">
            <v>KHB694123A00</v>
          </cell>
          <cell r="K608" t="str">
            <v>3 hole punch kit (PK-120)</v>
          </cell>
          <cell r="L608">
            <v>775</v>
          </cell>
          <cell r="M608">
            <v>26200</v>
          </cell>
          <cell r="N608">
            <v>250</v>
          </cell>
          <cell r="O608">
            <v>0</v>
          </cell>
          <cell r="P608">
            <v>26986</v>
          </cell>
          <cell r="Q608">
            <v>27772</v>
          </cell>
          <cell r="R608">
            <v>31382.36</v>
          </cell>
          <cell r="T608" t="e">
            <v>#DIV/0!</v>
          </cell>
          <cell r="U608">
            <v>0</v>
          </cell>
          <cell r="V608">
            <v>0</v>
          </cell>
          <cell r="W608">
            <v>212.5</v>
          </cell>
          <cell r="X608" t="e">
            <v>#DIV/0!</v>
          </cell>
          <cell r="Y608">
            <v>0</v>
          </cell>
          <cell r="Z608">
            <v>300</v>
          </cell>
          <cell r="AA608">
            <v>28132</v>
          </cell>
          <cell r="AB608">
            <v>213</v>
          </cell>
          <cell r="AC608">
            <v>237</v>
          </cell>
          <cell r="AD608">
            <v>250</v>
          </cell>
          <cell r="AE608">
            <v>262.35000000000002</v>
          </cell>
          <cell r="AF608">
            <v>0.19001334095673725</v>
          </cell>
          <cell r="AG608">
            <v>4.7074518772632065E-2</v>
          </cell>
          <cell r="AH608">
            <v>269</v>
          </cell>
          <cell r="AI608">
            <v>274</v>
          </cell>
          <cell r="AJ608">
            <v>0.22445255474452555</v>
          </cell>
          <cell r="AK608">
            <v>279</v>
          </cell>
          <cell r="AL608">
            <v>284</v>
          </cell>
          <cell r="AM608">
            <v>0.25176056338028169</v>
          </cell>
          <cell r="AN608">
            <v>323.68</v>
          </cell>
          <cell r="AO608">
            <v>363.36</v>
          </cell>
          <cell r="AP608">
            <v>403.04</v>
          </cell>
          <cell r="AQ608">
            <v>0</v>
          </cell>
          <cell r="AS608">
            <v>775</v>
          </cell>
        </row>
        <row r="609">
          <cell r="B609" t="str">
            <v>AC</v>
          </cell>
          <cell r="C609" t="str">
            <v>IMP</v>
          </cell>
          <cell r="D609" t="str">
            <v>BT</v>
          </cell>
          <cell r="E609" t="str">
            <v>P3</v>
          </cell>
          <cell r="F609">
            <v>39990</v>
          </cell>
          <cell r="G609">
            <v>40001</v>
          </cell>
          <cell r="H609" t="str">
            <v>950582</v>
          </cell>
          <cell r="I609" t="str">
            <v>6KDEXPSMG_N</v>
          </cell>
          <cell r="J609" t="str">
            <v>KHB694152A00</v>
          </cell>
          <cell r="K609" t="str">
            <v>Network Interface Card (KN-302A)</v>
          </cell>
          <cell r="L609">
            <v>525</v>
          </cell>
          <cell r="M609">
            <v>12296</v>
          </cell>
          <cell r="N609">
            <v>269</v>
          </cell>
          <cell r="O609">
            <v>0</v>
          </cell>
          <cell r="P609">
            <v>12664.88</v>
          </cell>
          <cell r="Q609">
            <v>13033.76</v>
          </cell>
          <cell r="R609">
            <v>14728.15</v>
          </cell>
          <cell r="T609" t="e">
            <v>#DIV/0!</v>
          </cell>
          <cell r="U609">
            <v>0</v>
          </cell>
          <cell r="V609">
            <v>0</v>
          </cell>
          <cell r="W609">
            <v>228.65</v>
          </cell>
          <cell r="X609" t="e">
            <v>#DIV/0!</v>
          </cell>
          <cell r="Y609">
            <v>0</v>
          </cell>
          <cell r="Z609">
            <v>0</v>
          </cell>
          <cell r="AA609">
            <v>13791</v>
          </cell>
          <cell r="AB609">
            <v>229</v>
          </cell>
          <cell r="AC609">
            <v>255</v>
          </cell>
          <cell r="AD609">
            <v>269</v>
          </cell>
          <cell r="AE609">
            <v>282.27999999999997</v>
          </cell>
          <cell r="AF609">
            <v>0.18998866373813225</v>
          </cell>
          <cell r="AG609">
            <v>4.7045486750743853E-2</v>
          </cell>
          <cell r="AH609">
            <v>289</v>
          </cell>
          <cell r="AI609">
            <v>294</v>
          </cell>
          <cell r="AJ609">
            <v>0.22227891156462584</v>
          </cell>
          <cell r="AK609">
            <v>299.5</v>
          </cell>
          <cell r="AL609">
            <v>305</v>
          </cell>
          <cell r="AM609">
            <v>0.250327868852459</v>
          </cell>
          <cell r="AN609">
            <v>347.84</v>
          </cell>
          <cell r="AO609">
            <v>390.68</v>
          </cell>
          <cell r="AP609">
            <v>433.52</v>
          </cell>
          <cell r="AQ609">
            <v>0</v>
          </cell>
          <cell r="AS609">
            <v>525</v>
          </cell>
        </row>
        <row r="610">
          <cell r="B610" t="str">
            <v>AC</v>
          </cell>
          <cell r="C610" t="str">
            <v>IMP</v>
          </cell>
          <cell r="D610" t="str">
            <v>BT</v>
          </cell>
          <cell r="E610" t="str">
            <v>P3</v>
          </cell>
          <cell r="F610">
            <v>39990</v>
          </cell>
          <cell r="G610">
            <v>40001</v>
          </cell>
          <cell r="H610" t="str">
            <v>950609</v>
          </cell>
          <cell r="I610" t="str">
            <v>6KDEXINSERTG_N</v>
          </cell>
          <cell r="J610" t="str">
            <v>KHB694156A00</v>
          </cell>
          <cell r="K610" t="str">
            <v>Print Controller (IP-601M)</v>
          </cell>
          <cell r="L610">
            <v>3870</v>
          </cell>
          <cell r="M610">
            <v>20140</v>
          </cell>
          <cell r="N610">
            <v>1717</v>
          </cell>
          <cell r="O610">
            <v>0</v>
          </cell>
          <cell r="P610">
            <v>20744.2</v>
          </cell>
          <cell r="Q610">
            <v>21348.400000000001</v>
          </cell>
          <cell r="R610">
            <v>24123.69</v>
          </cell>
          <cell r="T610" t="e">
            <v>#DIV/0!</v>
          </cell>
          <cell r="U610">
            <v>0</v>
          </cell>
          <cell r="V610">
            <v>0</v>
          </cell>
          <cell r="W610">
            <v>1459.45</v>
          </cell>
          <cell r="X610" t="e">
            <v>#DIV/0!</v>
          </cell>
          <cell r="Y610">
            <v>0</v>
          </cell>
          <cell r="Z610">
            <v>200</v>
          </cell>
          <cell r="AA610">
            <v>22784</v>
          </cell>
          <cell r="AB610">
            <v>1460</v>
          </cell>
          <cell r="AC610">
            <v>1622</v>
          </cell>
          <cell r="AD610">
            <v>1712</v>
          </cell>
          <cell r="AE610">
            <v>1801.79</v>
          </cell>
          <cell r="AF610">
            <v>0.18999994449963642</v>
          </cell>
          <cell r="AG610">
            <v>4.7058758234866417E-2</v>
          </cell>
          <cell r="AH610">
            <v>1838</v>
          </cell>
          <cell r="AI610">
            <v>1874</v>
          </cell>
          <cell r="AJ610">
            <v>0.22121131270010669</v>
          </cell>
          <cell r="AK610">
            <v>1910</v>
          </cell>
          <cell r="AL610">
            <v>1946</v>
          </cell>
          <cell r="AM610">
            <v>0.25002569373072969</v>
          </cell>
          <cell r="AN610">
            <v>2219.63</v>
          </cell>
          <cell r="AO610">
            <v>2493.2600000000002</v>
          </cell>
          <cell r="AP610">
            <v>2766.89</v>
          </cell>
          <cell r="AQ610">
            <v>0</v>
          </cell>
          <cell r="AS610">
            <v>3870</v>
          </cell>
        </row>
        <row r="611">
          <cell r="B611" t="str">
            <v>AC</v>
          </cell>
          <cell r="C611" t="str">
            <v>IMP</v>
          </cell>
          <cell r="D611" t="str">
            <v>BT</v>
          </cell>
          <cell r="E611" t="str">
            <v>P3</v>
          </cell>
          <cell r="F611">
            <v>39990</v>
          </cell>
          <cell r="G611">
            <v>40001</v>
          </cell>
          <cell r="H611" t="str">
            <v>950610</v>
          </cell>
          <cell r="I611" t="str">
            <v>3HBHDM9110ALG</v>
          </cell>
          <cell r="J611" t="str">
            <v>KHB694160A00</v>
          </cell>
          <cell r="K611" t="str">
            <v>PS Kit (PS-361M)</v>
          </cell>
          <cell r="L611">
            <v>1500</v>
          </cell>
          <cell r="M611">
            <v>224.72</v>
          </cell>
          <cell r="N611">
            <v>801</v>
          </cell>
          <cell r="O611">
            <v>0</v>
          </cell>
          <cell r="P611">
            <v>231.46</v>
          </cell>
          <cell r="Q611">
            <v>238.2</v>
          </cell>
          <cell r="R611">
            <v>269.17</v>
          </cell>
          <cell r="S611">
            <v>252</v>
          </cell>
          <cell r="T611" t="e">
            <v>#DIV/0!</v>
          </cell>
          <cell r="U611">
            <v>0</v>
          </cell>
          <cell r="V611">
            <v>0</v>
          </cell>
          <cell r="W611">
            <v>680.85</v>
          </cell>
          <cell r="X611" t="e">
            <v>#DIV/0!</v>
          </cell>
          <cell r="Y611">
            <v>0</v>
          </cell>
          <cell r="Z611">
            <v>0</v>
          </cell>
          <cell r="AA611">
            <v>252</v>
          </cell>
          <cell r="AB611">
            <v>681</v>
          </cell>
          <cell r="AC611">
            <v>757</v>
          </cell>
          <cell r="AD611">
            <v>799</v>
          </cell>
          <cell r="AE611">
            <v>840.56</v>
          </cell>
          <cell r="AF611">
            <v>0.19000428285904628</v>
          </cell>
          <cell r="AG611">
            <v>4.7063862187113288E-2</v>
          </cell>
          <cell r="AH611">
            <v>858</v>
          </cell>
          <cell r="AI611">
            <v>875</v>
          </cell>
          <cell r="AJ611">
            <v>0.22188571428571427</v>
          </cell>
          <cell r="AK611">
            <v>891.5</v>
          </cell>
          <cell r="AL611">
            <v>908</v>
          </cell>
          <cell r="AM611">
            <v>0.25016519823788541</v>
          </cell>
          <cell r="AN611">
            <v>1035.6099999999999</v>
          </cell>
          <cell r="AO611">
            <v>1163.22</v>
          </cell>
          <cell r="AP611">
            <v>1290.83</v>
          </cell>
          <cell r="AQ611">
            <v>0</v>
          </cell>
          <cell r="AS611">
            <v>1500</v>
          </cell>
        </row>
        <row r="612">
          <cell r="B612" t="str">
            <v>AC</v>
          </cell>
          <cell r="C612" t="str">
            <v>IMP</v>
          </cell>
          <cell r="D612" t="str">
            <v>BT</v>
          </cell>
          <cell r="E612" t="str">
            <v>P3</v>
          </cell>
          <cell r="F612">
            <v>39990</v>
          </cell>
          <cell r="G612">
            <v>40001</v>
          </cell>
          <cell r="H612" t="str">
            <v>950618</v>
          </cell>
          <cell r="I612" t="str">
            <v xml:space="preserve">3HBKMICRES </v>
          </cell>
          <cell r="J612" t="str">
            <v>KN000202800</v>
          </cell>
          <cell r="K612" t="str">
            <v>16MB Printer Memory</v>
          </cell>
          <cell r="L612">
            <v>200</v>
          </cell>
          <cell r="M612">
            <v>3392</v>
          </cell>
          <cell r="N612">
            <v>84</v>
          </cell>
          <cell r="O612">
            <v>0</v>
          </cell>
          <cell r="P612">
            <v>3493.76</v>
          </cell>
          <cell r="Q612">
            <v>3595.52</v>
          </cell>
          <cell r="R612">
            <v>4062.94</v>
          </cell>
          <cell r="T612" t="e">
            <v>#DIV/0!</v>
          </cell>
          <cell r="U612">
            <v>0</v>
          </cell>
          <cell r="V612">
            <v>0</v>
          </cell>
          <cell r="W612">
            <v>71.399999999999991</v>
          </cell>
          <cell r="X612" t="e">
            <v>#DIV/0!</v>
          </cell>
          <cell r="Y612">
            <v>0</v>
          </cell>
          <cell r="Z612">
            <v>0</v>
          </cell>
          <cell r="AA612">
            <v>4125</v>
          </cell>
          <cell r="AB612">
            <v>72</v>
          </cell>
          <cell r="AC612">
            <v>80</v>
          </cell>
          <cell r="AD612">
            <v>85</v>
          </cell>
          <cell r="AE612">
            <v>88.15</v>
          </cell>
          <cell r="AF612">
            <v>0.19001701644923441</v>
          </cell>
          <cell r="AG612">
            <v>4.7078842881452129E-2</v>
          </cell>
          <cell r="AH612">
            <v>91</v>
          </cell>
          <cell r="AI612">
            <v>93</v>
          </cell>
          <cell r="AJ612">
            <v>0.23225806451612913</v>
          </cell>
          <cell r="AK612">
            <v>94.5</v>
          </cell>
          <cell r="AL612">
            <v>96</v>
          </cell>
          <cell r="AM612">
            <v>0.25625000000000009</v>
          </cell>
          <cell r="AN612">
            <v>109.19</v>
          </cell>
          <cell r="AO612">
            <v>122.38</v>
          </cell>
          <cell r="AP612">
            <v>135.57</v>
          </cell>
          <cell r="AQ612">
            <v>0</v>
          </cell>
          <cell r="AS612">
            <v>200</v>
          </cell>
        </row>
        <row r="613">
          <cell r="B613" t="str">
            <v>AC</v>
          </cell>
          <cell r="C613" t="str">
            <v>IMP</v>
          </cell>
          <cell r="D613" t="str">
            <v>BT</v>
          </cell>
          <cell r="E613" t="str">
            <v>P3</v>
          </cell>
          <cell r="F613">
            <v>39990</v>
          </cell>
          <cell r="G613">
            <v>40001</v>
          </cell>
          <cell r="H613" t="str">
            <v>950619</v>
          </cell>
          <cell r="I613" t="str">
            <v>3HBHDM9150IFBP</v>
          </cell>
          <cell r="J613" t="str">
            <v>MU220001500</v>
          </cell>
          <cell r="K613" t="str">
            <v>Fax Memory * (4MB)</v>
          </cell>
          <cell r="L613">
            <v>120</v>
          </cell>
          <cell r="M613">
            <v>1168.1199999999999</v>
          </cell>
          <cell r="N613">
            <v>46</v>
          </cell>
          <cell r="O613">
            <v>0</v>
          </cell>
          <cell r="P613">
            <v>1203.1600000000001</v>
          </cell>
          <cell r="Q613">
            <v>1238.2</v>
          </cell>
          <cell r="R613">
            <v>1399.17</v>
          </cell>
          <cell r="T613" t="e">
            <v>#DIV/0!</v>
          </cell>
          <cell r="U613">
            <v>0</v>
          </cell>
          <cell r="V613">
            <v>0</v>
          </cell>
          <cell r="W613">
            <v>39.1</v>
          </cell>
          <cell r="X613" t="e">
            <v>#DIV/0!</v>
          </cell>
          <cell r="Y613">
            <v>0</v>
          </cell>
          <cell r="Z613">
            <v>0</v>
          </cell>
          <cell r="AA613">
            <v>1421</v>
          </cell>
          <cell r="AB613">
            <v>40</v>
          </cell>
          <cell r="AC613">
            <v>44</v>
          </cell>
          <cell r="AD613">
            <v>47</v>
          </cell>
          <cell r="AE613">
            <v>48.27</v>
          </cell>
          <cell r="AF613">
            <v>0.18997306815827639</v>
          </cell>
          <cell r="AG613">
            <v>4.7027139009736957E-2</v>
          </cell>
          <cell r="AH613">
            <v>50</v>
          </cell>
          <cell r="AI613">
            <v>51</v>
          </cell>
          <cell r="AJ613">
            <v>0.23333333333333331</v>
          </cell>
          <cell r="AK613">
            <v>52</v>
          </cell>
          <cell r="AL613">
            <v>53</v>
          </cell>
          <cell r="AM613">
            <v>0.26226415094339622</v>
          </cell>
          <cell r="AN613">
            <v>60.11</v>
          </cell>
          <cell r="AO613">
            <v>67.22</v>
          </cell>
          <cell r="AP613">
            <v>74.33</v>
          </cell>
          <cell r="AQ613">
            <v>0</v>
          </cell>
          <cell r="AS613">
            <v>120</v>
          </cell>
        </row>
        <row r="614">
          <cell r="B614" t="str">
            <v>AC</v>
          </cell>
          <cell r="C614" t="str">
            <v>IMP</v>
          </cell>
          <cell r="D614" t="str">
            <v>BT</v>
          </cell>
          <cell r="E614" t="str">
            <v>P3</v>
          </cell>
          <cell r="F614">
            <v>39990</v>
          </cell>
          <cell r="G614">
            <v>40001</v>
          </cell>
          <cell r="H614" t="str">
            <v>950620</v>
          </cell>
          <cell r="I614" t="str">
            <v>3HBKAUXPSMBPG</v>
          </cell>
          <cell r="J614" t="str">
            <v>KHB694158A00</v>
          </cell>
          <cell r="K614" t="str">
            <v>32MB Copier Memory</v>
          </cell>
          <cell r="L614">
            <v>300</v>
          </cell>
          <cell r="M614">
            <v>2332</v>
          </cell>
          <cell r="N614">
            <v>124</v>
          </cell>
          <cell r="O614">
            <v>0</v>
          </cell>
          <cell r="P614">
            <v>2401.96</v>
          </cell>
          <cell r="Q614">
            <v>2471.92</v>
          </cell>
          <cell r="R614">
            <v>2793.27</v>
          </cell>
          <cell r="T614" t="e">
            <v>#DIV/0!</v>
          </cell>
          <cell r="U614">
            <v>0</v>
          </cell>
          <cell r="V614">
            <v>0</v>
          </cell>
          <cell r="W614">
            <v>105.39999999999999</v>
          </cell>
          <cell r="X614" t="e">
            <v>#DIV/0!</v>
          </cell>
          <cell r="Y614">
            <v>0</v>
          </cell>
          <cell r="Z614">
            <v>0</v>
          </cell>
          <cell r="AA614">
            <v>2836</v>
          </cell>
          <cell r="AB614">
            <v>106</v>
          </cell>
          <cell r="AC614">
            <v>118</v>
          </cell>
          <cell r="AD614">
            <v>125</v>
          </cell>
          <cell r="AE614">
            <v>130.12</v>
          </cell>
          <cell r="AF614">
            <v>0.18997848140178306</v>
          </cell>
          <cell r="AG614">
            <v>4.7033507531509408E-2</v>
          </cell>
          <cell r="AH614">
            <v>134</v>
          </cell>
          <cell r="AI614">
            <v>136</v>
          </cell>
          <cell r="AJ614">
            <v>0.22500000000000006</v>
          </cell>
          <cell r="AK614">
            <v>138.5</v>
          </cell>
          <cell r="AL614">
            <v>141</v>
          </cell>
          <cell r="AM614">
            <v>0.25248226950354619</v>
          </cell>
          <cell r="AN614">
            <v>160.65</v>
          </cell>
          <cell r="AO614">
            <v>180.3</v>
          </cell>
          <cell r="AP614">
            <v>199.95</v>
          </cell>
          <cell r="AQ614">
            <v>0</v>
          </cell>
          <cell r="AS614">
            <v>300</v>
          </cell>
        </row>
        <row r="615">
          <cell r="B615" t="str">
            <v>AC</v>
          </cell>
          <cell r="C615" t="str">
            <v>IMP</v>
          </cell>
          <cell r="D615" t="str">
            <v>BT</v>
          </cell>
          <cell r="E615" t="str">
            <v>P3</v>
          </cell>
          <cell r="F615">
            <v>39990</v>
          </cell>
          <cell r="G615">
            <v>40001</v>
          </cell>
          <cell r="H615" t="str">
            <v>950621</v>
          </cell>
          <cell r="I615" t="str">
            <v>3HBHDM9110MTC</v>
          </cell>
          <cell r="J615" t="str">
            <v>KCA11788</v>
          </cell>
          <cell r="K615" t="str">
            <v>16MB Copier Memory</v>
          </cell>
          <cell r="L615">
            <v>200</v>
          </cell>
          <cell r="M615">
            <v>1098.1600000000001</v>
          </cell>
          <cell r="N615">
            <v>22</v>
          </cell>
          <cell r="O615">
            <v>0</v>
          </cell>
          <cell r="P615">
            <v>1131.0999999999999</v>
          </cell>
          <cell r="Q615">
            <v>1164.04</v>
          </cell>
          <cell r="R615">
            <v>1315.37</v>
          </cell>
          <cell r="S615">
            <v>194.3</v>
          </cell>
          <cell r="T615" t="e">
            <v>#DIV/0!</v>
          </cell>
          <cell r="U615">
            <v>0</v>
          </cell>
          <cell r="V615">
            <v>0</v>
          </cell>
          <cell r="W615">
            <v>18.7</v>
          </cell>
          <cell r="X615" t="e">
            <v>#DIV/0!</v>
          </cell>
          <cell r="Y615">
            <v>0</v>
          </cell>
          <cell r="Z615">
            <v>0</v>
          </cell>
          <cell r="AA615">
            <v>1336</v>
          </cell>
          <cell r="AB615">
            <v>19</v>
          </cell>
          <cell r="AC615">
            <v>21</v>
          </cell>
          <cell r="AD615">
            <v>23</v>
          </cell>
          <cell r="AE615">
            <v>23.09</v>
          </cell>
          <cell r="AF615">
            <v>0.1901255954958857</v>
          </cell>
          <cell r="AG615">
            <v>4.7206582936336068E-2</v>
          </cell>
          <cell r="AH615">
            <v>25</v>
          </cell>
          <cell r="AI615">
            <v>25</v>
          </cell>
          <cell r="AJ615">
            <v>0.252</v>
          </cell>
          <cell r="AK615">
            <v>25</v>
          </cell>
          <cell r="AL615">
            <v>25</v>
          </cell>
          <cell r="AM615">
            <v>0.252</v>
          </cell>
          <cell r="AN615">
            <v>28.49</v>
          </cell>
          <cell r="AO615">
            <v>31.98</v>
          </cell>
          <cell r="AP615">
            <v>35.47</v>
          </cell>
          <cell r="AQ615">
            <v>0</v>
          </cell>
          <cell r="AS615">
            <v>200</v>
          </cell>
        </row>
        <row r="616">
          <cell r="B616" t="str">
            <v>AC</v>
          </cell>
          <cell r="C616" t="str">
            <v>IMP</v>
          </cell>
          <cell r="D616" t="str">
            <v>BT</v>
          </cell>
          <cell r="E616" t="str">
            <v>P3</v>
          </cell>
          <cell r="F616">
            <v>39990</v>
          </cell>
          <cell r="G616">
            <v>40001</v>
          </cell>
          <cell r="H616" t="str">
            <v>950622</v>
          </cell>
          <cell r="I616" t="str">
            <v>KHB694154A00</v>
          </cell>
          <cell r="J616" t="str">
            <v>KN000490000</v>
          </cell>
          <cell r="K616" t="str">
            <v>Shield Box (Required for installation of fax option/IP-412 print controller)</v>
          </cell>
          <cell r="L616">
            <v>15</v>
          </cell>
          <cell r="M616">
            <v>16536</v>
          </cell>
          <cell r="N616">
            <v>7</v>
          </cell>
          <cell r="O616">
            <v>0</v>
          </cell>
          <cell r="P616">
            <v>17032.080000000002</v>
          </cell>
          <cell r="Q616">
            <v>17528.16</v>
          </cell>
          <cell r="R616">
            <v>19806.82</v>
          </cell>
          <cell r="S616">
            <v>244.2</v>
          </cell>
          <cell r="T616" t="e">
            <v>#DIV/0!</v>
          </cell>
          <cell r="U616">
            <v>0</v>
          </cell>
          <cell r="V616">
            <v>0</v>
          </cell>
          <cell r="W616">
            <v>5.95</v>
          </cell>
          <cell r="X616" t="e">
            <v>#DIV/0!</v>
          </cell>
          <cell r="Y616">
            <v>0</v>
          </cell>
          <cell r="Z616">
            <v>300</v>
          </cell>
          <cell r="AA616">
            <v>17864</v>
          </cell>
          <cell r="AB616">
            <v>6</v>
          </cell>
          <cell r="AC616">
            <v>7</v>
          </cell>
          <cell r="AD616">
            <v>8</v>
          </cell>
          <cell r="AE616">
            <v>7.35</v>
          </cell>
          <cell r="AF616">
            <v>0.19047619047619041</v>
          </cell>
          <cell r="AG616">
            <v>4.7619047619047575E-2</v>
          </cell>
          <cell r="AH616">
            <v>8</v>
          </cell>
          <cell r="AI616">
            <v>8</v>
          </cell>
          <cell r="AJ616">
            <v>0.25624999999999998</v>
          </cell>
          <cell r="AK616">
            <v>8</v>
          </cell>
          <cell r="AL616">
            <v>8</v>
          </cell>
          <cell r="AM616">
            <v>0.25624999999999998</v>
          </cell>
          <cell r="AN616">
            <v>9.1</v>
          </cell>
          <cell r="AO616">
            <v>10.199999999999999</v>
          </cell>
          <cell r="AP616">
            <v>11.3</v>
          </cell>
          <cell r="AQ616">
            <v>0</v>
          </cell>
          <cell r="AS616">
            <v>15</v>
          </cell>
        </row>
        <row r="617">
          <cell r="B617" t="str">
            <v>AC</v>
          </cell>
          <cell r="C617" t="str">
            <v>IMP</v>
          </cell>
          <cell r="D617" t="str">
            <v>BT</v>
          </cell>
          <cell r="E617" t="str">
            <v>P3</v>
          </cell>
          <cell r="F617">
            <v>39990</v>
          </cell>
          <cell r="G617">
            <v>40001</v>
          </cell>
          <cell r="H617" t="str">
            <v>950623</v>
          </cell>
          <cell r="I617" t="str">
            <v>3HBKKC3E3867</v>
          </cell>
          <cell r="J617" t="str">
            <v>KC3E3864</v>
          </cell>
          <cell r="K617" t="str">
            <v>Network Interface Card - 10/100 Base T</v>
          </cell>
          <cell r="L617">
            <v>400</v>
          </cell>
          <cell r="M617">
            <v>530</v>
          </cell>
          <cell r="N617">
            <v>171</v>
          </cell>
          <cell r="O617">
            <v>0</v>
          </cell>
          <cell r="P617">
            <v>545.9</v>
          </cell>
          <cell r="Q617">
            <v>561.79999999999995</v>
          </cell>
          <cell r="R617">
            <v>634.83000000000004</v>
          </cell>
          <cell r="S617">
            <v>244.2</v>
          </cell>
          <cell r="T617" t="e">
            <v>#DIV/0!</v>
          </cell>
          <cell r="U617">
            <v>0</v>
          </cell>
          <cell r="V617">
            <v>0</v>
          </cell>
          <cell r="W617">
            <v>145.35</v>
          </cell>
          <cell r="X617" t="e">
            <v>#DIV/0!</v>
          </cell>
          <cell r="Y617">
            <v>0</v>
          </cell>
          <cell r="Z617">
            <v>0</v>
          </cell>
          <cell r="AA617">
            <v>645</v>
          </cell>
          <cell r="AB617">
            <v>146</v>
          </cell>
          <cell r="AC617">
            <v>162</v>
          </cell>
          <cell r="AD617">
            <v>171</v>
          </cell>
          <cell r="AE617">
            <v>179.44</v>
          </cell>
          <cell r="AF617">
            <v>0.18997993758359341</v>
          </cell>
          <cell r="AG617">
            <v>4.7035220686580462E-2</v>
          </cell>
          <cell r="AH617">
            <v>184</v>
          </cell>
          <cell r="AI617">
            <v>187</v>
          </cell>
          <cell r="AJ617">
            <v>0.22272727272727275</v>
          </cell>
          <cell r="AK617">
            <v>190.5</v>
          </cell>
          <cell r="AL617">
            <v>194</v>
          </cell>
          <cell r="AM617">
            <v>0.25077319587628871</v>
          </cell>
          <cell r="AN617">
            <v>221.2</v>
          </cell>
          <cell r="AO617">
            <v>248.4</v>
          </cell>
          <cell r="AP617">
            <v>275.60000000000002</v>
          </cell>
          <cell r="AQ617">
            <v>0</v>
          </cell>
          <cell r="AS617">
            <v>400</v>
          </cell>
        </row>
        <row r="618">
          <cell r="B618" t="str">
            <v>AC</v>
          </cell>
          <cell r="C618" t="str">
            <v>IMP</v>
          </cell>
          <cell r="D618" t="str">
            <v>BT</v>
          </cell>
          <cell r="E618" t="str">
            <v>P3</v>
          </cell>
          <cell r="F618">
            <v>39990</v>
          </cell>
          <cell r="G618">
            <v>40001</v>
          </cell>
          <cell r="H618" t="str">
            <v>950631</v>
          </cell>
          <cell r="I618" t="str">
            <v>3EKKDS9110V</v>
          </cell>
          <cell r="J618" t="str">
            <v>KC8711418</v>
          </cell>
          <cell r="K618" t="str">
            <v>64MB Memory for Print Controller (MU-401)</v>
          </cell>
          <cell r="L618">
            <v>185</v>
          </cell>
          <cell r="M618">
            <v>579.82000000000005</v>
          </cell>
          <cell r="N618">
            <v>34</v>
          </cell>
          <cell r="O618">
            <v>0</v>
          </cell>
          <cell r="P618">
            <v>597.21</v>
          </cell>
          <cell r="Q618">
            <v>614.6</v>
          </cell>
          <cell r="R618">
            <v>694.5</v>
          </cell>
          <cell r="S618">
            <v>319.2</v>
          </cell>
          <cell r="T618" t="e">
            <v>#DIV/0!</v>
          </cell>
          <cell r="U618">
            <v>0</v>
          </cell>
          <cell r="V618">
            <v>0</v>
          </cell>
          <cell r="W618">
            <v>28.9</v>
          </cell>
          <cell r="X618" t="e">
            <v>#DIV/0!</v>
          </cell>
          <cell r="Y618">
            <v>0</v>
          </cell>
          <cell r="Z618">
            <v>0</v>
          </cell>
          <cell r="AA618">
            <v>616</v>
          </cell>
          <cell r="AB618">
            <v>29</v>
          </cell>
          <cell r="AC618">
            <v>33</v>
          </cell>
          <cell r="AD618">
            <v>35</v>
          </cell>
          <cell r="AE618">
            <v>35.68</v>
          </cell>
          <cell r="AF618">
            <v>0.1900224215246637</v>
          </cell>
          <cell r="AG618">
            <v>4.7085201793721963E-2</v>
          </cell>
          <cell r="AH618">
            <v>37</v>
          </cell>
          <cell r="AI618">
            <v>38</v>
          </cell>
          <cell r="AJ618">
            <v>0.23947368421052637</v>
          </cell>
          <cell r="AK618">
            <v>38.5</v>
          </cell>
          <cell r="AL618">
            <v>39</v>
          </cell>
          <cell r="AM618">
            <v>0.258974358974359</v>
          </cell>
          <cell r="AN618">
            <v>44.3</v>
          </cell>
          <cell r="AO618">
            <v>49.6</v>
          </cell>
          <cell r="AP618">
            <v>54.9</v>
          </cell>
          <cell r="AQ618">
            <v>0</v>
          </cell>
          <cell r="AS618">
            <v>185</v>
          </cell>
        </row>
        <row r="619">
          <cell r="B619" t="str">
            <v>AC</v>
          </cell>
          <cell r="C619" t="str">
            <v>IMP</v>
          </cell>
          <cell r="D619" t="str">
            <v>BT</v>
          </cell>
          <cell r="E619" t="str">
            <v>P3</v>
          </cell>
          <cell r="F619">
            <v>39990</v>
          </cell>
          <cell r="G619">
            <v>40001</v>
          </cell>
          <cell r="H619" t="str">
            <v>950632</v>
          </cell>
          <cell r="I619" t="str">
            <v>6MIDSLS_N</v>
          </cell>
          <cell r="J619">
            <v>504285</v>
          </cell>
          <cell r="K619" t="str">
            <v>128MB Memory for Print Controller (MU-402)</v>
          </cell>
          <cell r="L619">
            <v>295</v>
          </cell>
          <cell r="M619">
            <v>56000</v>
          </cell>
          <cell r="N619">
            <v>65</v>
          </cell>
          <cell r="O619">
            <v>0</v>
          </cell>
          <cell r="P619">
            <v>57680</v>
          </cell>
          <cell r="Q619">
            <v>59360</v>
          </cell>
          <cell r="R619">
            <v>67076.800000000003</v>
          </cell>
          <cell r="T619" t="e">
            <v>#DIV/0!</v>
          </cell>
          <cell r="U619">
            <v>0</v>
          </cell>
          <cell r="V619">
            <v>0</v>
          </cell>
          <cell r="W619">
            <v>55.25</v>
          </cell>
          <cell r="X619" t="e">
            <v>#DIV/0!</v>
          </cell>
          <cell r="Y619">
            <v>0</v>
          </cell>
          <cell r="Z619">
            <v>0</v>
          </cell>
          <cell r="AA619">
            <v>62807</v>
          </cell>
          <cell r="AB619">
            <v>56</v>
          </cell>
          <cell r="AC619">
            <v>62</v>
          </cell>
          <cell r="AD619">
            <v>66</v>
          </cell>
          <cell r="AE619">
            <v>68.209999999999994</v>
          </cell>
          <cell r="AF619">
            <v>0.19000146606069485</v>
          </cell>
          <cell r="AG619">
            <v>4.7060548306699812E-2</v>
          </cell>
          <cell r="AH619">
            <v>71</v>
          </cell>
          <cell r="AI619">
            <v>72</v>
          </cell>
          <cell r="AJ619">
            <v>0.2326388888888889</v>
          </cell>
          <cell r="AK619">
            <v>73</v>
          </cell>
          <cell r="AL619">
            <v>74</v>
          </cell>
          <cell r="AM619">
            <v>0.2533783783783784</v>
          </cell>
          <cell r="AN619">
            <v>84.28</v>
          </cell>
          <cell r="AO619">
            <v>94.56</v>
          </cell>
          <cell r="AP619">
            <v>104.84</v>
          </cell>
          <cell r="AQ619">
            <v>0</v>
          </cell>
          <cell r="AS619">
            <v>295</v>
          </cell>
        </row>
        <row r="620">
          <cell r="B620" t="str">
            <v>AC</v>
          </cell>
          <cell r="C620" t="str">
            <v>IMP</v>
          </cell>
          <cell r="D620" t="str">
            <v>BT</v>
          </cell>
          <cell r="E620" t="str">
            <v>P3</v>
          </cell>
          <cell r="F620">
            <v>39990</v>
          </cell>
          <cell r="G620">
            <v>40001</v>
          </cell>
          <cell r="H620" t="str">
            <v>950636</v>
          </cell>
          <cell r="I620" t="str">
            <v>3MIHROLLCART_</v>
          </cell>
          <cell r="J620">
            <v>80004101</v>
          </cell>
          <cell r="K620" t="str">
            <v>Finisher (FS-108B)</v>
          </cell>
          <cell r="L620">
            <v>5120</v>
          </cell>
          <cell r="M620">
            <v>1060</v>
          </cell>
          <cell r="N620">
            <v>2090</v>
          </cell>
          <cell r="O620">
            <v>0</v>
          </cell>
          <cell r="P620">
            <v>1091.8</v>
          </cell>
          <cell r="Q620">
            <v>1123.5999999999999</v>
          </cell>
          <cell r="R620">
            <v>1269.67</v>
          </cell>
          <cell r="S620">
            <v>89.8</v>
          </cell>
          <cell r="T620" t="e">
            <v>#DIV/0!</v>
          </cell>
          <cell r="U620">
            <v>0</v>
          </cell>
          <cell r="V620">
            <v>0</v>
          </cell>
          <cell r="W620">
            <v>1776.5</v>
          </cell>
          <cell r="X620" t="e">
            <v>#DIV/0!</v>
          </cell>
          <cell r="Y620">
            <v>0</v>
          </cell>
          <cell r="Z620">
            <v>0</v>
          </cell>
          <cell r="AA620">
            <v>1126</v>
          </cell>
          <cell r="AB620">
            <v>1777</v>
          </cell>
          <cell r="AC620">
            <v>1974</v>
          </cell>
          <cell r="AD620">
            <v>2084</v>
          </cell>
          <cell r="AE620">
            <v>2193.21</v>
          </cell>
          <cell r="AF620">
            <v>0.19000004559526903</v>
          </cell>
          <cell r="AG620">
            <v>4.7058877170904762E-2</v>
          </cell>
          <cell r="AH620">
            <v>2238</v>
          </cell>
          <cell r="AI620">
            <v>2282</v>
          </cell>
          <cell r="AJ620">
            <v>0.2215162138475022</v>
          </cell>
          <cell r="AK620">
            <v>2325.5</v>
          </cell>
          <cell r="AL620">
            <v>2369</v>
          </cell>
          <cell r="AM620">
            <v>0.25010552975939215</v>
          </cell>
          <cell r="AN620">
            <v>2702.01</v>
          </cell>
          <cell r="AO620">
            <v>3035.02</v>
          </cell>
          <cell r="AP620">
            <v>3368.03</v>
          </cell>
          <cell r="AQ620">
            <v>0</v>
          </cell>
          <cell r="AS620">
            <v>5120</v>
          </cell>
        </row>
        <row r="621">
          <cell r="B621" t="str">
            <v>AC</v>
          </cell>
          <cell r="C621" t="str">
            <v>IMP</v>
          </cell>
          <cell r="D621" t="str">
            <v>BT</v>
          </cell>
          <cell r="E621" t="str">
            <v>P3</v>
          </cell>
          <cell r="F621">
            <v>39990</v>
          </cell>
          <cell r="G621">
            <v>40001</v>
          </cell>
          <cell r="H621" t="str">
            <v>950637</v>
          </cell>
          <cell r="I621" t="str">
            <v>3MIHPRTREGOPT</v>
          </cell>
          <cell r="J621">
            <v>503235</v>
          </cell>
          <cell r="K621" t="str">
            <v>LCT (LT-401)</v>
          </cell>
          <cell r="L621">
            <v>2640</v>
          </cell>
          <cell r="M621">
            <v>9800</v>
          </cell>
          <cell r="N621">
            <v>1068</v>
          </cell>
          <cell r="O621">
            <v>0</v>
          </cell>
          <cell r="P621">
            <v>10094</v>
          </cell>
          <cell r="Q621">
            <v>10388</v>
          </cell>
          <cell r="R621">
            <v>11738.44</v>
          </cell>
          <cell r="T621" t="e">
            <v>#DIV/0!</v>
          </cell>
          <cell r="U621">
            <v>0</v>
          </cell>
          <cell r="V621">
            <v>0</v>
          </cell>
          <cell r="W621">
            <v>907.8</v>
          </cell>
          <cell r="X621" t="e">
            <v>#DIV/0!</v>
          </cell>
          <cell r="Y621">
            <v>0</v>
          </cell>
          <cell r="Z621">
            <v>0</v>
          </cell>
          <cell r="AA621">
            <v>10413</v>
          </cell>
          <cell r="AB621">
            <v>908</v>
          </cell>
          <cell r="AC621">
            <v>1009</v>
          </cell>
          <cell r="AD621">
            <v>1065</v>
          </cell>
          <cell r="AE621">
            <v>1120.74</v>
          </cell>
          <cell r="AF621">
            <v>0.18999946463943471</v>
          </cell>
          <cell r="AG621">
            <v>4.705819369345255E-2</v>
          </cell>
          <cell r="AH621">
            <v>1144</v>
          </cell>
          <cell r="AI621">
            <v>1166</v>
          </cell>
          <cell r="AJ621">
            <v>0.22144082332761583</v>
          </cell>
          <cell r="AK621">
            <v>1188.5</v>
          </cell>
          <cell r="AL621">
            <v>1211</v>
          </cell>
          <cell r="AM621">
            <v>0.25037159372419493</v>
          </cell>
          <cell r="AN621">
            <v>1381.06</v>
          </cell>
          <cell r="AO621">
            <v>1551.12</v>
          </cell>
          <cell r="AP621">
            <v>1721.18</v>
          </cell>
          <cell r="AQ621">
            <v>0</v>
          </cell>
          <cell r="AS621">
            <v>2640</v>
          </cell>
        </row>
        <row r="622">
          <cell r="B622" t="str">
            <v>AC</v>
          </cell>
          <cell r="C622" t="str">
            <v>IMP</v>
          </cell>
          <cell r="D622" t="str">
            <v>BT</v>
          </cell>
          <cell r="E622" t="str">
            <v>P3</v>
          </cell>
          <cell r="F622">
            <v>39990</v>
          </cell>
          <cell r="G622">
            <v>40001</v>
          </cell>
          <cell r="H622" t="str">
            <v>950639</v>
          </cell>
          <cell r="I622" t="str">
            <v>3MIHRUNPERFOPT_</v>
          </cell>
          <cell r="J622">
            <v>503171</v>
          </cell>
          <cell r="K622" t="str">
            <v>Post Process Inserter (PPI-108)</v>
          </cell>
          <cell r="L622">
            <v>950</v>
          </cell>
          <cell r="M622">
            <v>5410</v>
          </cell>
          <cell r="N622">
            <v>409</v>
          </cell>
          <cell r="O622">
            <v>0</v>
          </cell>
          <cell r="P622">
            <v>5572.3</v>
          </cell>
          <cell r="Q622">
            <v>5734.6</v>
          </cell>
          <cell r="R622">
            <v>6480.1</v>
          </cell>
          <cell r="S622">
            <v>798</v>
          </cell>
          <cell r="T622" t="e">
            <v>#DIV/0!</v>
          </cell>
          <cell r="U622">
            <v>0</v>
          </cell>
          <cell r="V622">
            <v>0</v>
          </cell>
          <cell r="W622">
            <v>347.65</v>
          </cell>
          <cell r="X622" t="e">
            <v>#DIV/0!</v>
          </cell>
          <cell r="Y622">
            <v>0</v>
          </cell>
          <cell r="Z622">
            <v>0</v>
          </cell>
          <cell r="AA622">
            <v>5748</v>
          </cell>
          <cell r="AB622">
            <v>348</v>
          </cell>
          <cell r="AC622">
            <v>387</v>
          </cell>
          <cell r="AD622">
            <v>409</v>
          </cell>
          <cell r="AE622">
            <v>429.2</v>
          </cell>
          <cell r="AF622">
            <v>0.19000465983224607</v>
          </cell>
          <cell r="AG622">
            <v>4.7064305684995318E-2</v>
          </cell>
          <cell r="AH622">
            <v>439</v>
          </cell>
          <cell r="AI622">
            <v>447</v>
          </cell>
          <cell r="AJ622">
            <v>0.22225950782997769</v>
          </cell>
          <cell r="AK622">
            <v>455.5</v>
          </cell>
          <cell r="AL622">
            <v>464</v>
          </cell>
          <cell r="AM622">
            <v>0.25075431034482765</v>
          </cell>
          <cell r="AN622">
            <v>529.07000000000005</v>
          </cell>
          <cell r="AO622">
            <v>594.14</v>
          </cell>
          <cell r="AP622">
            <v>659.21</v>
          </cell>
          <cell r="AQ622">
            <v>0</v>
          </cell>
          <cell r="AS622">
            <v>950</v>
          </cell>
        </row>
        <row r="623">
          <cell r="B623" t="str">
            <v>AC</v>
          </cell>
          <cell r="C623" t="str">
            <v>IMP</v>
          </cell>
          <cell r="D623" t="str">
            <v>BT</v>
          </cell>
          <cell r="E623" t="str">
            <v>P3</v>
          </cell>
          <cell r="F623">
            <v>39990</v>
          </cell>
          <cell r="G623">
            <v>40001</v>
          </cell>
          <cell r="H623" t="str">
            <v>950646</v>
          </cell>
          <cell r="I623" t="str">
            <v>7MI90DINPUT_N</v>
          </cell>
          <cell r="J623">
            <v>503281</v>
          </cell>
          <cell r="K623" t="str">
            <v>LCT (LT-411)</v>
          </cell>
          <cell r="L623">
            <v>3250</v>
          </cell>
          <cell r="M623">
            <v>940</v>
          </cell>
          <cell r="N623">
            <v>1323</v>
          </cell>
          <cell r="O623">
            <v>0</v>
          </cell>
          <cell r="P623">
            <v>968.2</v>
          </cell>
          <cell r="Q623">
            <v>996.4</v>
          </cell>
          <cell r="R623">
            <v>1125.93</v>
          </cell>
          <cell r="T623" t="e">
            <v>#DIV/0!</v>
          </cell>
          <cell r="U623">
            <v>0</v>
          </cell>
          <cell r="V623">
            <v>0</v>
          </cell>
          <cell r="W623">
            <v>1124.55</v>
          </cell>
          <cell r="X623" t="e">
            <v>#DIV/0!</v>
          </cell>
          <cell r="Y623">
            <v>0</v>
          </cell>
          <cell r="Z623">
            <v>0</v>
          </cell>
          <cell r="AA623">
            <v>999</v>
          </cell>
          <cell r="AB623">
            <v>1125</v>
          </cell>
          <cell r="AC623">
            <v>1250</v>
          </cell>
          <cell r="AD623">
            <v>1320</v>
          </cell>
          <cell r="AE623">
            <v>1388.33</v>
          </cell>
          <cell r="AF623">
            <v>0.18999805521741947</v>
          </cell>
          <cell r="AG623">
            <v>4.7056535549905229E-2</v>
          </cell>
          <cell r="AH623">
            <v>1417</v>
          </cell>
          <cell r="AI623">
            <v>1445</v>
          </cell>
          <cell r="AJ623">
            <v>0.22176470588235297</v>
          </cell>
          <cell r="AK623">
            <v>1472.5</v>
          </cell>
          <cell r="AL623">
            <v>1500</v>
          </cell>
          <cell r="AM623">
            <v>0.25030000000000002</v>
          </cell>
          <cell r="AN623">
            <v>1710.7</v>
          </cell>
          <cell r="AO623">
            <v>1921.4</v>
          </cell>
          <cell r="AP623">
            <v>2132.1</v>
          </cell>
          <cell r="AQ623">
            <v>0</v>
          </cell>
          <cell r="AS623">
            <v>3250</v>
          </cell>
        </row>
        <row r="624">
          <cell r="B624" t="str">
            <v>AC</v>
          </cell>
          <cell r="C624" t="str">
            <v>IMP</v>
          </cell>
          <cell r="D624" t="str">
            <v>BT</v>
          </cell>
          <cell r="E624" t="str">
            <v>P3</v>
          </cell>
          <cell r="F624">
            <v>39990</v>
          </cell>
          <cell r="G624">
            <v>40001</v>
          </cell>
          <cell r="H624" t="str">
            <v>950647</v>
          </cell>
          <cell r="I624" t="str">
            <v>4KCBWMIFRET45_N</v>
          </cell>
          <cell r="J624" t="str">
            <v>KCBWMIFRET45</v>
          </cell>
          <cell r="K624" t="str">
            <v>Trimmer Unit (TU-108)</v>
          </cell>
          <cell r="L624">
            <v>6850</v>
          </cell>
          <cell r="M624">
            <v>11214</v>
          </cell>
          <cell r="N624">
            <v>3556</v>
          </cell>
          <cell r="O624">
            <v>0</v>
          </cell>
          <cell r="P624">
            <v>11550.42</v>
          </cell>
          <cell r="Q624">
            <v>11886.84</v>
          </cell>
          <cell r="R624">
            <v>13432.13</v>
          </cell>
          <cell r="T624" t="e">
            <v>#DIV/0!</v>
          </cell>
          <cell r="U624">
            <v>0</v>
          </cell>
          <cell r="V624">
            <v>0</v>
          </cell>
          <cell r="W624">
            <v>3022.6</v>
          </cell>
          <cell r="X624" t="e">
            <v>#DIV/0!</v>
          </cell>
          <cell r="Y624">
            <v>0</v>
          </cell>
          <cell r="Z624">
            <v>0</v>
          </cell>
          <cell r="AA624">
            <v>13638</v>
          </cell>
          <cell r="AB624">
            <v>3023</v>
          </cell>
          <cell r="AC624">
            <v>3359</v>
          </cell>
          <cell r="AD624">
            <v>3546</v>
          </cell>
          <cell r="AE624">
            <v>3731.6</v>
          </cell>
          <cell r="AF624">
            <v>0.18999892807374852</v>
          </cell>
          <cell r="AG624">
            <v>4.7057562439704125E-2</v>
          </cell>
          <cell r="AH624">
            <v>3807</v>
          </cell>
          <cell r="AI624">
            <v>3882</v>
          </cell>
          <cell r="AJ624">
            <v>0.22138073158165897</v>
          </cell>
          <cell r="AK624">
            <v>3956.5</v>
          </cell>
          <cell r="AL624">
            <v>4031</v>
          </cell>
          <cell r="AM624">
            <v>0.25016125031009678</v>
          </cell>
          <cell r="AN624">
            <v>4597.5200000000004</v>
          </cell>
          <cell r="AO624">
            <v>5164.04</v>
          </cell>
          <cell r="AP624">
            <v>5730.56</v>
          </cell>
          <cell r="AQ624">
            <v>0</v>
          </cell>
          <cell r="AS624">
            <v>6850</v>
          </cell>
        </row>
        <row r="625">
          <cell r="B625" t="str">
            <v>AC</v>
          </cell>
          <cell r="C625" t="str">
            <v>IMP</v>
          </cell>
          <cell r="D625" t="str">
            <v>BT</v>
          </cell>
          <cell r="E625" t="str">
            <v>P3</v>
          </cell>
          <cell r="F625">
            <v>39990</v>
          </cell>
          <cell r="G625">
            <v>40001</v>
          </cell>
          <cell r="H625" t="str">
            <v>950649</v>
          </cell>
          <cell r="I625" t="str">
            <v>3KDHEXROLLFDKITG</v>
          </cell>
          <cell r="J625" t="str">
            <v>KHB670597A00</v>
          </cell>
          <cell r="K625" t="str">
            <v>Twain Driver</v>
          </cell>
          <cell r="L625">
            <v>30</v>
          </cell>
          <cell r="M625">
            <v>5300</v>
          </cell>
          <cell r="N625">
            <v>12</v>
          </cell>
          <cell r="O625">
            <v>0</v>
          </cell>
          <cell r="P625">
            <v>5459</v>
          </cell>
          <cell r="Q625">
            <v>5618</v>
          </cell>
          <cell r="R625">
            <v>6348.34</v>
          </cell>
          <cell r="T625" t="e">
            <v>#DIV/0!</v>
          </cell>
          <cell r="U625">
            <v>0</v>
          </cell>
          <cell r="V625">
            <v>0</v>
          </cell>
          <cell r="W625">
            <v>10.199999999999999</v>
          </cell>
          <cell r="X625" t="e">
            <v>#DIV/0!</v>
          </cell>
          <cell r="Y625">
            <v>0</v>
          </cell>
          <cell r="Z625">
            <v>0</v>
          </cell>
          <cell r="AA625">
            <v>6446</v>
          </cell>
          <cell r="AB625">
            <v>11</v>
          </cell>
          <cell r="AC625">
            <v>12</v>
          </cell>
          <cell r="AD625">
            <v>13</v>
          </cell>
          <cell r="AE625">
            <v>12.59</v>
          </cell>
          <cell r="AF625">
            <v>0.18983320095313747</v>
          </cell>
          <cell r="AG625">
            <v>4.6862589356632234E-2</v>
          </cell>
          <cell r="AH625">
            <v>14</v>
          </cell>
          <cell r="AI625">
            <v>14</v>
          </cell>
          <cell r="AJ625">
            <v>0.27142857142857146</v>
          </cell>
          <cell r="AK625">
            <v>14</v>
          </cell>
          <cell r="AL625">
            <v>14</v>
          </cell>
          <cell r="AM625">
            <v>0.27142857142857146</v>
          </cell>
          <cell r="AN625">
            <v>15.81</v>
          </cell>
          <cell r="AO625">
            <v>17.62</v>
          </cell>
          <cell r="AP625">
            <v>19.43</v>
          </cell>
          <cell r="AQ625">
            <v>0</v>
          </cell>
          <cell r="AS625">
            <v>30</v>
          </cell>
        </row>
        <row r="626">
          <cell r="B626" t="str">
            <v>AC</v>
          </cell>
          <cell r="C626" t="str">
            <v>IMP</v>
          </cell>
          <cell r="D626" t="str">
            <v>BT</v>
          </cell>
          <cell r="E626" t="str">
            <v>P3</v>
          </cell>
          <cell r="F626">
            <v>39990</v>
          </cell>
          <cell r="G626">
            <v>40001</v>
          </cell>
          <cell r="H626" t="str">
            <v>950656</v>
          </cell>
          <cell r="I626" t="str">
            <v>4KDKHB694166A00</v>
          </cell>
          <cell r="J626" t="str">
            <v>KHB694166A00</v>
          </cell>
          <cell r="K626" t="str">
            <v>Finisher (FS-108)</v>
          </cell>
          <cell r="L626">
            <v>3540</v>
          </cell>
          <cell r="M626">
            <v>3500</v>
          </cell>
          <cell r="N626">
            <v>1522</v>
          </cell>
          <cell r="O626">
            <v>0</v>
          </cell>
          <cell r="P626">
            <v>3605</v>
          </cell>
          <cell r="Q626">
            <v>3710</v>
          </cell>
          <cell r="R626">
            <v>4192.3</v>
          </cell>
          <cell r="S626">
            <v>330.8</v>
          </cell>
          <cell r="T626" t="e">
            <v>#DIV/0!</v>
          </cell>
          <cell r="U626">
            <v>0</v>
          </cell>
          <cell r="V626">
            <v>0</v>
          </cell>
          <cell r="W626">
            <v>1293.7</v>
          </cell>
          <cell r="X626" t="e">
            <v>#DIV/0!</v>
          </cell>
          <cell r="Y626">
            <v>0</v>
          </cell>
          <cell r="Z626">
            <v>0</v>
          </cell>
          <cell r="AA626">
            <v>3925</v>
          </cell>
          <cell r="AB626">
            <v>1294</v>
          </cell>
          <cell r="AC626">
            <v>1438</v>
          </cell>
          <cell r="AD626">
            <v>1518</v>
          </cell>
          <cell r="AE626">
            <v>1597.16</v>
          </cell>
          <cell r="AF626">
            <v>0.18999974955546095</v>
          </cell>
          <cell r="AG626">
            <v>4.705852888877763E-2</v>
          </cell>
          <cell r="AH626">
            <v>1630</v>
          </cell>
          <cell r="AI626">
            <v>1662</v>
          </cell>
          <cell r="AJ626">
            <v>0.22160048134777374</v>
          </cell>
          <cell r="AK626">
            <v>1693.5</v>
          </cell>
          <cell r="AL626">
            <v>1725</v>
          </cell>
          <cell r="AM626">
            <v>0.25002898550724634</v>
          </cell>
          <cell r="AN626">
            <v>1967.55</v>
          </cell>
          <cell r="AO626">
            <v>2210.1</v>
          </cell>
          <cell r="AP626">
            <v>2452.65</v>
          </cell>
          <cell r="AQ626">
            <v>0</v>
          </cell>
          <cell r="AS626">
            <v>3540</v>
          </cell>
        </row>
        <row r="627">
          <cell r="B627" t="str">
            <v>AC</v>
          </cell>
          <cell r="C627" t="str">
            <v>IMP</v>
          </cell>
          <cell r="D627" t="str">
            <v>BT</v>
          </cell>
          <cell r="E627" t="str">
            <v>P3</v>
          </cell>
          <cell r="F627">
            <v>39990</v>
          </cell>
          <cell r="G627">
            <v>40001</v>
          </cell>
          <cell r="H627" t="str">
            <v>950700</v>
          </cell>
          <cell r="I627" t="str">
            <v>4KDKHB694167A00</v>
          </cell>
          <cell r="J627" t="str">
            <v>KHB694167A00</v>
          </cell>
          <cell r="K627" t="str">
            <v>Original Cover (Item number must be keyed in when shipped w/o ADF-DF-216</v>
          </cell>
          <cell r="L627">
            <v>50</v>
          </cell>
          <cell r="M627">
            <v>3500</v>
          </cell>
          <cell r="N627">
            <v>23</v>
          </cell>
          <cell r="O627">
            <v>0</v>
          </cell>
          <cell r="P627">
            <v>3605</v>
          </cell>
          <cell r="Q627">
            <v>3710</v>
          </cell>
          <cell r="R627">
            <v>4192.3</v>
          </cell>
          <cell r="T627" t="e">
            <v>#DIV/0!</v>
          </cell>
          <cell r="U627">
            <v>0</v>
          </cell>
          <cell r="V627">
            <v>0</v>
          </cell>
          <cell r="W627">
            <v>19.55</v>
          </cell>
          <cell r="X627" t="e">
            <v>#DIV/0!</v>
          </cell>
          <cell r="Y627">
            <v>0</v>
          </cell>
          <cell r="Z627">
            <v>0</v>
          </cell>
          <cell r="AA627">
            <v>3925</v>
          </cell>
          <cell r="AB627">
            <v>20</v>
          </cell>
          <cell r="AC627">
            <v>22</v>
          </cell>
          <cell r="AD627">
            <v>24</v>
          </cell>
          <cell r="AE627">
            <v>24.14</v>
          </cell>
          <cell r="AF627">
            <v>0.19014084507042253</v>
          </cell>
          <cell r="AG627">
            <v>4.7224523612261829E-2</v>
          </cell>
          <cell r="AH627">
            <v>26</v>
          </cell>
          <cell r="AI627">
            <v>26</v>
          </cell>
          <cell r="AJ627">
            <v>0.24807692307692306</v>
          </cell>
          <cell r="AK627">
            <v>26.5</v>
          </cell>
          <cell r="AL627">
            <v>27</v>
          </cell>
          <cell r="AM627">
            <v>0.27592592592592591</v>
          </cell>
          <cell r="AN627">
            <v>30.43</v>
          </cell>
          <cell r="AO627">
            <v>33.86</v>
          </cell>
          <cell r="AP627">
            <v>37.29</v>
          </cell>
          <cell r="AQ627">
            <v>0</v>
          </cell>
          <cell r="AS627">
            <v>50</v>
          </cell>
        </row>
        <row r="628">
          <cell r="B628" t="str">
            <v>AC</v>
          </cell>
          <cell r="C628" t="str">
            <v>IMP</v>
          </cell>
          <cell r="D628" t="str">
            <v>BT</v>
          </cell>
          <cell r="E628" t="str">
            <v>P3</v>
          </cell>
          <cell r="F628">
            <v>39990</v>
          </cell>
          <cell r="G628">
            <v>40001</v>
          </cell>
          <cell r="H628" t="str">
            <v>950703</v>
          </cell>
          <cell r="I628" t="str">
            <v>4KDKHB694169A00</v>
          </cell>
          <cell r="J628" t="str">
            <v>KHB694169A00</v>
          </cell>
          <cell r="K628" t="str">
            <v>Fax Kit (FK-116) (33.6Kbps)</v>
          </cell>
          <cell r="L628">
            <v>840</v>
          </cell>
          <cell r="M628">
            <v>2226</v>
          </cell>
          <cell r="N628">
            <v>341</v>
          </cell>
          <cell r="O628">
            <v>0</v>
          </cell>
          <cell r="P628">
            <v>2292.7800000000002</v>
          </cell>
          <cell r="Q628">
            <v>2359.56</v>
          </cell>
          <cell r="R628">
            <v>2666.3</v>
          </cell>
          <cell r="T628" t="e">
            <v>#DIV/0!</v>
          </cell>
          <cell r="U628">
            <v>0</v>
          </cell>
          <cell r="V628">
            <v>0</v>
          </cell>
          <cell r="W628">
            <v>289.84999999999997</v>
          </cell>
          <cell r="X628" t="e">
            <v>#DIV/0!</v>
          </cell>
          <cell r="Y628">
            <v>0</v>
          </cell>
          <cell r="Z628">
            <v>0</v>
          </cell>
          <cell r="AA628">
            <v>2707</v>
          </cell>
          <cell r="AB628">
            <v>290</v>
          </cell>
          <cell r="AC628">
            <v>323</v>
          </cell>
          <cell r="AD628">
            <v>341</v>
          </cell>
          <cell r="AE628">
            <v>357.84</v>
          </cell>
          <cell r="AF628">
            <v>0.19000111781801926</v>
          </cell>
          <cell r="AG628">
            <v>4.7060138609434317E-2</v>
          </cell>
          <cell r="AH628">
            <v>366</v>
          </cell>
          <cell r="AI628">
            <v>373</v>
          </cell>
          <cell r="AJ628">
            <v>0.22292225201072396</v>
          </cell>
          <cell r="AK628">
            <v>380</v>
          </cell>
          <cell r="AL628">
            <v>387</v>
          </cell>
          <cell r="AM628">
            <v>0.25103359173126621</v>
          </cell>
          <cell r="AN628">
            <v>441.21</v>
          </cell>
          <cell r="AO628">
            <v>495.42</v>
          </cell>
          <cell r="AP628">
            <v>549.63</v>
          </cell>
          <cell r="AQ628">
            <v>0</v>
          </cell>
          <cell r="AS628">
            <v>840</v>
          </cell>
        </row>
        <row r="629">
          <cell r="B629" t="str">
            <v>AC</v>
          </cell>
          <cell r="C629" t="str">
            <v>IMP</v>
          </cell>
          <cell r="D629" t="str">
            <v>BT</v>
          </cell>
          <cell r="E629" t="str">
            <v>P3</v>
          </cell>
          <cell r="F629">
            <v>39990</v>
          </cell>
          <cell r="G629">
            <v>40001</v>
          </cell>
          <cell r="H629" t="str">
            <v>950707</v>
          </cell>
          <cell r="I629" t="str">
            <v>3HBHDM2HP</v>
          </cell>
          <cell r="J629" t="str">
            <v>MU2041070/00</v>
          </cell>
          <cell r="K629" t="str">
            <v>Automatic Document Feeder (DF-216)</v>
          </cell>
          <cell r="L629">
            <v>350</v>
          </cell>
          <cell r="M629">
            <v>5600</v>
          </cell>
          <cell r="N629">
            <v>153</v>
          </cell>
          <cell r="O629">
            <v>0</v>
          </cell>
          <cell r="P629">
            <v>5768</v>
          </cell>
          <cell r="Q629">
            <v>5936</v>
          </cell>
          <cell r="R629">
            <v>6707.68</v>
          </cell>
          <cell r="T629" t="e">
            <v>#DIV/0!</v>
          </cell>
          <cell r="U629">
            <v>0</v>
          </cell>
          <cell r="V629">
            <v>0</v>
          </cell>
          <cell r="W629">
            <v>130.04999999999998</v>
          </cell>
          <cell r="X629" t="e">
            <v>#DIV/0!</v>
          </cell>
          <cell r="Y629">
            <v>0</v>
          </cell>
          <cell r="Z629">
            <v>0</v>
          </cell>
          <cell r="AA629">
            <v>5950</v>
          </cell>
          <cell r="AB629">
            <v>131</v>
          </cell>
          <cell r="AC629">
            <v>145</v>
          </cell>
          <cell r="AD629">
            <v>153</v>
          </cell>
          <cell r="AE629">
            <v>160.56</v>
          </cell>
          <cell r="AF629">
            <v>0.19002242152466378</v>
          </cell>
          <cell r="AG629">
            <v>4.7085201793721984E-2</v>
          </cell>
          <cell r="AH629">
            <v>165</v>
          </cell>
          <cell r="AI629">
            <v>168</v>
          </cell>
          <cell r="AJ629">
            <v>0.22589285714285726</v>
          </cell>
          <cell r="AK629">
            <v>171</v>
          </cell>
          <cell r="AL629">
            <v>174</v>
          </cell>
          <cell r="AM629">
            <v>0.25258620689655181</v>
          </cell>
          <cell r="AN629">
            <v>198.23</v>
          </cell>
          <cell r="AO629">
            <v>222.46</v>
          </cell>
          <cell r="AP629">
            <v>246.69</v>
          </cell>
          <cell r="AQ629">
            <v>0</v>
          </cell>
          <cell r="AS629">
            <v>350</v>
          </cell>
        </row>
        <row r="630">
          <cell r="B630" t="str">
            <v>AC</v>
          </cell>
          <cell r="C630" t="str">
            <v>IMP</v>
          </cell>
          <cell r="D630" t="str">
            <v>BT</v>
          </cell>
          <cell r="E630" t="str">
            <v>P3</v>
          </cell>
          <cell r="F630">
            <v>39990</v>
          </cell>
          <cell r="G630">
            <v>40001</v>
          </cell>
          <cell r="H630" t="str">
            <v>950708</v>
          </cell>
          <cell r="I630" t="str">
            <v>3HBHDM3HP</v>
          </cell>
          <cell r="J630" t="str">
            <v>MU2041078/00</v>
          </cell>
          <cell r="K630" t="str">
            <v>Paper Feed Unit (500 sheets) (PF-120)</v>
          </cell>
          <cell r="L630">
            <v>365</v>
          </cell>
          <cell r="M630">
            <v>5600</v>
          </cell>
          <cell r="N630">
            <v>136</v>
          </cell>
          <cell r="O630">
            <v>0</v>
          </cell>
          <cell r="P630">
            <v>5768</v>
          </cell>
          <cell r="Q630">
            <v>5936</v>
          </cell>
          <cell r="R630">
            <v>6707.68</v>
          </cell>
          <cell r="T630" t="e">
            <v>#DIV/0!</v>
          </cell>
          <cell r="U630">
            <v>0</v>
          </cell>
          <cell r="V630">
            <v>0</v>
          </cell>
          <cell r="W630">
            <v>115.6</v>
          </cell>
          <cell r="X630" t="e">
            <v>#DIV/0!</v>
          </cell>
          <cell r="Y630">
            <v>0</v>
          </cell>
          <cell r="Z630">
            <v>0</v>
          </cell>
          <cell r="AA630">
            <v>5950</v>
          </cell>
          <cell r="AB630">
            <v>116</v>
          </cell>
          <cell r="AC630">
            <v>129</v>
          </cell>
          <cell r="AD630">
            <v>136</v>
          </cell>
          <cell r="AE630">
            <v>142.72</v>
          </cell>
          <cell r="AF630">
            <v>0.1900224215246637</v>
          </cell>
          <cell r="AG630">
            <v>4.7085201793721963E-2</v>
          </cell>
          <cell r="AH630">
            <v>146</v>
          </cell>
          <cell r="AI630">
            <v>149</v>
          </cell>
          <cell r="AJ630">
            <v>0.2241610738255034</v>
          </cell>
          <cell r="AK630">
            <v>152</v>
          </cell>
          <cell r="AL630">
            <v>155</v>
          </cell>
          <cell r="AM630">
            <v>0.25419354838709679</v>
          </cell>
          <cell r="AN630">
            <v>176.46</v>
          </cell>
          <cell r="AO630">
            <v>197.92</v>
          </cell>
          <cell r="AP630">
            <v>219.38</v>
          </cell>
          <cell r="AQ630">
            <v>0</v>
          </cell>
          <cell r="AS630">
            <v>365</v>
          </cell>
        </row>
        <row r="631">
          <cell r="B631" t="str">
            <v>AC</v>
          </cell>
          <cell r="C631" t="str">
            <v>IMP</v>
          </cell>
          <cell r="D631" t="str">
            <v>BT</v>
          </cell>
          <cell r="E631" t="str">
            <v>P3</v>
          </cell>
          <cell r="F631">
            <v>39990</v>
          </cell>
          <cell r="G631">
            <v>40001</v>
          </cell>
          <cell r="H631" t="str">
            <v>950709</v>
          </cell>
          <cell r="I631" t="str">
            <v>3HBHDM4HP</v>
          </cell>
          <cell r="J631" t="str">
            <v>MU2041086/00</v>
          </cell>
          <cell r="K631" t="str">
            <v>Print Controller (IP-412)</v>
          </cell>
          <cell r="L631">
            <v>550</v>
          </cell>
          <cell r="M631">
            <v>5600</v>
          </cell>
          <cell r="N631">
            <v>228</v>
          </cell>
          <cell r="O631">
            <v>0</v>
          </cell>
          <cell r="P631">
            <v>5768</v>
          </cell>
          <cell r="Q631">
            <v>5936</v>
          </cell>
          <cell r="R631">
            <v>6707.68</v>
          </cell>
          <cell r="T631" t="e">
            <v>#DIV/0!</v>
          </cell>
          <cell r="U631">
            <v>0</v>
          </cell>
          <cell r="V631">
            <v>0</v>
          </cell>
          <cell r="W631">
            <v>193.79999999999998</v>
          </cell>
          <cell r="X631" t="e">
            <v>#DIV/0!</v>
          </cell>
          <cell r="Y631">
            <v>0</v>
          </cell>
          <cell r="Z631">
            <v>0</v>
          </cell>
          <cell r="AA631">
            <v>5950</v>
          </cell>
          <cell r="AB631">
            <v>194</v>
          </cell>
          <cell r="AC631">
            <v>216</v>
          </cell>
          <cell r="AD631">
            <v>228</v>
          </cell>
          <cell r="AE631">
            <v>239.26</v>
          </cell>
          <cell r="AF631">
            <v>0.19000250773217425</v>
          </cell>
          <cell r="AG631">
            <v>4.7061773802557848E-2</v>
          </cell>
          <cell r="AH631">
            <v>245</v>
          </cell>
          <cell r="AI631">
            <v>250</v>
          </cell>
          <cell r="AJ631">
            <v>0.22480000000000006</v>
          </cell>
          <cell r="AK631">
            <v>254.5</v>
          </cell>
          <cell r="AL631">
            <v>259</v>
          </cell>
          <cell r="AM631">
            <v>0.25173745173745182</v>
          </cell>
          <cell r="AN631">
            <v>295.19</v>
          </cell>
          <cell r="AO631">
            <v>331.38</v>
          </cell>
          <cell r="AP631">
            <v>367.57</v>
          </cell>
          <cell r="AQ631">
            <v>0</v>
          </cell>
          <cell r="AS631">
            <v>550</v>
          </cell>
        </row>
        <row r="632">
          <cell r="B632" t="str">
            <v>AC</v>
          </cell>
          <cell r="C632" t="str">
            <v>IMP</v>
          </cell>
          <cell r="D632" t="str">
            <v>BT</v>
          </cell>
          <cell r="E632" t="str">
            <v>P3</v>
          </cell>
          <cell r="F632">
            <v>39990</v>
          </cell>
          <cell r="G632">
            <v>40001</v>
          </cell>
          <cell r="H632" t="str">
            <v>950952</v>
          </cell>
          <cell r="I632" t="str">
            <v>3HBHP1169</v>
          </cell>
          <cell r="J632" t="str">
            <v>MU2041201/00</v>
          </cell>
          <cell r="K632" t="str">
            <v>Video Interface Kit (VI-602)</v>
          </cell>
          <cell r="L632">
            <v>800</v>
          </cell>
          <cell r="M632">
            <v>8930</v>
          </cell>
          <cell r="N632">
            <v>252</v>
          </cell>
          <cell r="O632">
            <v>0</v>
          </cell>
          <cell r="P632">
            <v>9197.9</v>
          </cell>
          <cell r="Q632">
            <v>9465.7999999999993</v>
          </cell>
          <cell r="R632">
            <v>10696.35</v>
          </cell>
          <cell r="T632" t="e">
            <v>#DIV/0!</v>
          </cell>
          <cell r="U632">
            <v>0</v>
          </cell>
          <cell r="V632">
            <v>0</v>
          </cell>
          <cell r="W632">
            <v>214.2</v>
          </cell>
          <cell r="X632" t="e">
            <v>#DIV/0!</v>
          </cell>
          <cell r="Y632">
            <v>0</v>
          </cell>
          <cell r="Z632">
            <v>0</v>
          </cell>
          <cell r="AA632">
            <v>9488</v>
          </cell>
          <cell r="AB632">
            <v>215</v>
          </cell>
          <cell r="AC632">
            <v>238</v>
          </cell>
          <cell r="AD632">
            <v>252</v>
          </cell>
          <cell r="AE632">
            <v>264.44</v>
          </cell>
          <cell r="AF632">
            <v>0.18998638632582063</v>
          </cell>
          <cell r="AG632">
            <v>4.7042807442141878E-2</v>
          </cell>
          <cell r="AH632">
            <v>271</v>
          </cell>
          <cell r="AI632">
            <v>276</v>
          </cell>
          <cell r="AJ632">
            <v>0.22391304347826091</v>
          </cell>
          <cell r="AK632">
            <v>281</v>
          </cell>
          <cell r="AL632">
            <v>286</v>
          </cell>
          <cell r="AM632">
            <v>0.25104895104895109</v>
          </cell>
          <cell r="AN632">
            <v>326.06</v>
          </cell>
          <cell r="AO632">
            <v>366.12</v>
          </cell>
          <cell r="AP632">
            <v>406.18</v>
          </cell>
          <cell r="AQ632">
            <v>0</v>
          </cell>
          <cell r="AS632">
            <v>800</v>
          </cell>
        </row>
        <row r="633">
          <cell r="B633" t="str">
            <v>AC</v>
          </cell>
          <cell r="C633" t="str">
            <v>IMP</v>
          </cell>
          <cell r="D633" t="str">
            <v>BT</v>
          </cell>
          <cell r="E633" t="str">
            <v>P3</v>
          </cell>
          <cell r="F633">
            <v>39990</v>
          </cell>
          <cell r="G633">
            <v>40001</v>
          </cell>
          <cell r="H633" t="str">
            <v>950953</v>
          </cell>
          <cell r="I633" t="str">
            <v>3HBHP11</v>
          </cell>
          <cell r="J633" t="str">
            <v>MU2041206/00</v>
          </cell>
          <cell r="K633" t="str">
            <v>Network Interface Card (KN-306)</v>
          </cell>
          <cell r="L633">
            <v>525</v>
          </cell>
          <cell r="M633">
            <v>8930</v>
          </cell>
          <cell r="N633">
            <v>252</v>
          </cell>
          <cell r="O633">
            <v>0</v>
          </cell>
          <cell r="P633">
            <v>9197.9</v>
          </cell>
          <cell r="Q633">
            <v>9465.7999999999993</v>
          </cell>
          <cell r="R633">
            <v>10696.35</v>
          </cell>
          <cell r="S633">
            <v>31.36</v>
          </cell>
          <cell r="T633" t="e">
            <v>#DIV/0!</v>
          </cell>
          <cell r="U633">
            <v>0</v>
          </cell>
          <cell r="V633">
            <v>0</v>
          </cell>
          <cell r="W633">
            <v>214.2</v>
          </cell>
          <cell r="X633" t="e">
            <v>#DIV/0!</v>
          </cell>
          <cell r="Y633">
            <v>0</v>
          </cell>
          <cell r="Z633">
            <v>0</v>
          </cell>
          <cell r="AA633">
            <v>9488</v>
          </cell>
          <cell r="AB633">
            <v>215</v>
          </cell>
          <cell r="AC633">
            <v>238</v>
          </cell>
          <cell r="AD633">
            <v>252</v>
          </cell>
          <cell r="AE633">
            <v>264.44</v>
          </cell>
          <cell r="AF633">
            <v>0.18998638632582063</v>
          </cell>
          <cell r="AG633">
            <v>4.7042807442141878E-2</v>
          </cell>
          <cell r="AH633">
            <v>271</v>
          </cell>
          <cell r="AI633">
            <v>276</v>
          </cell>
          <cell r="AJ633">
            <v>0.22391304347826091</v>
          </cell>
          <cell r="AK633">
            <v>281</v>
          </cell>
          <cell r="AL633">
            <v>286</v>
          </cell>
          <cell r="AM633">
            <v>0.25104895104895109</v>
          </cell>
          <cell r="AN633">
            <v>326.06</v>
          </cell>
          <cell r="AO633">
            <v>366.12</v>
          </cell>
          <cell r="AP633">
            <v>406.18</v>
          </cell>
          <cell r="AQ633">
            <v>0</v>
          </cell>
          <cell r="AS633">
            <v>525</v>
          </cell>
        </row>
        <row r="634">
          <cell r="B634" t="str">
            <v>AC</v>
          </cell>
          <cell r="C634" t="str">
            <v>IMP</v>
          </cell>
          <cell r="D634" t="str">
            <v>BT</v>
          </cell>
          <cell r="E634" t="str">
            <v>P3</v>
          </cell>
          <cell r="F634">
            <v>39990</v>
          </cell>
          <cell r="G634">
            <v>40001</v>
          </cell>
          <cell r="H634" t="str">
            <v>950954</v>
          </cell>
          <cell r="I634" t="str">
            <v>3HBHMU204120700</v>
          </cell>
          <cell r="J634" t="str">
            <v>MU2041207/00</v>
          </cell>
          <cell r="K634" t="str">
            <v>PS Kit (PS-362)</v>
          </cell>
          <cell r="L634">
            <v>1500</v>
          </cell>
          <cell r="M634">
            <v>10300</v>
          </cell>
          <cell r="N634">
            <v>744</v>
          </cell>
          <cell r="O634">
            <v>0</v>
          </cell>
          <cell r="P634">
            <v>10609</v>
          </cell>
          <cell r="Q634">
            <v>10918</v>
          </cell>
          <cell r="R634">
            <v>12337.34</v>
          </cell>
          <cell r="S634">
            <v>29.4</v>
          </cell>
          <cell r="T634" t="e">
            <v>#DIV/0!</v>
          </cell>
          <cell r="U634">
            <v>0</v>
          </cell>
          <cell r="V634">
            <v>0</v>
          </cell>
          <cell r="W634">
            <v>632.4</v>
          </cell>
          <cell r="X634" t="e">
            <v>#DIV/0!</v>
          </cell>
          <cell r="Y634">
            <v>0</v>
          </cell>
          <cell r="Z634">
            <v>0</v>
          </cell>
          <cell r="AA634">
            <v>10944</v>
          </cell>
          <cell r="AB634">
            <v>633</v>
          </cell>
          <cell r="AC634">
            <v>703</v>
          </cell>
          <cell r="AD634">
            <v>742</v>
          </cell>
          <cell r="AE634">
            <v>780.74</v>
          </cell>
          <cell r="AF634">
            <v>0.18999923149832215</v>
          </cell>
          <cell r="AG634">
            <v>4.7057919409790726E-2</v>
          </cell>
          <cell r="AH634">
            <v>797</v>
          </cell>
          <cell r="AI634">
            <v>813</v>
          </cell>
          <cell r="AJ634">
            <v>0.22214022140221404</v>
          </cell>
          <cell r="AK634">
            <v>828.5</v>
          </cell>
          <cell r="AL634">
            <v>844</v>
          </cell>
          <cell r="AM634">
            <v>0.25071090047393368</v>
          </cell>
          <cell r="AN634">
            <v>962.38</v>
          </cell>
          <cell r="AO634">
            <v>1080.76</v>
          </cell>
          <cell r="AP634">
            <v>1199.1400000000001</v>
          </cell>
          <cell r="AQ634">
            <v>0</v>
          </cell>
          <cell r="AS634">
            <v>1500</v>
          </cell>
        </row>
        <row r="635">
          <cell r="B635" t="str">
            <v>AC</v>
          </cell>
          <cell r="C635" t="str">
            <v>IMP</v>
          </cell>
          <cell r="D635" t="str">
            <v>BT</v>
          </cell>
          <cell r="E635" t="str">
            <v>P3</v>
          </cell>
          <cell r="F635">
            <v>39990</v>
          </cell>
          <cell r="G635">
            <v>40001</v>
          </cell>
          <cell r="H635" t="str">
            <v>950955</v>
          </cell>
          <cell r="I635" t="str">
            <v>3HBHMU204120800</v>
          </cell>
          <cell r="J635" t="str">
            <v>MU2041208/00</v>
          </cell>
          <cell r="K635" t="str">
            <v>Stapling Finisher (FS-111)</v>
          </cell>
          <cell r="L635">
            <v>4420</v>
          </cell>
          <cell r="M635">
            <v>8930</v>
          </cell>
          <cell r="N635">
            <v>1730</v>
          </cell>
          <cell r="O635">
            <v>0</v>
          </cell>
          <cell r="P635">
            <v>9197.9</v>
          </cell>
          <cell r="Q635">
            <v>9465.7999999999993</v>
          </cell>
          <cell r="R635">
            <v>10696.35</v>
          </cell>
          <cell r="T635" t="e">
            <v>#DIV/0!</v>
          </cell>
          <cell r="U635">
            <v>0</v>
          </cell>
          <cell r="V635">
            <v>0</v>
          </cell>
          <cell r="W635">
            <v>1470.5</v>
          </cell>
          <cell r="X635" t="e">
            <v>#DIV/0!</v>
          </cell>
          <cell r="Y635">
            <v>0</v>
          </cell>
          <cell r="Z635">
            <v>0</v>
          </cell>
          <cell r="AA635">
            <v>9488</v>
          </cell>
          <cell r="AB635">
            <v>1471</v>
          </cell>
          <cell r="AC635">
            <v>1634</v>
          </cell>
          <cell r="AD635">
            <v>1725</v>
          </cell>
          <cell r="AE635">
            <v>1815.43</v>
          </cell>
          <cell r="AF635">
            <v>0.1899990635827325</v>
          </cell>
          <cell r="AG635">
            <v>4.7057721862038229E-2</v>
          </cell>
          <cell r="AH635">
            <v>1853</v>
          </cell>
          <cell r="AI635">
            <v>1889</v>
          </cell>
          <cell r="AJ635">
            <v>0.22154579142403388</v>
          </cell>
          <cell r="AK635">
            <v>1925</v>
          </cell>
          <cell r="AL635">
            <v>1961</v>
          </cell>
          <cell r="AM635">
            <v>0.25012748597654261</v>
          </cell>
          <cell r="AN635">
            <v>2236.64</v>
          </cell>
          <cell r="AO635">
            <v>2512.2800000000002</v>
          </cell>
          <cell r="AP635">
            <v>2787.92</v>
          </cell>
          <cell r="AQ635">
            <v>0</v>
          </cell>
          <cell r="AS635">
            <v>4420</v>
          </cell>
        </row>
        <row r="636">
          <cell r="B636" t="str">
            <v>AC</v>
          </cell>
          <cell r="C636" t="str">
            <v>IMP</v>
          </cell>
          <cell r="D636" t="str">
            <v>BT</v>
          </cell>
          <cell r="E636" t="str">
            <v>P3</v>
          </cell>
          <cell r="F636">
            <v>39990</v>
          </cell>
          <cell r="G636">
            <v>40001</v>
          </cell>
          <cell r="H636" t="str">
            <v>950956</v>
          </cell>
          <cell r="I636" t="str">
            <v>3HBHW1211RD</v>
          </cell>
          <cell r="J636" t="str">
            <v>MU2041209/00</v>
          </cell>
          <cell r="K636" t="str">
            <v>Booklet Finisher (FS-211)</v>
          </cell>
          <cell r="L636">
            <v>5880</v>
          </cell>
          <cell r="M636">
            <v>8930</v>
          </cell>
          <cell r="N636">
            <v>2450</v>
          </cell>
          <cell r="O636">
            <v>0</v>
          </cell>
          <cell r="P636">
            <v>9197.9</v>
          </cell>
          <cell r="Q636">
            <v>9465.7999999999993</v>
          </cell>
          <cell r="R636">
            <v>10696.35</v>
          </cell>
          <cell r="T636" t="e">
            <v>#DIV/0!</v>
          </cell>
          <cell r="U636">
            <v>0</v>
          </cell>
          <cell r="V636">
            <v>0</v>
          </cell>
          <cell r="W636">
            <v>2082.5</v>
          </cell>
          <cell r="X636" t="e">
            <v>#DIV/0!</v>
          </cell>
          <cell r="Y636">
            <v>0</v>
          </cell>
          <cell r="Z636">
            <v>0</v>
          </cell>
          <cell r="AA636">
            <v>9488</v>
          </cell>
          <cell r="AB636">
            <v>2083</v>
          </cell>
          <cell r="AC636">
            <v>2314</v>
          </cell>
          <cell r="AD636">
            <v>2443</v>
          </cell>
          <cell r="AE636">
            <v>2570.9899999999998</v>
          </cell>
          <cell r="AF636">
            <v>0.19000073901493192</v>
          </cell>
          <cell r="AG636">
            <v>4.7059692958743439E-2</v>
          </cell>
          <cell r="AH636">
            <v>2623</v>
          </cell>
          <cell r="AI636">
            <v>2674</v>
          </cell>
          <cell r="AJ636">
            <v>0.22120418848167539</v>
          </cell>
          <cell r="AK636">
            <v>2725.5</v>
          </cell>
          <cell r="AL636">
            <v>2777</v>
          </cell>
          <cell r="AM636">
            <v>0.25009002520705798</v>
          </cell>
          <cell r="AN636">
            <v>3167.39</v>
          </cell>
          <cell r="AO636">
            <v>3557.78</v>
          </cell>
          <cell r="AP636">
            <v>3948.17</v>
          </cell>
          <cell r="AQ636">
            <v>0</v>
          </cell>
          <cell r="AS636">
            <v>5880</v>
          </cell>
        </row>
        <row r="637">
          <cell r="B637" t="str">
            <v>AC</v>
          </cell>
          <cell r="C637" t="str">
            <v>IMP</v>
          </cell>
          <cell r="D637" t="str">
            <v>BT</v>
          </cell>
          <cell r="E637" t="str">
            <v>P3</v>
          </cell>
          <cell r="F637">
            <v>39990</v>
          </cell>
          <cell r="G637">
            <v>40001</v>
          </cell>
          <cell r="H637" t="str">
            <v>950958</v>
          </cell>
          <cell r="I637" t="str">
            <v>3HBHW1311RD</v>
          </cell>
          <cell r="J637" t="str">
            <v>MU2041210/00</v>
          </cell>
          <cell r="K637" t="str">
            <v>Large Capacity Tray Letter (LT-402M)</v>
          </cell>
          <cell r="L637">
            <v>2000</v>
          </cell>
          <cell r="M637">
            <v>8930</v>
          </cell>
          <cell r="N637">
            <v>828</v>
          </cell>
          <cell r="O637">
            <v>0</v>
          </cell>
          <cell r="P637">
            <v>9197.9</v>
          </cell>
          <cell r="Q637">
            <v>9465.7999999999993</v>
          </cell>
          <cell r="R637">
            <v>10696.35</v>
          </cell>
          <cell r="T637" t="e">
            <v>#DIV/0!</v>
          </cell>
          <cell r="U637">
            <v>0</v>
          </cell>
          <cell r="V637">
            <v>0</v>
          </cell>
          <cell r="W637">
            <v>703.8</v>
          </cell>
          <cell r="X637" t="e">
            <v>#DIV/0!</v>
          </cell>
          <cell r="Y637">
            <v>0</v>
          </cell>
          <cell r="Z637">
            <v>0</v>
          </cell>
          <cell r="AA637">
            <v>9488</v>
          </cell>
          <cell r="AB637">
            <v>704</v>
          </cell>
          <cell r="AC637">
            <v>782</v>
          </cell>
          <cell r="AD637">
            <v>826</v>
          </cell>
          <cell r="AE637">
            <v>868.89</v>
          </cell>
          <cell r="AF637">
            <v>0.19000103580430208</v>
          </cell>
          <cell r="AG637">
            <v>4.706004212270827E-2</v>
          </cell>
          <cell r="AH637">
            <v>887</v>
          </cell>
          <cell r="AI637">
            <v>904</v>
          </cell>
          <cell r="AJ637">
            <v>0.2214601769911505</v>
          </cell>
          <cell r="AK637">
            <v>921.5</v>
          </cell>
          <cell r="AL637">
            <v>939</v>
          </cell>
          <cell r="AM637">
            <v>0.25047923322683713</v>
          </cell>
          <cell r="AN637">
            <v>1070.81</v>
          </cell>
          <cell r="AO637">
            <v>1202.6199999999999</v>
          </cell>
          <cell r="AP637">
            <v>1334.43</v>
          </cell>
          <cell r="AQ637">
            <v>0</v>
          </cell>
          <cell r="AS637">
            <v>2000</v>
          </cell>
        </row>
        <row r="638">
          <cell r="B638" t="str">
            <v>AC</v>
          </cell>
          <cell r="C638" t="str">
            <v>IMP</v>
          </cell>
          <cell r="D638" t="str">
            <v>BT</v>
          </cell>
          <cell r="E638" t="str">
            <v>P3</v>
          </cell>
          <cell r="F638">
            <v>39990</v>
          </cell>
          <cell r="G638">
            <v>40001</v>
          </cell>
          <cell r="H638" t="str">
            <v>950959</v>
          </cell>
          <cell r="I638" t="str">
            <v>3HBHMU204141200</v>
          </cell>
          <cell r="J638" t="str">
            <v>MU2041412/00</v>
          </cell>
          <cell r="K638" t="str">
            <v>Large Capacity Tray 11 x 17 (LT-412M)</v>
          </cell>
          <cell r="L638">
            <v>3185</v>
          </cell>
          <cell r="M638">
            <v>14900</v>
          </cell>
          <cell r="N638">
            <v>1097</v>
          </cell>
          <cell r="O638">
            <v>0</v>
          </cell>
          <cell r="P638">
            <v>15347</v>
          </cell>
          <cell r="Q638">
            <v>15794</v>
          </cell>
          <cell r="R638">
            <v>17847.22</v>
          </cell>
          <cell r="S638">
            <v>59.9</v>
          </cell>
          <cell r="T638" t="e">
            <v>#DIV/0!</v>
          </cell>
          <cell r="U638">
            <v>46.386559999999996</v>
          </cell>
          <cell r="V638">
            <v>8.0768222519626273E-2</v>
          </cell>
          <cell r="W638">
            <v>932.44999999999993</v>
          </cell>
          <cell r="X638" t="e">
            <v>#DIV/0!</v>
          </cell>
          <cell r="AA638">
            <v>15832</v>
          </cell>
          <cell r="AB638">
            <v>933</v>
          </cell>
          <cell r="AC638">
            <v>1037</v>
          </cell>
          <cell r="AD638">
            <v>1095</v>
          </cell>
          <cell r="AE638">
            <v>1151.17</v>
          </cell>
          <cell r="AF638">
            <v>0.18999800203271466</v>
          </cell>
          <cell r="AG638">
            <v>4.7056472979664227E-2</v>
          </cell>
          <cell r="AH638">
            <v>1175</v>
          </cell>
          <cell r="AI638">
            <v>1198</v>
          </cell>
          <cell r="AJ638">
            <v>0.22166110183639404</v>
          </cell>
          <cell r="AK638">
            <v>1221</v>
          </cell>
          <cell r="AL638">
            <v>1244</v>
          </cell>
          <cell r="AM638">
            <v>0.25044212218649525</v>
          </cell>
          <cell r="AN638">
            <v>1418.65</v>
          </cell>
          <cell r="AO638">
            <v>1593.3</v>
          </cell>
          <cell r="AP638">
            <v>1767.95</v>
          </cell>
          <cell r="AQ638">
            <v>0</v>
          </cell>
          <cell r="AS638">
            <v>3185</v>
          </cell>
        </row>
        <row r="639">
          <cell r="B639" t="str">
            <v>AC</v>
          </cell>
          <cell r="C639" t="str">
            <v>IMP</v>
          </cell>
          <cell r="D639" t="str">
            <v>BT</v>
          </cell>
          <cell r="E639" t="str">
            <v>P3</v>
          </cell>
          <cell r="F639">
            <v>39990</v>
          </cell>
          <cell r="G639">
            <v>40001</v>
          </cell>
          <cell r="H639" t="str">
            <v>950961</v>
          </cell>
          <cell r="I639" t="str">
            <v>3HBHMU204143400</v>
          </cell>
          <cell r="J639" t="str">
            <v>MU2041434/00</v>
          </cell>
          <cell r="K639" t="str">
            <v>128MB Memory (MU-402) 1B</v>
          </cell>
          <cell r="L639">
            <v>295</v>
          </cell>
          <cell r="M639">
            <v>10000</v>
          </cell>
          <cell r="N639">
            <v>88</v>
          </cell>
          <cell r="O639">
            <v>0</v>
          </cell>
          <cell r="P639">
            <v>10300</v>
          </cell>
          <cell r="Q639">
            <v>10600</v>
          </cell>
          <cell r="R639">
            <v>11978</v>
          </cell>
          <cell r="T639" t="e">
            <v>#DIV/0!</v>
          </cell>
          <cell r="U639">
            <v>0</v>
          </cell>
          <cell r="V639">
            <v>0</v>
          </cell>
          <cell r="W639">
            <v>74.8</v>
          </cell>
          <cell r="X639" t="e">
            <v>#DIV/0!</v>
          </cell>
          <cell r="Y639">
            <v>0</v>
          </cell>
          <cell r="Z639">
            <v>0</v>
          </cell>
          <cell r="AA639">
            <v>10625</v>
          </cell>
          <cell r="AB639">
            <v>75</v>
          </cell>
          <cell r="AC639">
            <v>84</v>
          </cell>
          <cell r="AD639">
            <v>89</v>
          </cell>
          <cell r="AE639">
            <v>92.35</v>
          </cell>
          <cell r="AF639">
            <v>0.19003789929615592</v>
          </cell>
          <cell r="AG639">
            <v>4.7103410936653975E-2</v>
          </cell>
          <cell r="AH639">
            <v>95</v>
          </cell>
          <cell r="AI639">
            <v>97</v>
          </cell>
          <cell r="AJ639">
            <v>0.22886597938144332</v>
          </cell>
          <cell r="AK639">
            <v>98.5</v>
          </cell>
          <cell r="AL639">
            <v>100</v>
          </cell>
          <cell r="AM639">
            <v>0.252</v>
          </cell>
          <cell r="AN639">
            <v>113.96</v>
          </cell>
          <cell r="AO639">
            <v>127.92</v>
          </cell>
          <cell r="AP639">
            <v>141.88</v>
          </cell>
          <cell r="AQ639">
            <v>0</v>
          </cell>
          <cell r="AS639">
            <v>295</v>
          </cell>
        </row>
        <row r="640">
          <cell r="B640" t="str">
            <v>AC</v>
          </cell>
          <cell r="C640" t="str">
            <v>IMP</v>
          </cell>
          <cell r="D640" t="str">
            <v>BT</v>
          </cell>
          <cell r="E640" t="str">
            <v>P3</v>
          </cell>
          <cell r="F640">
            <v>39990</v>
          </cell>
          <cell r="G640">
            <v>40001</v>
          </cell>
          <cell r="H640" t="str">
            <v>950962</v>
          </cell>
          <cell r="I640" t="str">
            <v>3HBHMU204160100</v>
          </cell>
          <cell r="J640" t="str">
            <v>MU2041601/00</v>
          </cell>
          <cell r="K640" t="str">
            <v>Print Controller (IP-602M)</v>
          </cell>
          <cell r="L640">
            <v>3870</v>
          </cell>
          <cell r="M640">
            <v>7229.2</v>
          </cell>
          <cell r="N640">
            <v>1717</v>
          </cell>
          <cell r="O640">
            <v>0</v>
          </cell>
          <cell r="P640">
            <v>7446.08</v>
          </cell>
          <cell r="Q640">
            <v>7662.96</v>
          </cell>
          <cell r="R640">
            <v>8659.14</v>
          </cell>
          <cell r="T640" t="e">
            <v>#DIV/0!</v>
          </cell>
          <cell r="U640">
            <v>0</v>
          </cell>
          <cell r="V640">
            <v>0</v>
          </cell>
          <cell r="W640">
            <v>1459.45</v>
          </cell>
          <cell r="X640" t="e">
            <v>#DIV/0!</v>
          </cell>
          <cell r="Y640">
            <v>0</v>
          </cell>
          <cell r="Z640">
            <v>0</v>
          </cell>
          <cell r="AA640">
            <v>8792</v>
          </cell>
          <cell r="AB640">
            <v>1460</v>
          </cell>
          <cell r="AC640">
            <v>1622</v>
          </cell>
          <cell r="AD640">
            <v>1712</v>
          </cell>
          <cell r="AE640">
            <v>1801.79</v>
          </cell>
          <cell r="AF640">
            <v>0.18999994449963642</v>
          </cell>
          <cell r="AG640">
            <v>4.7058758234866417E-2</v>
          </cell>
          <cell r="AH640">
            <v>1838</v>
          </cell>
          <cell r="AI640">
            <v>1874</v>
          </cell>
          <cell r="AJ640">
            <v>0.22121131270010669</v>
          </cell>
          <cell r="AK640">
            <v>1910</v>
          </cell>
          <cell r="AL640">
            <v>1946</v>
          </cell>
          <cell r="AM640">
            <v>0.25002569373072969</v>
          </cell>
          <cell r="AN640">
            <v>2219.63</v>
          </cell>
          <cell r="AO640">
            <v>2493.2600000000002</v>
          </cell>
          <cell r="AP640">
            <v>2766.89</v>
          </cell>
          <cell r="AQ640">
            <v>0</v>
          </cell>
          <cell r="AS640">
            <v>3870</v>
          </cell>
        </row>
        <row r="641">
          <cell r="B641" t="str">
            <v>AC</v>
          </cell>
          <cell r="C641" t="str">
            <v>IMP</v>
          </cell>
          <cell r="D641" t="str">
            <v>BT</v>
          </cell>
          <cell r="E641" t="str">
            <v>P3</v>
          </cell>
          <cell r="F641">
            <v>39990</v>
          </cell>
          <cell r="G641">
            <v>40001</v>
          </cell>
          <cell r="H641" t="str">
            <v>950975</v>
          </cell>
          <cell r="I641" t="str">
            <v>3HBHMU204162000</v>
          </cell>
          <cell r="J641" t="str">
            <v>MU2041620/00</v>
          </cell>
          <cell r="K641" t="str">
            <v>Punch Unit (PU-109)</v>
          </cell>
          <cell r="L641">
            <v>2000</v>
          </cell>
          <cell r="M641">
            <v>14900</v>
          </cell>
          <cell r="N641">
            <v>897</v>
          </cell>
          <cell r="O641">
            <v>0</v>
          </cell>
          <cell r="P641">
            <v>15347</v>
          </cell>
          <cell r="Q641">
            <v>15794</v>
          </cell>
          <cell r="R641">
            <v>17847.22</v>
          </cell>
          <cell r="T641" t="e">
            <v>#DIV/0!</v>
          </cell>
          <cell r="U641">
            <v>0</v>
          </cell>
          <cell r="V641">
            <v>0</v>
          </cell>
          <cell r="W641">
            <v>762.44999999999993</v>
          </cell>
          <cell r="X641" t="e">
            <v>#DIV/0!</v>
          </cell>
          <cell r="Y641">
            <v>0</v>
          </cell>
          <cell r="Z641">
            <v>0</v>
          </cell>
          <cell r="AA641">
            <v>15832</v>
          </cell>
          <cell r="AB641">
            <v>763</v>
          </cell>
          <cell r="AC641">
            <v>848</v>
          </cell>
          <cell r="AD641">
            <v>895</v>
          </cell>
          <cell r="AE641">
            <v>941.3</v>
          </cell>
          <cell r="AF641">
            <v>0.19000318708169556</v>
          </cell>
          <cell r="AG641">
            <v>4.7062573037288807E-2</v>
          </cell>
          <cell r="AH641">
            <v>961</v>
          </cell>
          <cell r="AI641">
            <v>980</v>
          </cell>
          <cell r="AJ641">
            <v>0.22198979591836743</v>
          </cell>
          <cell r="AK641">
            <v>998.5</v>
          </cell>
          <cell r="AL641">
            <v>1017</v>
          </cell>
          <cell r="AM641">
            <v>0.25029498525073751</v>
          </cell>
          <cell r="AN641">
            <v>1159.8599999999999</v>
          </cell>
          <cell r="AO641">
            <v>1302.72</v>
          </cell>
          <cell r="AP641">
            <v>1445.58</v>
          </cell>
          <cell r="AQ641">
            <v>0</v>
          </cell>
          <cell r="AS641">
            <v>2000</v>
          </cell>
        </row>
        <row r="642">
          <cell r="B642" t="str">
            <v>AC</v>
          </cell>
          <cell r="C642" t="str">
            <v>IMP</v>
          </cell>
          <cell r="D642" t="str">
            <v>BT</v>
          </cell>
          <cell r="E642" t="str">
            <v>P3</v>
          </cell>
          <cell r="F642">
            <v>39990</v>
          </cell>
          <cell r="G642">
            <v>40001</v>
          </cell>
          <cell r="H642" t="str">
            <v>950976</v>
          </cell>
          <cell r="I642" t="str">
            <v>3HBHKN000336400</v>
          </cell>
          <cell r="J642" t="str">
            <v>KN0003364/00</v>
          </cell>
          <cell r="K642" t="str">
            <v>Punch and Z Fold (PZ-109)</v>
          </cell>
          <cell r="L642">
            <v>5050</v>
          </cell>
          <cell r="M642">
            <v>10000</v>
          </cell>
          <cell r="N642">
            <v>2345</v>
          </cell>
          <cell r="O642">
            <v>0</v>
          </cell>
          <cell r="P642">
            <v>10300</v>
          </cell>
          <cell r="Q642">
            <v>10600</v>
          </cell>
          <cell r="R642">
            <v>11978</v>
          </cell>
          <cell r="T642" t="e">
            <v>#DIV/0!</v>
          </cell>
          <cell r="U642">
            <v>0</v>
          </cell>
          <cell r="V642">
            <v>0</v>
          </cell>
          <cell r="W642">
            <v>1993.25</v>
          </cell>
          <cell r="X642" t="e">
            <v>#DIV/0!</v>
          </cell>
          <cell r="Y642">
            <v>0</v>
          </cell>
          <cell r="Z642">
            <v>0</v>
          </cell>
          <cell r="AA642">
            <v>11216</v>
          </cell>
          <cell r="AB642">
            <v>1994</v>
          </cell>
          <cell r="AC642">
            <v>2215</v>
          </cell>
          <cell r="AD642">
            <v>2338</v>
          </cell>
          <cell r="AE642">
            <v>2460.8000000000002</v>
          </cell>
          <cell r="AF642">
            <v>0.1899991872561769</v>
          </cell>
          <cell r="AG642">
            <v>4.705786736020813E-2</v>
          </cell>
          <cell r="AH642">
            <v>2511</v>
          </cell>
          <cell r="AI642">
            <v>2560</v>
          </cell>
          <cell r="AJ642">
            <v>0.22138671874999999</v>
          </cell>
          <cell r="AK642">
            <v>2609</v>
          </cell>
          <cell r="AL642">
            <v>2658</v>
          </cell>
          <cell r="AM642">
            <v>0.25009405568096316</v>
          </cell>
          <cell r="AN642">
            <v>3031.65</v>
          </cell>
          <cell r="AO642">
            <v>3405.3</v>
          </cell>
          <cell r="AP642">
            <v>3778.95</v>
          </cell>
          <cell r="AQ642">
            <v>0</v>
          </cell>
          <cell r="AS642">
            <v>5050</v>
          </cell>
        </row>
        <row r="643">
          <cell r="B643" t="str">
            <v>AC</v>
          </cell>
          <cell r="C643" t="str">
            <v>IMP</v>
          </cell>
          <cell r="D643" t="str">
            <v>BT</v>
          </cell>
          <cell r="E643" t="str">
            <v>P3</v>
          </cell>
          <cell r="F643">
            <v>39990</v>
          </cell>
          <cell r="G643">
            <v>40001</v>
          </cell>
          <cell r="H643" t="str">
            <v>960194</v>
          </cell>
          <cell r="I643" t="str">
            <v>3HBBKCA13683</v>
          </cell>
          <cell r="J643" t="str">
            <v>KCA 13683</v>
          </cell>
          <cell r="K643" t="str">
            <v>Job Tray (IT-103)</v>
          </cell>
          <cell r="L643">
            <v>160</v>
          </cell>
          <cell r="M643">
            <v>3000</v>
          </cell>
          <cell r="N643">
            <v>57</v>
          </cell>
          <cell r="O643">
            <v>0</v>
          </cell>
          <cell r="P643">
            <v>3090</v>
          </cell>
          <cell r="Q643">
            <v>3180</v>
          </cell>
          <cell r="R643">
            <v>3593.4</v>
          </cell>
          <cell r="T643" t="e">
            <v>#DIV/0!</v>
          </cell>
          <cell r="U643">
            <v>0</v>
          </cell>
          <cell r="V643">
            <v>0</v>
          </cell>
          <cell r="W643">
            <v>48.449999999999996</v>
          </cell>
          <cell r="X643" t="e">
            <v>#DIV/0!</v>
          </cell>
          <cell r="Y643">
            <v>0</v>
          </cell>
          <cell r="Z643">
            <v>0</v>
          </cell>
          <cell r="AA643">
            <v>3332</v>
          </cell>
          <cell r="AB643">
            <v>49</v>
          </cell>
          <cell r="AC643">
            <v>54</v>
          </cell>
          <cell r="AD643">
            <v>57</v>
          </cell>
          <cell r="AE643">
            <v>59.81</v>
          </cell>
          <cell r="AF643">
            <v>0.18993479351279061</v>
          </cell>
          <cell r="AG643">
            <v>4.6982110015047686E-2</v>
          </cell>
          <cell r="AH643">
            <v>62</v>
          </cell>
          <cell r="AI643">
            <v>63</v>
          </cell>
          <cell r="AJ643">
            <v>0.23095238095238102</v>
          </cell>
          <cell r="AK643">
            <v>64</v>
          </cell>
          <cell r="AL643">
            <v>65</v>
          </cell>
          <cell r="AM643">
            <v>0.25461538461538469</v>
          </cell>
          <cell r="AN643">
            <v>73.98</v>
          </cell>
          <cell r="AO643">
            <v>82.96</v>
          </cell>
          <cell r="AP643">
            <v>91.94</v>
          </cell>
          <cell r="AQ643">
            <v>0</v>
          </cell>
          <cell r="AS643">
            <v>160</v>
          </cell>
        </row>
        <row r="644">
          <cell r="B644" t="str">
            <v>AC</v>
          </cell>
          <cell r="C644" t="str">
            <v>IMP</v>
          </cell>
          <cell r="D644" t="str">
            <v>BT</v>
          </cell>
          <cell r="E644" t="str">
            <v>P3</v>
          </cell>
          <cell r="F644">
            <v>39990</v>
          </cell>
          <cell r="G644">
            <v>40001</v>
          </cell>
          <cell r="H644" t="str">
            <v>960198</v>
          </cell>
          <cell r="I644">
            <v>0</v>
          </cell>
          <cell r="J644">
            <v>0</v>
          </cell>
          <cell r="K644" t="str">
            <v>KN-419 Network I/F Card</v>
          </cell>
          <cell r="L644">
            <v>400</v>
          </cell>
          <cell r="M644">
            <v>0</v>
          </cell>
          <cell r="N644">
            <v>172</v>
          </cell>
          <cell r="O644">
            <v>0</v>
          </cell>
          <cell r="P644">
            <v>0</v>
          </cell>
          <cell r="Q644">
            <v>0</v>
          </cell>
          <cell r="R644">
            <v>0</v>
          </cell>
          <cell r="S644">
            <v>29.3</v>
          </cell>
          <cell r="T644">
            <v>0</v>
          </cell>
          <cell r="U644">
            <v>0</v>
          </cell>
          <cell r="V644">
            <v>0</v>
          </cell>
          <cell r="W644">
            <v>146.19999999999999</v>
          </cell>
          <cell r="X644">
            <v>0</v>
          </cell>
          <cell r="Y644">
            <v>0</v>
          </cell>
          <cell r="Z644">
            <v>0</v>
          </cell>
          <cell r="AA644">
            <v>0</v>
          </cell>
          <cell r="AB644">
            <v>147</v>
          </cell>
          <cell r="AC644">
            <v>163</v>
          </cell>
          <cell r="AD644">
            <v>172</v>
          </cell>
          <cell r="AE644">
            <v>180.49</v>
          </cell>
          <cell r="AF644">
            <v>0.18998282453321524</v>
          </cell>
          <cell r="AG644">
            <v>4.7038617097900207E-2</v>
          </cell>
          <cell r="AH644">
            <v>185</v>
          </cell>
          <cell r="AI644">
            <v>188</v>
          </cell>
          <cell r="AJ644">
            <v>0.22234042553191496</v>
          </cell>
          <cell r="AK644">
            <v>191.5</v>
          </cell>
          <cell r="AL644">
            <v>195</v>
          </cell>
          <cell r="AM644">
            <v>0.25025641025641032</v>
          </cell>
          <cell r="AN644">
            <v>222.4</v>
          </cell>
          <cell r="AO644">
            <v>249.8</v>
          </cell>
          <cell r="AP644">
            <v>277.2</v>
          </cell>
          <cell r="AQ644">
            <v>0</v>
          </cell>
          <cell r="AS644">
            <v>400</v>
          </cell>
        </row>
        <row r="645">
          <cell r="B645" t="str">
            <v>AC</v>
          </cell>
          <cell r="C645" t="str">
            <v>IMP</v>
          </cell>
          <cell r="D645" t="str">
            <v>BT</v>
          </cell>
          <cell r="E645" t="str">
            <v>P3</v>
          </cell>
          <cell r="F645">
            <v>39990</v>
          </cell>
          <cell r="G645">
            <v>40001</v>
          </cell>
          <cell r="H645" t="str">
            <v>960199</v>
          </cell>
          <cell r="I645" t="str">
            <v>STHBD1</v>
          </cell>
          <cell r="J645" t="str">
            <v>KCA09933</v>
          </cell>
          <cell r="K645" t="str">
            <v>Original Cover (CV-118</v>
          </cell>
          <cell r="L645">
            <v>82</v>
          </cell>
          <cell r="M645">
            <v>121.8</v>
          </cell>
          <cell r="N645">
            <v>38</v>
          </cell>
          <cell r="O645">
            <v>0</v>
          </cell>
          <cell r="P645">
            <v>125.45</v>
          </cell>
          <cell r="Q645">
            <v>129.1</v>
          </cell>
          <cell r="R645">
            <v>145.88</v>
          </cell>
          <cell r="T645" t="e">
            <v>#DIV/0!</v>
          </cell>
          <cell r="U645">
            <v>0</v>
          </cell>
          <cell r="V645">
            <v>0</v>
          </cell>
          <cell r="W645">
            <v>32.299999999999997</v>
          </cell>
          <cell r="X645" t="e">
            <v>#DIV/0!</v>
          </cell>
          <cell r="Y645">
            <v>0</v>
          </cell>
          <cell r="Z645">
            <v>0</v>
          </cell>
          <cell r="AA645">
            <v>216</v>
          </cell>
          <cell r="AB645">
            <v>33</v>
          </cell>
          <cell r="AC645">
            <v>36</v>
          </cell>
          <cell r="AD645">
            <v>38</v>
          </cell>
          <cell r="AE645">
            <v>39.880000000000003</v>
          </cell>
          <cell r="AF645">
            <v>0.1900702106318958</v>
          </cell>
          <cell r="AG645">
            <v>4.7141424272818519E-2</v>
          </cell>
          <cell r="AH645">
            <v>41</v>
          </cell>
          <cell r="AI645">
            <v>42</v>
          </cell>
          <cell r="AJ645">
            <v>0.23095238095238102</v>
          </cell>
          <cell r="AK645">
            <v>43</v>
          </cell>
          <cell r="AL645">
            <v>44</v>
          </cell>
          <cell r="AM645">
            <v>0.26590909090909098</v>
          </cell>
          <cell r="AN645">
            <v>49.82</v>
          </cell>
          <cell r="AO645">
            <v>55.64</v>
          </cell>
          <cell r="AP645">
            <v>61.46</v>
          </cell>
          <cell r="AQ645">
            <v>0</v>
          </cell>
          <cell r="AS645">
            <v>82</v>
          </cell>
        </row>
        <row r="646">
          <cell r="B646" t="str">
            <v>AC</v>
          </cell>
          <cell r="C646" t="str">
            <v>IMP</v>
          </cell>
          <cell r="D646" t="str">
            <v>BT</v>
          </cell>
          <cell r="E646" t="str">
            <v>P3</v>
          </cell>
          <cell r="F646">
            <v>39990</v>
          </cell>
          <cell r="G646">
            <v>40001</v>
          </cell>
          <cell r="H646" t="str">
            <v>960201</v>
          </cell>
          <cell r="I646" t="str">
            <v>STHBDM9110M</v>
          </cell>
          <cell r="J646" t="str">
            <v>KCA12033</v>
          </cell>
          <cell r="K646" t="str">
            <v>Fax Kit (FK118)</v>
          </cell>
          <cell r="L646">
            <v>990</v>
          </cell>
          <cell r="M646">
            <v>180</v>
          </cell>
          <cell r="N646">
            <v>389</v>
          </cell>
          <cell r="O646">
            <v>0</v>
          </cell>
          <cell r="P646">
            <v>185.4</v>
          </cell>
          <cell r="Q646">
            <v>190.8</v>
          </cell>
          <cell r="R646">
            <v>215.6</v>
          </cell>
          <cell r="T646" t="e">
            <v>#DIV/0!</v>
          </cell>
          <cell r="U646">
            <v>0</v>
          </cell>
          <cell r="V646">
            <v>0</v>
          </cell>
          <cell r="W646">
            <v>330.65</v>
          </cell>
          <cell r="X646" t="e">
            <v>#DIV/0!</v>
          </cell>
          <cell r="Y646">
            <v>0</v>
          </cell>
          <cell r="Z646">
            <v>0</v>
          </cell>
          <cell r="AA646">
            <v>319</v>
          </cell>
          <cell r="AB646">
            <v>331</v>
          </cell>
          <cell r="AC646">
            <v>368</v>
          </cell>
          <cell r="AD646">
            <v>389</v>
          </cell>
          <cell r="AE646">
            <v>408.21</v>
          </cell>
          <cell r="AF646">
            <v>0.19000024497195073</v>
          </cell>
          <cell r="AG646">
            <v>4.7059111731706675E-2</v>
          </cell>
          <cell r="AH646">
            <v>417</v>
          </cell>
          <cell r="AI646">
            <v>425</v>
          </cell>
          <cell r="AJ646">
            <v>0.22200000000000006</v>
          </cell>
          <cell r="AK646">
            <v>433</v>
          </cell>
          <cell r="AL646">
            <v>441</v>
          </cell>
          <cell r="AM646">
            <v>0.25022675736961458</v>
          </cell>
          <cell r="AN646">
            <v>502.96</v>
          </cell>
          <cell r="AO646">
            <v>564.91999999999996</v>
          </cell>
          <cell r="AP646">
            <v>626.88</v>
          </cell>
          <cell r="AQ646">
            <v>0</v>
          </cell>
          <cell r="AS646">
            <v>990</v>
          </cell>
        </row>
        <row r="647">
          <cell r="B647" t="str">
            <v>AC</v>
          </cell>
          <cell r="C647" t="str">
            <v>IMP</v>
          </cell>
          <cell r="D647" t="str">
            <v>BT</v>
          </cell>
          <cell r="E647" t="str">
            <v>P3</v>
          </cell>
          <cell r="F647">
            <v>39990</v>
          </cell>
          <cell r="G647">
            <v>40001</v>
          </cell>
          <cell r="H647" t="str">
            <v>960202</v>
          </cell>
          <cell r="I647">
            <v>0</v>
          </cell>
          <cell r="J647" t="str">
            <v>KC7770140</v>
          </cell>
          <cell r="K647" t="str">
            <v>IF-118 Scan Unit</v>
          </cell>
          <cell r="L647">
            <v>155</v>
          </cell>
          <cell r="M647">
            <v>24</v>
          </cell>
          <cell r="N647">
            <v>63</v>
          </cell>
          <cell r="O647">
            <v>0</v>
          </cell>
          <cell r="P647">
            <v>24.72</v>
          </cell>
          <cell r="Q647">
            <v>25.44</v>
          </cell>
          <cell r="R647">
            <v>28.75</v>
          </cell>
          <cell r="T647" t="e">
            <v>#DIV/0!</v>
          </cell>
          <cell r="W647">
            <v>53.55</v>
          </cell>
          <cell r="X647" t="e">
            <v>#DIV/0!</v>
          </cell>
          <cell r="AA647">
            <v>43</v>
          </cell>
          <cell r="AB647">
            <v>54</v>
          </cell>
          <cell r="AC647">
            <v>60</v>
          </cell>
          <cell r="AD647">
            <v>64</v>
          </cell>
          <cell r="AE647">
            <v>66.11</v>
          </cell>
          <cell r="AF647">
            <v>0.18998638632582063</v>
          </cell>
          <cell r="AG647">
            <v>4.7042807442141878E-2</v>
          </cell>
          <cell r="AH647">
            <v>69</v>
          </cell>
          <cell r="AI647">
            <v>70</v>
          </cell>
          <cell r="AJ647">
            <v>0.23500000000000004</v>
          </cell>
          <cell r="AK647">
            <v>71</v>
          </cell>
          <cell r="AL647">
            <v>72</v>
          </cell>
          <cell r="AM647">
            <v>0.25625000000000003</v>
          </cell>
          <cell r="AN647">
            <v>81.89</v>
          </cell>
          <cell r="AO647">
            <v>91.78</v>
          </cell>
          <cell r="AP647">
            <v>101.67</v>
          </cell>
          <cell r="AQ647">
            <v>0</v>
          </cell>
          <cell r="AS647">
            <v>155</v>
          </cell>
        </row>
        <row r="648">
          <cell r="B648" t="str">
            <v>AC</v>
          </cell>
          <cell r="C648" t="str">
            <v>IMP</v>
          </cell>
          <cell r="D648" t="str">
            <v>BT</v>
          </cell>
          <cell r="E648" t="str">
            <v>P3</v>
          </cell>
          <cell r="F648">
            <v>39990</v>
          </cell>
          <cell r="G648">
            <v>40001</v>
          </cell>
          <cell r="H648" t="str">
            <v>960202</v>
          </cell>
          <cell r="I648" t="str">
            <v>SDHBD1</v>
          </cell>
          <cell r="J648" t="str">
            <v>KC4132020</v>
          </cell>
          <cell r="K648" t="str">
            <v>IF-118 Scan Unit</v>
          </cell>
          <cell r="L648">
            <v>155</v>
          </cell>
          <cell r="M648">
            <v>46.2</v>
          </cell>
          <cell r="N648">
            <v>63</v>
          </cell>
          <cell r="O648">
            <v>0</v>
          </cell>
          <cell r="P648">
            <v>47.59</v>
          </cell>
          <cell r="Q648">
            <v>48.98</v>
          </cell>
          <cell r="R648">
            <v>55.35</v>
          </cell>
          <cell r="T648" t="e">
            <v>#DIV/0!</v>
          </cell>
          <cell r="W648">
            <v>53.55</v>
          </cell>
          <cell r="X648" t="e">
            <v>#DIV/0!</v>
          </cell>
          <cell r="AA648">
            <v>82</v>
          </cell>
          <cell r="AB648">
            <v>54</v>
          </cell>
          <cell r="AC648">
            <v>60</v>
          </cell>
          <cell r="AD648">
            <v>64</v>
          </cell>
          <cell r="AE648">
            <v>66.11</v>
          </cell>
          <cell r="AF648">
            <v>0.18998638632582063</v>
          </cell>
          <cell r="AG648">
            <v>4.7042807442141878E-2</v>
          </cell>
          <cell r="AH648">
            <v>69</v>
          </cell>
          <cell r="AI648">
            <v>70</v>
          </cell>
          <cell r="AJ648">
            <v>0.23500000000000004</v>
          </cell>
          <cell r="AK648">
            <v>71</v>
          </cell>
          <cell r="AL648">
            <v>72</v>
          </cell>
          <cell r="AM648">
            <v>0.25625000000000003</v>
          </cell>
          <cell r="AN648">
            <v>81.89</v>
          </cell>
          <cell r="AO648">
            <v>91.78</v>
          </cell>
          <cell r="AP648">
            <v>101.67</v>
          </cell>
          <cell r="AQ648">
            <v>0</v>
          </cell>
          <cell r="AS648">
            <v>155</v>
          </cell>
        </row>
        <row r="649">
          <cell r="B649" t="str">
            <v>AC</v>
          </cell>
          <cell r="C649" t="str">
            <v>IMP</v>
          </cell>
          <cell r="D649" t="str">
            <v>BT</v>
          </cell>
          <cell r="E649" t="str">
            <v>P3</v>
          </cell>
          <cell r="F649">
            <v>39990</v>
          </cell>
          <cell r="G649">
            <v>40001</v>
          </cell>
          <cell r="H649" t="str">
            <v>960205</v>
          </cell>
          <cell r="I649" t="str">
            <v>SDHBDM9110M</v>
          </cell>
          <cell r="J649" t="str">
            <v>KCA12842</v>
          </cell>
          <cell r="K649" t="str">
            <v>64MB memory (MU-419)</v>
          </cell>
          <cell r="L649">
            <v>290</v>
          </cell>
          <cell r="M649">
            <v>69</v>
          </cell>
          <cell r="N649">
            <v>103</v>
          </cell>
          <cell r="O649">
            <v>0</v>
          </cell>
          <cell r="P649">
            <v>71.069999999999993</v>
          </cell>
          <cell r="Q649">
            <v>73.14</v>
          </cell>
          <cell r="R649">
            <v>82.65</v>
          </cell>
          <cell r="T649" t="e">
            <v>#DIV/0!</v>
          </cell>
          <cell r="W649">
            <v>87.55</v>
          </cell>
          <cell r="X649" t="e">
            <v>#DIV/0!</v>
          </cell>
          <cell r="AA649">
            <v>122</v>
          </cell>
          <cell r="AB649">
            <v>88</v>
          </cell>
          <cell r="AC649">
            <v>98</v>
          </cell>
          <cell r="AD649">
            <v>104</v>
          </cell>
          <cell r="AE649">
            <v>108.09</v>
          </cell>
          <cell r="AF649">
            <v>0.19002682949394029</v>
          </cell>
          <cell r="AG649">
            <v>4.7090387639929718E-2</v>
          </cell>
          <cell r="AH649">
            <v>111</v>
          </cell>
          <cell r="AI649">
            <v>113</v>
          </cell>
          <cell r="AJ649">
            <v>0.22522123893805313</v>
          </cell>
          <cell r="AK649">
            <v>115</v>
          </cell>
          <cell r="AL649">
            <v>117</v>
          </cell>
          <cell r="AM649">
            <v>0.25170940170940176</v>
          </cell>
          <cell r="AN649">
            <v>133.35</v>
          </cell>
          <cell r="AO649">
            <v>149.69999999999999</v>
          </cell>
          <cell r="AP649">
            <v>166.05</v>
          </cell>
          <cell r="AQ649">
            <v>0</v>
          </cell>
          <cell r="AS649">
            <v>290</v>
          </cell>
        </row>
        <row r="650">
          <cell r="B650" t="str">
            <v>AC</v>
          </cell>
          <cell r="C650" t="str">
            <v>IMP</v>
          </cell>
          <cell r="D650" t="str">
            <v>BT</v>
          </cell>
          <cell r="E650" t="str">
            <v>P3</v>
          </cell>
          <cell r="F650">
            <v>39990</v>
          </cell>
          <cell r="G650">
            <v>40001</v>
          </cell>
          <cell r="H650" t="str">
            <v>960210</v>
          </cell>
          <cell r="I650">
            <v>0</v>
          </cell>
          <cell r="J650" t="str">
            <v>KCA09934</v>
          </cell>
          <cell r="K650" t="str">
            <v>Duplexing Document Feeder Kit (DF-321 Kit)</v>
          </cell>
          <cell r="L650">
            <v>50</v>
          </cell>
          <cell r="M650">
            <v>126</v>
          </cell>
          <cell r="N650">
            <v>17</v>
          </cell>
          <cell r="O650">
            <v>0</v>
          </cell>
          <cell r="P650">
            <v>129.78</v>
          </cell>
          <cell r="Q650">
            <v>133.56</v>
          </cell>
          <cell r="R650">
            <v>150.91999999999999</v>
          </cell>
          <cell r="T650" t="e">
            <v>#DIV/0!</v>
          </cell>
          <cell r="W650">
            <v>14.45</v>
          </cell>
          <cell r="X650" t="e">
            <v>#DIV/0!</v>
          </cell>
          <cell r="AA650">
            <v>223</v>
          </cell>
          <cell r="AB650">
            <v>15</v>
          </cell>
          <cell r="AC650">
            <v>17</v>
          </cell>
          <cell r="AD650">
            <v>18</v>
          </cell>
          <cell r="AE650">
            <v>17.84</v>
          </cell>
          <cell r="AF650">
            <v>0.1900224215246637</v>
          </cell>
          <cell r="AG650">
            <v>4.7085201793721963E-2</v>
          </cell>
          <cell r="AH650">
            <v>19</v>
          </cell>
          <cell r="AI650">
            <v>19</v>
          </cell>
          <cell r="AJ650">
            <v>0.23947368421052637</v>
          </cell>
          <cell r="AK650">
            <v>19.5</v>
          </cell>
          <cell r="AL650">
            <v>20</v>
          </cell>
          <cell r="AM650">
            <v>0.27750000000000002</v>
          </cell>
          <cell r="AN650">
            <v>22.53</v>
          </cell>
          <cell r="AO650">
            <v>25.06</v>
          </cell>
          <cell r="AP650">
            <v>27.59</v>
          </cell>
          <cell r="AQ650">
            <v>0</v>
          </cell>
          <cell r="AS650">
            <v>50</v>
          </cell>
        </row>
        <row r="651">
          <cell r="B651" t="str">
            <v>AC</v>
          </cell>
          <cell r="C651" t="str">
            <v>IMP</v>
          </cell>
          <cell r="D651" t="str">
            <v>BT</v>
          </cell>
          <cell r="E651" t="str">
            <v>P3</v>
          </cell>
          <cell r="F651">
            <v>39990</v>
          </cell>
          <cell r="G651">
            <v>40001</v>
          </cell>
          <cell r="H651" t="str">
            <v>960211</v>
          </cell>
          <cell r="I651" t="str">
            <v>SBEKDS9110</v>
          </cell>
          <cell r="J651" t="str">
            <v>KC4C5769</v>
          </cell>
          <cell r="K651" t="str">
            <v>Duplexing Document Feeder (DF-321)</v>
          </cell>
          <cell r="L651">
            <v>1450</v>
          </cell>
          <cell r="M651">
            <v>96.56</v>
          </cell>
          <cell r="N651">
            <v>572</v>
          </cell>
          <cell r="O651">
            <v>0</v>
          </cell>
          <cell r="P651">
            <v>99.46</v>
          </cell>
          <cell r="Q651">
            <v>102.36</v>
          </cell>
          <cell r="R651">
            <v>115.67</v>
          </cell>
          <cell r="T651" t="e">
            <v>#DIV/0!</v>
          </cell>
          <cell r="W651">
            <v>486.2</v>
          </cell>
          <cell r="X651" t="e">
            <v>#DIV/0!</v>
          </cell>
          <cell r="AA651">
            <v>171</v>
          </cell>
          <cell r="AB651">
            <v>487</v>
          </cell>
          <cell r="AC651">
            <v>541</v>
          </cell>
          <cell r="AD651">
            <v>571</v>
          </cell>
          <cell r="AE651">
            <v>600.25</v>
          </cell>
          <cell r="AF651">
            <v>0.19000416493127864</v>
          </cell>
          <cell r="AG651">
            <v>4.7063723448563098E-2</v>
          </cell>
          <cell r="AH651">
            <v>613</v>
          </cell>
          <cell r="AI651">
            <v>625</v>
          </cell>
          <cell r="AJ651">
            <v>0.22208000000000003</v>
          </cell>
          <cell r="AK651">
            <v>637</v>
          </cell>
          <cell r="AL651">
            <v>649</v>
          </cell>
          <cell r="AM651">
            <v>0.25084745762711869</v>
          </cell>
          <cell r="AN651">
            <v>739.98</v>
          </cell>
          <cell r="AO651">
            <v>830.96</v>
          </cell>
          <cell r="AP651">
            <v>921.94</v>
          </cell>
          <cell r="AQ651">
            <v>0</v>
          </cell>
          <cell r="AS651">
            <v>1450</v>
          </cell>
        </row>
        <row r="652">
          <cell r="B652" t="str">
            <v>AC</v>
          </cell>
          <cell r="C652" t="str">
            <v>IMP</v>
          </cell>
          <cell r="D652" t="str">
            <v>BT</v>
          </cell>
          <cell r="E652" t="str">
            <v>P3</v>
          </cell>
          <cell r="F652">
            <v>39990</v>
          </cell>
          <cell r="G652">
            <v>40001</v>
          </cell>
          <cell r="H652" t="str">
            <v>960212</v>
          </cell>
          <cell r="I652" t="str">
            <v>SFEKDS9110</v>
          </cell>
          <cell r="J652" t="str">
            <v>KN000286700</v>
          </cell>
          <cell r="K652" t="str">
            <v>Automatic Document Feeder (DF-218)</v>
          </cell>
          <cell r="L652">
            <v>500</v>
          </cell>
          <cell r="M652">
            <v>43.52</v>
          </cell>
          <cell r="N652">
            <v>189</v>
          </cell>
          <cell r="O652">
            <v>0</v>
          </cell>
          <cell r="P652">
            <v>44.83</v>
          </cell>
          <cell r="Q652">
            <v>46.14</v>
          </cell>
          <cell r="R652">
            <v>52.14</v>
          </cell>
          <cell r="T652" t="e">
            <v>#DIV/0!</v>
          </cell>
          <cell r="W652">
            <v>160.65</v>
          </cell>
          <cell r="X652" t="e">
            <v>#DIV/0!</v>
          </cell>
          <cell r="AA652">
            <v>77</v>
          </cell>
          <cell r="AB652">
            <v>161</v>
          </cell>
          <cell r="AC652">
            <v>179</v>
          </cell>
          <cell r="AD652">
            <v>189</v>
          </cell>
          <cell r="AE652">
            <v>198.33</v>
          </cell>
          <cell r="AF652">
            <v>0.18998638632582063</v>
          </cell>
          <cell r="AG652">
            <v>4.7042807442141947E-2</v>
          </cell>
          <cell r="AH652">
            <v>203</v>
          </cell>
          <cell r="AI652">
            <v>207</v>
          </cell>
          <cell r="AJ652">
            <v>0.22391304347826085</v>
          </cell>
          <cell r="AK652">
            <v>211</v>
          </cell>
          <cell r="AL652">
            <v>215</v>
          </cell>
          <cell r="AM652">
            <v>0.25279069767441859</v>
          </cell>
          <cell r="AN652">
            <v>244.92</v>
          </cell>
          <cell r="AO652">
            <v>274.83999999999997</v>
          </cell>
          <cell r="AP652">
            <v>304.76</v>
          </cell>
          <cell r="AQ652">
            <v>0</v>
          </cell>
          <cell r="AS652">
            <v>500</v>
          </cell>
        </row>
        <row r="653">
          <cell r="B653" t="str">
            <v>AC</v>
          </cell>
          <cell r="C653" t="str">
            <v>IMP</v>
          </cell>
          <cell r="D653" t="str">
            <v>BT</v>
          </cell>
          <cell r="E653" t="str">
            <v>P3</v>
          </cell>
          <cell r="F653">
            <v>39990</v>
          </cell>
          <cell r="G653">
            <v>40001</v>
          </cell>
          <cell r="H653" t="str">
            <v>960214</v>
          </cell>
          <cell r="I653">
            <v>0</v>
          </cell>
          <cell r="J653">
            <v>0</v>
          </cell>
          <cell r="K653" t="str">
            <v>Multi Bypass Tray (MT-103)</v>
          </cell>
          <cell r="L653">
            <v>145</v>
          </cell>
          <cell r="M653">
            <v>0</v>
          </cell>
          <cell r="N653">
            <v>57</v>
          </cell>
          <cell r="O653">
            <v>0</v>
          </cell>
          <cell r="P653">
            <v>0</v>
          </cell>
          <cell r="Q653">
            <v>0</v>
          </cell>
          <cell r="R653">
            <v>0</v>
          </cell>
          <cell r="T653">
            <v>0</v>
          </cell>
          <cell r="W653">
            <v>48.449999999999996</v>
          </cell>
          <cell r="X653">
            <v>0</v>
          </cell>
          <cell r="AA653">
            <v>0</v>
          </cell>
          <cell r="AB653">
            <v>49</v>
          </cell>
          <cell r="AC653">
            <v>54</v>
          </cell>
          <cell r="AD653">
            <v>57</v>
          </cell>
          <cell r="AE653">
            <v>59.81</v>
          </cell>
          <cell r="AF653">
            <v>0.18993479351279061</v>
          </cell>
          <cell r="AG653">
            <v>4.6982110015047686E-2</v>
          </cell>
          <cell r="AH653">
            <v>62</v>
          </cell>
          <cell r="AI653">
            <v>63</v>
          </cell>
          <cell r="AJ653">
            <v>0.23095238095238102</v>
          </cell>
          <cell r="AK653">
            <v>64</v>
          </cell>
          <cell r="AL653">
            <v>65</v>
          </cell>
          <cell r="AM653">
            <v>0.25461538461538469</v>
          </cell>
          <cell r="AN653">
            <v>73.98</v>
          </cell>
          <cell r="AO653">
            <v>82.96</v>
          </cell>
          <cell r="AP653">
            <v>91.94</v>
          </cell>
          <cell r="AQ653">
            <v>0</v>
          </cell>
          <cell r="AS653">
            <v>145</v>
          </cell>
        </row>
        <row r="654">
          <cell r="B654" t="str">
            <v>AC</v>
          </cell>
          <cell r="C654" t="str">
            <v>IMP</v>
          </cell>
          <cell r="D654" t="str">
            <v>BT</v>
          </cell>
          <cell r="E654" t="str">
            <v>P3</v>
          </cell>
          <cell r="F654">
            <v>39990</v>
          </cell>
          <cell r="G654">
            <v>40001</v>
          </cell>
          <cell r="H654" t="str">
            <v>960215</v>
          </cell>
          <cell r="K654" t="str">
            <v>Paper Feed Unit (PF-321)</v>
          </cell>
          <cell r="L654">
            <v>335</v>
          </cell>
          <cell r="N654">
            <v>92</v>
          </cell>
          <cell r="W654">
            <v>78.2</v>
          </cell>
          <cell r="AB654">
            <v>79</v>
          </cell>
          <cell r="AC654">
            <v>87</v>
          </cell>
          <cell r="AD654">
            <v>92</v>
          </cell>
          <cell r="AE654">
            <v>96.54</v>
          </cell>
          <cell r="AF654">
            <v>0.18997306815827639</v>
          </cell>
          <cell r="AG654">
            <v>4.7027139009736957E-2</v>
          </cell>
          <cell r="AH654">
            <v>99</v>
          </cell>
          <cell r="AI654">
            <v>101</v>
          </cell>
          <cell r="AJ654">
            <v>0.22574257425742572</v>
          </cell>
          <cell r="AK654">
            <v>103</v>
          </cell>
          <cell r="AL654">
            <v>105</v>
          </cell>
          <cell r="AM654">
            <v>0.25523809523809521</v>
          </cell>
          <cell r="AN654">
            <v>119.48</v>
          </cell>
          <cell r="AO654">
            <v>133.96</v>
          </cell>
          <cell r="AP654">
            <v>148.44</v>
          </cell>
          <cell r="AQ654">
            <v>0</v>
          </cell>
          <cell r="AS654">
            <v>335</v>
          </cell>
        </row>
        <row r="655">
          <cell r="B655" t="str">
            <v>AC</v>
          </cell>
          <cell r="C655" t="str">
            <v>IMP</v>
          </cell>
          <cell r="D655" t="str">
            <v>BT</v>
          </cell>
          <cell r="E655" t="str">
            <v>P3</v>
          </cell>
          <cell r="F655">
            <v>39990</v>
          </cell>
          <cell r="G655">
            <v>40001</v>
          </cell>
          <cell r="H655" t="str">
            <v>960216</v>
          </cell>
          <cell r="I655">
            <v>0</v>
          </cell>
          <cell r="J655">
            <v>0</v>
          </cell>
          <cell r="K655" t="str">
            <v>Duplex Unit (AD-321)</v>
          </cell>
          <cell r="L655">
            <v>200</v>
          </cell>
          <cell r="M655">
            <v>0</v>
          </cell>
          <cell r="N655">
            <v>80</v>
          </cell>
          <cell r="O655">
            <v>0</v>
          </cell>
          <cell r="P655">
            <v>0</v>
          </cell>
          <cell r="Q655">
            <v>0</v>
          </cell>
          <cell r="R655">
            <v>0</v>
          </cell>
          <cell r="S655">
            <v>0</v>
          </cell>
          <cell r="T655">
            <v>0</v>
          </cell>
          <cell r="U655">
            <v>0</v>
          </cell>
          <cell r="V655">
            <v>0</v>
          </cell>
          <cell r="W655">
            <v>68</v>
          </cell>
          <cell r="X655">
            <v>0</v>
          </cell>
          <cell r="Y655">
            <v>0</v>
          </cell>
          <cell r="Z655">
            <v>0</v>
          </cell>
          <cell r="AA655">
            <v>0</v>
          </cell>
          <cell r="AB655">
            <v>68</v>
          </cell>
          <cell r="AC655">
            <v>76</v>
          </cell>
          <cell r="AD655">
            <v>80</v>
          </cell>
          <cell r="AE655">
            <v>83.95</v>
          </cell>
          <cell r="AF655">
            <v>0.18999404407385351</v>
          </cell>
          <cell r="AG655">
            <v>4.7051816557474722E-2</v>
          </cell>
          <cell r="AH655">
            <v>86</v>
          </cell>
          <cell r="AI655">
            <v>88</v>
          </cell>
          <cell r="AJ655">
            <v>0.22727272727272727</v>
          </cell>
          <cell r="AK655">
            <v>89.5</v>
          </cell>
          <cell r="AL655">
            <v>91</v>
          </cell>
          <cell r="AM655">
            <v>0.25274725274725274</v>
          </cell>
          <cell r="AN655">
            <v>103.67</v>
          </cell>
          <cell r="AO655">
            <v>116.34</v>
          </cell>
          <cell r="AP655">
            <v>129.01</v>
          </cell>
          <cell r="AQ655">
            <v>0</v>
          </cell>
          <cell r="AS655">
            <v>200</v>
          </cell>
        </row>
        <row r="656">
          <cell r="B656" t="str">
            <v>AC</v>
          </cell>
          <cell r="C656" t="str">
            <v>IMP</v>
          </cell>
          <cell r="D656" t="str">
            <v>BT</v>
          </cell>
          <cell r="E656" t="str">
            <v>P3</v>
          </cell>
          <cell r="F656">
            <v>39990</v>
          </cell>
          <cell r="G656">
            <v>40001</v>
          </cell>
          <cell r="H656" t="str">
            <v>960217</v>
          </cell>
          <cell r="I656">
            <v>0</v>
          </cell>
          <cell r="J656">
            <v>0</v>
          </cell>
          <cell r="K656" t="str">
            <v>IP-418 Print Controller</v>
          </cell>
          <cell r="L656">
            <v>580</v>
          </cell>
          <cell r="M656">
            <v>0</v>
          </cell>
          <cell r="N656">
            <v>240</v>
          </cell>
          <cell r="O656">
            <v>0</v>
          </cell>
          <cell r="P656">
            <v>0</v>
          </cell>
          <cell r="Q656">
            <v>0</v>
          </cell>
          <cell r="R656">
            <v>0</v>
          </cell>
          <cell r="S656">
            <v>0</v>
          </cell>
          <cell r="T656">
            <v>0</v>
          </cell>
          <cell r="U656">
            <v>0</v>
          </cell>
          <cell r="V656">
            <v>0</v>
          </cell>
          <cell r="W656">
            <v>204</v>
          </cell>
          <cell r="X656">
            <v>0</v>
          </cell>
          <cell r="Y656">
            <v>0</v>
          </cell>
          <cell r="Z656">
            <v>0</v>
          </cell>
          <cell r="AA656">
            <v>0</v>
          </cell>
          <cell r="AB656">
            <v>204</v>
          </cell>
          <cell r="AC656">
            <v>227</v>
          </cell>
          <cell r="AD656">
            <v>240</v>
          </cell>
          <cell r="AE656">
            <v>251.85</v>
          </cell>
          <cell r="AF656">
            <v>0.18999404407385348</v>
          </cell>
          <cell r="AG656">
            <v>4.7051816557474667E-2</v>
          </cell>
          <cell r="AH656">
            <v>257</v>
          </cell>
          <cell r="AI656">
            <v>262</v>
          </cell>
          <cell r="AJ656">
            <v>0.22137404580152673</v>
          </cell>
          <cell r="AK656">
            <v>267</v>
          </cell>
          <cell r="AL656">
            <v>272</v>
          </cell>
          <cell r="AM656">
            <v>0.25</v>
          </cell>
          <cell r="AN656">
            <v>310.25</v>
          </cell>
          <cell r="AO656">
            <v>348.5</v>
          </cell>
          <cell r="AP656">
            <v>386.75</v>
          </cell>
          <cell r="AQ656">
            <v>0</v>
          </cell>
          <cell r="AS656">
            <v>580</v>
          </cell>
        </row>
        <row r="657">
          <cell r="B657" t="str">
            <v>AC</v>
          </cell>
          <cell r="C657" t="str">
            <v>IMP</v>
          </cell>
          <cell r="D657" t="str">
            <v>BT</v>
          </cell>
          <cell r="E657" t="str">
            <v>P3</v>
          </cell>
          <cell r="F657">
            <v>39990</v>
          </cell>
          <cell r="G657">
            <v>40001</v>
          </cell>
          <cell r="H657" t="str">
            <v>960221</v>
          </cell>
          <cell r="I657">
            <v>0</v>
          </cell>
          <cell r="J657">
            <v>0</v>
          </cell>
          <cell r="K657" t="str">
            <v xml:space="preserve">IP-424 Print Controller </v>
          </cell>
          <cell r="L657">
            <v>1000</v>
          </cell>
          <cell r="M657">
            <v>0</v>
          </cell>
          <cell r="N657">
            <v>401</v>
          </cell>
          <cell r="O657">
            <v>0</v>
          </cell>
          <cell r="P657">
            <v>0</v>
          </cell>
          <cell r="Q657">
            <v>0</v>
          </cell>
          <cell r="R657">
            <v>0</v>
          </cell>
          <cell r="S657">
            <v>0</v>
          </cell>
          <cell r="T657">
            <v>0</v>
          </cell>
          <cell r="U657">
            <v>0</v>
          </cell>
          <cell r="V657">
            <v>0</v>
          </cell>
          <cell r="W657">
            <v>340.84999999999997</v>
          </cell>
          <cell r="X657">
            <v>0</v>
          </cell>
          <cell r="Y657">
            <v>0</v>
          </cell>
          <cell r="Z657">
            <v>0</v>
          </cell>
          <cell r="AA657">
            <v>0</v>
          </cell>
          <cell r="AB657">
            <v>341</v>
          </cell>
          <cell r="AC657">
            <v>379</v>
          </cell>
          <cell r="AD657">
            <v>400</v>
          </cell>
          <cell r="AE657">
            <v>420.8</v>
          </cell>
          <cell r="AF657">
            <v>0.18999524714828908</v>
          </cell>
          <cell r="AG657">
            <v>4.7053231939163526E-2</v>
          </cell>
          <cell r="AH657">
            <v>430</v>
          </cell>
          <cell r="AI657">
            <v>438</v>
          </cell>
          <cell r="AJ657">
            <v>0.22180365296803661</v>
          </cell>
          <cell r="AK657">
            <v>446.5</v>
          </cell>
          <cell r="AL657">
            <v>455</v>
          </cell>
          <cell r="AM657">
            <v>0.25087912087912095</v>
          </cell>
          <cell r="AN657">
            <v>518.78</v>
          </cell>
          <cell r="AO657">
            <v>582.55999999999995</v>
          </cell>
          <cell r="AP657">
            <v>646.34</v>
          </cell>
          <cell r="AQ657">
            <v>0</v>
          </cell>
          <cell r="AS657">
            <v>1000</v>
          </cell>
        </row>
        <row r="658">
          <cell r="B658" t="str">
            <v>AC</v>
          </cell>
          <cell r="C658" t="str">
            <v>IMP</v>
          </cell>
          <cell r="D658" t="str">
            <v>BT</v>
          </cell>
          <cell r="E658" t="str">
            <v>P3</v>
          </cell>
          <cell r="F658">
            <v>39990</v>
          </cell>
          <cell r="G658">
            <v>40001</v>
          </cell>
          <cell r="H658" t="str">
            <v>960223</v>
          </cell>
          <cell r="I658">
            <v>0</v>
          </cell>
          <cell r="J658">
            <v>0</v>
          </cell>
          <cell r="K658" t="str">
            <v>PS Kit (PS-346)</v>
          </cell>
          <cell r="L658">
            <v>650</v>
          </cell>
          <cell r="M658">
            <v>0</v>
          </cell>
          <cell r="N658">
            <v>286</v>
          </cell>
          <cell r="O658">
            <v>0</v>
          </cell>
          <cell r="P658">
            <v>0</v>
          </cell>
          <cell r="Q658">
            <v>0</v>
          </cell>
          <cell r="R658">
            <v>0</v>
          </cell>
          <cell r="S658">
            <v>0</v>
          </cell>
          <cell r="T658">
            <v>0</v>
          </cell>
          <cell r="U658">
            <v>0</v>
          </cell>
          <cell r="V658">
            <v>0</v>
          </cell>
          <cell r="W658">
            <v>243.1</v>
          </cell>
          <cell r="X658">
            <v>0</v>
          </cell>
          <cell r="Y658">
            <v>0</v>
          </cell>
          <cell r="Z658">
            <v>0</v>
          </cell>
          <cell r="AA658">
            <v>0</v>
          </cell>
          <cell r="AB658">
            <v>244</v>
          </cell>
          <cell r="AC658">
            <v>271</v>
          </cell>
          <cell r="AD658">
            <v>286</v>
          </cell>
          <cell r="AE658">
            <v>300.12</v>
          </cell>
          <cell r="AF658">
            <v>0.18999067039850728</v>
          </cell>
          <cell r="AG658">
            <v>4.7047847527655617E-2</v>
          </cell>
          <cell r="AH658">
            <v>307</v>
          </cell>
          <cell r="AI658">
            <v>313</v>
          </cell>
          <cell r="AJ658">
            <v>0.22332268370607031</v>
          </cell>
          <cell r="AK658">
            <v>319</v>
          </cell>
          <cell r="AL658">
            <v>325</v>
          </cell>
          <cell r="AM658">
            <v>0.252</v>
          </cell>
          <cell r="AN658">
            <v>370.36</v>
          </cell>
          <cell r="AO658">
            <v>415.72</v>
          </cell>
          <cell r="AP658">
            <v>461.08</v>
          </cell>
          <cell r="AQ658">
            <v>0</v>
          </cell>
          <cell r="AS658">
            <v>650</v>
          </cell>
        </row>
        <row r="659">
          <cell r="B659" t="str">
            <v>AC</v>
          </cell>
          <cell r="C659" t="str">
            <v>IMP</v>
          </cell>
          <cell r="D659" t="str">
            <v>BT</v>
          </cell>
          <cell r="E659" t="str">
            <v>P3</v>
          </cell>
          <cell r="F659">
            <v>39990</v>
          </cell>
          <cell r="G659">
            <v>40001</v>
          </cell>
          <cell r="H659" t="str">
            <v>960224</v>
          </cell>
          <cell r="I659">
            <v>0</v>
          </cell>
          <cell r="K659" t="str">
            <v>Document Feeder (DF-320)</v>
          </cell>
          <cell r="L659">
            <v>1379</v>
          </cell>
          <cell r="M659">
            <v>0</v>
          </cell>
          <cell r="N659">
            <v>570</v>
          </cell>
          <cell r="O659">
            <v>0</v>
          </cell>
          <cell r="P659">
            <v>0</v>
          </cell>
          <cell r="Q659">
            <v>0</v>
          </cell>
          <cell r="R659">
            <v>0</v>
          </cell>
          <cell r="S659">
            <v>0</v>
          </cell>
          <cell r="T659">
            <v>0</v>
          </cell>
          <cell r="U659">
            <v>0</v>
          </cell>
          <cell r="V659">
            <v>0</v>
          </cell>
          <cell r="W659">
            <v>484.5</v>
          </cell>
          <cell r="X659">
            <v>0</v>
          </cell>
          <cell r="Y659">
            <v>0</v>
          </cell>
          <cell r="Z659">
            <v>0</v>
          </cell>
          <cell r="AA659">
            <v>0</v>
          </cell>
          <cell r="AB659">
            <v>485</v>
          </cell>
          <cell r="AC659">
            <v>539</v>
          </cell>
          <cell r="AD659">
            <v>569</v>
          </cell>
          <cell r="AE659">
            <v>598.15</v>
          </cell>
          <cell r="AF659">
            <v>0.19000250773217417</v>
          </cell>
          <cell r="AG659">
            <v>4.7061773802557848E-2</v>
          </cell>
          <cell r="AH659">
            <v>611</v>
          </cell>
          <cell r="AI659">
            <v>623</v>
          </cell>
          <cell r="AJ659">
            <v>0.22231139646869985</v>
          </cell>
          <cell r="AK659">
            <v>634.5</v>
          </cell>
          <cell r="AL659">
            <v>646</v>
          </cell>
          <cell r="AM659">
            <v>0.25</v>
          </cell>
          <cell r="AN659">
            <v>736.84</v>
          </cell>
          <cell r="AO659">
            <v>827.68</v>
          </cell>
          <cell r="AP659">
            <v>918.52</v>
          </cell>
          <cell r="AQ659">
            <v>0</v>
          </cell>
          <cell r="AR659">
            <v>0</v>
          </cell>
          <cell r="AS659">
            <v>1379</v>
          </cell>
        </row>
        <row r="660">
          <cell r="B660" t="str">
            <v>AC</v>
          </cell>
          <cell r="C660" t="str">
            <v>IMP</v>
          </cell>
          <cell r="D660" t="str">
            <v>BT</v>
          </cell>
          <cell r="E660" t="str">
            <v>P3</v>
          </cell>
          <cell r="F660">
            <v>39990</v>
          </cell>
          <cell r="G660">
            <v>40001</v>
          </cell>
          <cell r="H660" t="str">
            <v>960225</v>
          </cell>
          <cell r="I660">
            <v>0</v>
          </cell>
          <cell r="K660" t="str">
            <v>Pedastal Base (DK-110)</v>
          </cell>
          <cell r="L660">
            <v>360</v>
          </cell>
          <cell r="M660">
            <v>0</v>
          </cell>
          <cell r="N660">
            <v>92</v>
          </cell>
          <cell r="O660">
            <v>0</v>
          </cell>
          <cell r="P660">
            <v>0</v>
          </cell>
          <cell r="Q660">
            <v>0</v>
          </cell>
          <cell r="R660">
            <v>0</v>
          </cell>
          <cell r="S660">
            <v>0</v>
          </cell>
          <cell r="T660">
            <v>0</v>
          </cell>
          <cell r="U660">
            <v>0</v>
          </cell>
          <cell r="V660">
            <v>0</v>
          </cell>
          <cell r="W660">
            <v>78.2</v>
          </cell>
          <cell r="X660">
            <v>0</v>
          </cell>
          <cell r="Y660">
            <v>0</v>
          </cell>
          <cell r="Z660">
            <v>0</v>
          </cell>
          <cell r="AA660">
            <v>0</v>
          </cell>
          <cell r="AB660">
            <v>79</v>
          </cell>
          <cell r="AC660">
            <v>87</v>
          </cell>
          <cell r="AD660">
            <v>92</v>
          </cell>
          <cell r="AE660">
            <v>96.54</v>
          </cell>
          <cell r="AF660">
            <v>0.18997306815827639</v>
          </cell>
          <cell r="AG660">
            <v>4.7027139009736957E-2</v>
          </cell>
          <cell r="AH660">
            <v>99</v>
          </cell>
          <cell r="AI660">
            <v>101</v>
          </cell>
          <cell r="AJ660">
            <v>0.22574257425742572</v>
          </cell>
          <cell r="AK660">
            <v>103</v>
          </cell>
          <cell r="AL660">
            <v>105</v>
          </cell>
          <cell r="AM660">
            <v>0.25523809523809521</v>
          </cell>
          <cell r="AN660">
            <v>119.48</v>
          </cell>
          <cell r="AO660">
            <v>133.96</v>
          </cell>
          <cell r="AP660">
            <v>148.44</v>
          </cell>
          <cell r="AQ660">
            <v>0</v>
          </cell>
          <cell r="AR660">
            <v>0</v>
          </cell>
          <cell r="AS660">
            <v>360</v>
          </cell>
        </row>
        <row r="661">
          <cell r="B661" t="str">
            <v>AC</v>
          </cell>
          <cell r="C661" t="str">
            <v>IMP</v>
          </cell>
          <cell r="D661" t="str">
            <v>BT</v>
          </cell>
          <cell r="E661" t="str">
            <v>P3</v>
          </cell>
          <cell r="F661">
            <v>39990</v>
          </cell>
          <cell r="G661">
            <v>40001</v>
          </cell>
          <cell r="H661" t="str">
            <v>960226</v>
          </cell>
          <cell r="I661" t="str">
            <v>3KMHHD50440GHDD</v>
          </cell>
          <cell r="K661" t="str">
            <v>Fax Kit (FK-103)</v>
          </cell>
          <cell r="L661">
            <v>1190</v>
          </cell>
          <cell r="M661">
            <v>214</v>
          </cell>
          <cell r="N661">
            <v>544</v>
          </cell>
          <cell r="O661">
            <v>-0.17647058823529421</v>
          </cell>
          <cell r="P661">
            <v>189.17599999999999</v>
          </cell>
          <cell r="Q661">
            <v>226.84</v>
          </cell>
          <cell r="R661">
            <v>256.33</v>
          </cell>
          <cell r="S661">
            <v>319.2</v>
          </cell>
          <cell r="T661">
            <v>0.30275689223057639</v>
          </cell>
          <cell r="U661">
            <v>247.18847999999997</v>
          </cell>
          <cell r="V661">
            <v>9.9634416620062435E-2</v>
          </cell>
          <cell r="W661">
            <v>462.4</v>
          </cell>
          <cell r="X661">
            <v>0.59265664160400999</v>
          </cell>
          <cell r="Y661">
            <v>0</v>
          </cell>
          <cell r="Z661">
            <v>0</v>
          </cell>
          <cell r="AA661">
            <v>229</v>
          </cell>
          <cell r="AB661">
            <v>463</v>
          </cell>
          <cell r="AC661">
            <v>514</v>
          </cell>
          <cell r="AD661">
            <v>543</v>
          </cell>
          <cell r="AE661">
            <v>570.86</v>
          </cell>
          <cell r="AF661">
            <v>0.18999404407385354</v>
          </cell>
          <cell r="AG661">
            <v>4.7051816557474709E-2</v>
          </cell>
          <cell r="AH661">
            <v>583</v>
          </cell>
          <cell r="AI661">
            <v>594</v>
          </cell>
          <cell r="AJ661">
            <v>0.22154882154882158</v>
          </cell>
          <cell r="AK661">
            <v>605.5</v>
          </cell>
          <cell r="AL661">
            <v>617</v>
          </cell>
          <cell r="AM661">
            <v>0.25056726094003245</v>
          </cell>
          <cell r="AN661">
            <v>703.58</v>
          </cell>
          <cell r="AO661">
            <v>790.16</v>
          </cell>
          <cell r="AP661">
            <v>876.74</v>
          </cell>
          <cell r="AQ661">
            <v>0</v>
          </cell>
          <cell r="AR661">
            <v>0</v>
          </cell>
          <cell r="AS661">
            <v>1190</v>
          </cell>
        </row>
        <row r="662">
          <cell r="B662" t="str">
            <v>AC</v>
          </cell>
          <cell r="C662" t="str">
            <v>IMP</v>
          </cell>
          <cell r="D662" t="str">
            <v>BT</v>
          </cell>
          <cell r="E662" t="str">
            <v>P3</v>
          </cell>
          <cell r="F662">
            <v>39990</v>
          </cell>
          <cell r="G662">
            <v>40001</v>
          </cell>
          <cell r="H662" t="str">
            <v>960227</v>
          </cell>
          <cell r="I662" t="str">
            <v>4KMA0MD0Y0_N</v>
          </cell>
          <cell r="J662" t="str">
            <v>DNU</v>
          </cell>
          <cell r="K662" t="str">
            <v>2nd Fax Line Option (FL-103)</v>
          </cell>
          <cell r="L662">
            <v>700</v>
          </cell>
          <cell r="M662">
            <v>9384</v>
          </cell>
          <cell r="N662">
            <v>323</v>
          </cell>
          <cell r="O662">
            <v>0</v>
          </cell>
          <cell r="P662">
            <v>9665.52</v>
          </cell>
          <cell r="Q662">
            <v>9947.0400000000009</v>
          </cell>
          <cell r="R662">
            <v>11240.16</v>
          </cell>
          <cell r="S662">
            <v>11712.8</v>
          </cell>
          <cell r="T662">
            <v>0.17478997336247515</v>
          </cell>
          <cell r="U662">
            <v>10073.008</v>
          </cell>
          <cell r="V662">
            <v>4.0453457398226964E-2</v>
          </cell>
          <cell r="W662">
            <v>274.55</v>
          </cell>
          <cell r="X662">
            <v>0.82521002663752485</v>
          </cell>
          <cell r="Y662">
            <v>0</v>
          </cell>
          <cell r="Z662">
            <v>0</v>
          </cell>
          <cell r="AA662">
            <v>11694</v>
          </cell>
          <cell r="AB662">
            <v>275</v>
          </cell>
          <cell r="AC662">
            <v>306</v>
          </cell>
          <cell r="AD662">
            <v>323</v>
          </cell>
          <cell r="AE662">
            <v>338.95</v>
          </cell>
          <cell r="AF662">
            <v>0.18999852485617341</v>
          </cell>
          <cell r="AG662">
            <v>4.7057088066086411E-2</v>
          </cell>
          <cell r="AH662">
            <v>346</v>
          </cell>
          <cell r="AI662">
            <v>353</v>
          </cell>
          <cell r="AJ662">
            <v>0.22223796033994331</v>
          </cell>
          <cell r="AK662">
            <v>360</v>
          </cell>
          <cell r="AL662">
            <v>367</v>
          </cell>
          <cell r="AM662">
            <v>0.25190735694822886</v>
          </cell>
          <cell r="AN662">
            <v>418.24</v>
          </cell>
          <cell r="AO662">
            <v>469.48</v>
          </cell>
          <cell r="AP662">
            <v>520.72</v>
          </cell>
          <cell r="AQ662">
            <v>0</v>
          </cell>
          <cell r="AR662">
            <v>0</v>
          </cell>
          <cell r="AS662">
            <v>700</v>
          </cell>
        </row>
        <row r="663">
          <cell r="B663" t="str">
            <v>AC</v>
          </cell>
          <cell r="C663" t="str">
            <v>IMP</v>
          </cell>
          <cell r="D663" t="str">
            <v>BT</v>
          </cell>
          <cell r="E663" t="str">
            <v>P3</v>
          </cell>
          <cell r="F663">
            <v>39990</v>
          </cell>
          <cell r="G663">
            <v>40001</v>
          </cell>
          <cell r="H663" t="str">
            <v>960229</v>
          </cell>
          <cell r="I663" t="str">
            <v>6KMFS517STPF_N</v>
          </cell>
          <cell r="J663">
            <v>0</v>
          </cell>
          <cell r="K663" t="str">
            <v>Compact Flash for IP-424</v>
          </cell>
          <cell r="L663">
            <v>300</v>
          </cell>
          <cell r="M663">
            <v>918</v>
          </cell>
          <cell r="N663">
            <v>114</v>
          </cell>
          <cell r="O663">
            <v>0.10506186726659161</v>
          </cell>
          <cell r="P663">
            <v>1066.8</v>
          </cell>
          <cell r="Q663">
            <v>973.08</v>
          </cell>
          <cell r="R663">
            <v>1099.58</v>
          </cell>
          <cell r="S663">
            <v>1333.5</v>
          </cell>
          <cell r="T663">
            <v>0.28404949381327332</v>
          </cell>
          <cell r="U663">
            <v>1032.6623999999999</v>
          </cell>
          <cell r="V663">
            <v>7.5477135605983056E-2</v>
          </cell>
          <cell r="W663">
            <v>96.899999999999991</v>
          </cell>
          <cell r="X663">
            <v>0.79999999999999993</v>
          </cell>
          <cell r="Y663">
            <v>0</v>
          </cell>
          <cell r="Z663">
            <v>0</v>
          </cell>
          <cell r="AA663">
            <v>1291</v>
          </cell>
          <cell r="AB663">
            <v>97</v>
          </cell>
          <cell r="AC663">
            <v>108</v>
          </cell>
          <cell r="AD663">
            <v>114</v>
          </cell>
          <cell r="AE663">
            <v>119.63</v>
          </cell>
          <cell r="AF663">
            <v>0.19000250773217425</v>
          </cell>
          <cell r="AG663">
            <v>4.7061773802557848E-2</v>
          </cell>
          <cell r="AH663">
            <v>123</v>
          </cell>
          <cell r="AI663">
            <v>125</v>
          </cell>
          <cell r="AJ663">
            <v>0.22480000000000006</v>
          </cell>
          <cell r="AK663">
            <v>127.5</v>
          </cell>
          <cell r="AL663">
            <v>130</v>
          </cell>
          <cell r="AM663">
            <v>0.25461538461538469</v>
          </cell>
          <cell r="AN663">
            <v>147.97</v>
          </cell>
          <cell r="AO663">
            <v>165.94</v>
          </cell>
          <cell r="AP663">
            <v>183.91</v>
          </cell>
          <cell r="AQ663">
            <v>0</v>
          </cell>
          <cell r="AR663">
            <v>0</v>
          </cell>
          <cell r="AS663">
            <v>300</v>
          </cell>
        </row>
        <row r="664">
          <cell r="B664" t="str">
            <v>AC</v>
          </cell>
          <cell r="C664" t="str">
            <v>IMP</v>
          </cell>
          <cell r="D664" t="str">
            <v>BT</v>
          </cell>
          <cell r="E664" t="str">
            <v>P3</v>
          </cell>
          <cell r="F664">
            <v>39990</v>
          </cell>
          <cell r="G664">
            <v>40001</v>
          </cell>
          <cell r="H664" t="str">
            <v>960234</v>
          </cell>
          <cell r="I664" t="str">
            <v>6KMFS608SF_N</v>
          </cell>
          <cell r="K664" t="str">
            <v>DocBuilder Pro S/W w/Dongle Kit X3e+ (IP-901 - ver.1)</v>
          </cell>
          <cell r="L664">
            <v>2500</v>
          </cell>
          <cell r="M664">
            <v>1530</v>
          </cell>
          <cell r="N664">
            <v>1288</v>
          </cell>
          <cell r="O664">
            <v>0.11893687707641193</v>
          </cell>
          <cell r="P664">
            <v>1806</v>
          </cell>
          <cell r="Q664">
            <v>1621.8</v>
          </cell>
          <cell r="R664">
            <v>1832.63</v>
          </cell>
          <cell r="S664">
            <v>2257.5</v>
          </cell>
          <cell r="T664">
            <v>0.29514950166112952</v>
          </cell>
          <cell r="U664">
            <v>1748.2079999999999</v>
          </cell>
          <cell r="V664">
            <v>8.9810823426045308E-2</v>
          </cell>
          <cell r="W664">
            <v>1094.8</v>
          </cell>
          <cell r="X664">
            <v>0.8</v>
          </cell>
          <cell r="Y664">
            <v>0</v>
          </cell>
          <cell r="Z664">
            <v>0</v>
          </cell>
          <cell r="AA664">
            <v>2185</v>
          </cell>
          <cell r="AB664">
            <v>1095</v>
          </cell>
          <cell r="AC664">
            <v>1217</v>
          </cell>
          <cell r="AD664">
            <v>1285</v>
          </cell>
          <cell r="AE664">
            <v>1351.6</v>
          </cell>
          <cell r="AF664">
            <v>0.18999704054453978</v>
          </cell>
          <cell r="AG664">
            <v>4.7055341817105585E-2</v>
          </cell>
          <cell r="AH664">
            <v>1379</v>
          </cell>
          <cell r="AI664">
            <v>1406</v>
          </cell>
          <cell r="AJ664">
            <v>0.22133712660028454</v>
          </cell>
          <cell r="AK664">
            <v>1433</v>
          </cell>
          <cell r="AL664">
            <v>1460</v>
          </cell>
          <cell r="AM664">
            <v>0.25013698630136988</v>
          </cell>
          <cell r="AN664">
            <v>1665.21</v>
          </cell>
          <cell r="AO664">
            <v>1870.42</v>
          </cell>
          <cell r="AP664">
            <v>2075.63</v>
          </cell>
          <cell r="AQ664">
            <v>0</v>
          </cell>
          <cell r="AR664">
            <v>0</v>
          </cell>
          <cell r="AS664">
            <v>2500</v>
          </cell>
        </row>
        <row r="665">
          <cell r="B665" t="str">
            <v>AC</v>
          </cell>
          <cell r="C665" t="str">
            <v>IMP</v>
          </cell>
          <cell r="D665" t="str">
            <v>BT</v>
          </cell>
          <cell r="E665" t="str">
            <v>P3</v>
          </cell>
          <cell r="F665">
            <v>39990</v>
          </cell>
          <cell r="G665">
            <v>40001</v>
          </cell>
          <cell r="H665" t="str">
            <v>960236</v>
          </cell>
          <cell r="I665">
            <v>0</v>
          </cell>
          <cell r="K665" t="str">
            <v>ED-100 Densitometer X3+ (IP-901)</v>
          </cell>
          <cell r="L665">
            <v>1000</v>
          </cell>
          <cell r="M665">
            <v>845</v>
          </cell>
          <cell r="N665">
            <v>412</v>
          </cell>
          <cell r="O665">
            <v>-0.17647058823529418</v>
          </cell>
          <cell r="P665">
            <v>746.98</v>
          </cell>
          <cell r="Q665">
            <v>895.7</v>
          </cell>
          <cell r="R665">
            <v>1012.14</v>
          </cell>
          <cell r="S665">
            <v>1410</v>
          </cell>
          <cell r="T665">
            <v>0.37673758865248225</v>
          </cell>
          <cell r="U665">
            <v>987</v>
          </cell>
          <cell r="V665">
            <v>0.10962512664640317</v>
          </cell>
          <cell r="W665">
            <v>350.2</v>
          </cell>
          <cell r="X665">
            <v>0.52977304964539007</v>
          </cell>
          <cell r="Y665">
            <v>60</v>
          </cell>
          <cell r="Z665">
            <v>70</v>
          </cell>
          <cell r="AA665">
            <v>904</v>
          </cell>
          <cell r="AB665">
            <v>351</v>
          </cell>
          <cell r="AC665">
            <v>390</v>
          </cell>
          <cell r="AD665">
            <v>412</v>
          </cell>
          <cell r="AE665">
            <v>432.35</v>
          </cell>
          <cell r="AF665">
            <v>0.19000809529316534</v>
          </cell>
          <cell r="AG665">
            <v>4.7068347403723884E-2</v>
          </cell>
          <cell r="AH665">
            <v>442</v>
          </cell>
          <cell r="AI665">
            <v>450</v>
          </cell>
          <cell r="AJ665">
            <v>0.2217777777777778</v>
          </cell>
          <cell r="AK665">
            <v>458.5</v>
          </cell>
          <cell r="AL665">
            <v>467</v>
          </cell>
          <cell r="AM665">
            <v>0.25010706638115632</v>
          </cell>
          <cell r="AN665">
            <v>532.65</v>
          </cell>
          <cell r="AO665">
            <v>598.29999999999995</v>
          </cell>
          <cell r="AP665">
            <v>663.95</v>
          </cell>
          <cell r="AQ665">
            <v>0</v>
          </cell>
          <cell r="AR665">
            <v>200</v>
          </cell>
          <cell r="AS665">
            <v>1000</v>
          </cell>
        </row>
        <row r="666">
          <cell r="B666" t="str">
            <v>AC</v>
          </cell>
          <cell r="C666" t="str">
            <v>IMP</v>
          </cell>
          <cell r="D666" t="str">
            <v>BT</v>
          </cell>
          <cell r="E666" t="str">
            <v>P3</v>
          </cell>
          <cell r="F666">
            <v>39990</v>
          </cell>
          <cell r="G666">
            <v>40001</v>
          </cell>
          <cell r="H666" t="str">
            <v>960238</v>
          </cell>
          <cell r="I666" t="str">
            <v>9KMBH360GSA_N</v>
          </cell>
          <cell r="K666" t="str">
            <v>EFI Color Profiler Kit: ES-1000 Color Spectophotometer, Monitor Calibration Software &amp; Hardware DNU's use 7640000747</v>
          </cell>
          <cell r="L666">
            <v>2000</v>
          </cell>
          <cell r="M666">
            <v>2729</v>
          </cell>
          <cell r="N666">
            <v>1030</v>
          </cell>
          <cell r="O666">
            <v>-0.17647058823529418</v>
          </cell>
          <cell r="P666">
            <v>2412.4360000000001</v>
          </cell>
          <cell r="Q666">
            <v>2892.74</v>
          </cell>
          <cell r="R666">
            <v>3268.8</v>
          </cell>
          <cell r="S666">
            <v>4474.1000000000004</v>
          </cell>
          <cell r="T666">
            <v>0.36564672224581479</v>
          </cell>
          <cell r="U666">
            <v>3132</v>
          </cell>
          <cell r="V666">
            <v>9.381864623243924E-2</v>
          </cell>
          <cell r="W666">
            <v>875.5</v>
          </cell>
          <cell r="X666">
            <v>0.53920028609105741</v>
          </cell>
          <cell r="Y666">
            <v>150</v>
          </cell>
          <cell r="Z666">
            <v>300</v>
          </cell>
          <cell r="AA666">
            <v>2919</v>
          </cell>
          <cell r="AB666">
            <v>876</v>
          </cell>
          <cell r="AC666">
            <v>973</v>
          </cell>
          <cell r="AD666">
            <v>1027</v>
          </cell>
          <cell r="AE666">
            <v>1080.8599999999999</v>
          </cell>
          <cell r="AF666">
            <v>0.18999685435671587</v>
          </cell>
          <cell r="AG666">
            <v>4.7055122772606907E-2</v>
          </cell>
          <cell r="AH666">
            <v>1103</v>
          </cell>
          <cell r="AI666">
            <v>1125</v>
          </cell>
          <cell r="AJ666">
            <v>0.22177777777777777</v>
          </cell>
          <cell r="AK666">
            <v>1146.5</v>
          </cell>
          <cell r="AL666">
            <v>1168</v>
          </cell>
          <cell r="AM666">
            <v>0.25042808219178081</v>
          </cell>
          <cell r="AN666">
            <v>1331.99</v>
          </cell>
          <cell r="AO666">
            <v>1495.98</v>
          </cell>
          <cell r="AP666">
            <v>1659.97</v>
          </cell>
          <cell r="AQ666">
            <v>0</v>
          </cell>
          <cell r="AR666">
            <v>288</v>
          </cell>
          <cell r="AS666">
            <v>2000</v>
          </cell>
        </row>
        <row r="667">
          <cell r="B667" t="str">
            <v>AC</v>
          </cell>
          <cell r="C667" t="str">
            <v>IMP</v>
          </cell>
          <cell r="D667" t="str">
            <v>BT</v>
          </cell>
          <cell r="E667" t="str">
            <v>P3</v>
          </cell>
          <cell r="F667">
            <v>39990</v>
          </cell>
          <cell r="G667">
            <v>40001</v>
          </cell>
          <cell r="H667" t="str">
            <v>960327</v>
          </cell>
          <cell r="I667" t="str">
            <v>9KMBH420GSA_N</v>
          </cell>
          <cell r="K667" t="str">
            <v>Stapling Finisher (FS-110)</v>
          </cell>
          <cell r="L667">
            <v>2850</v>
          </cell>
          <cell r="M667">
            <v>2882</v>
          </cell>
          <cell r="N667">
            <v>1030</v>
          </cell>
          <cell r="O667">
            <v>-0.17647058823529416</v>
          </cell>
          <cell r="P667">
            <v>2547.6880000000001</v>
          </cell>
          <cell r="Q667">
            <v>3054.92</v>
          </cell>
          <cell r="R667">
            <v>3452.06</v>
          </cell>
          <cell r="S667">
            <v>4993.8</v>
          </cell>
          <cell r="T667">
            <v>0.39979975169209819</v>
          </cell>
          <cell r="U667">
            <v>3496</v>
          </cell>
          <cell r="V667">
            <v>0.14265446224256287</v>
          </cell>
          <cell r="W667">
            <v>875.5</v>
          </cell>
          <cell r="X667">
            <v>0.51017021106171656</v>
          </cell>
          <cell r="Y667">
            <v>150</v>
          </cell>
          <cell r="Z667">
            <v>300</v>
          </cell>
          <cell r="AA667">
            <v>3082</v>
          </cell>
          <cell r="AB667">
            <v>876</v>
          </cell>
          <cell r="AC667">
            <v>973</v>
          </cell>
          <cell r="AD667">
            <v>1027</v>
          </cell>
          <cell r="AE667">
            <v>1080.8599999999999</v>
          </cell>
          <cell r="AF667">
            <v>0.18999685435671587</v>
          </cell>
          <cell r="AG667">
            <v>4.7055122772606907E-2</v>
          </cell>
          <cell r="AH667">
            <v>1103</v>
          </cell>
          <cell r="AI667">
            <v>1125</v>
          </cell>
          <cell r="AJ667">
            <v>0.22177777777777777</v>
          </cell>
          <cell r="AK667">
            <v>1146.5</v>
          </cell>
          <cell r="AL667">
            <v>1168</v>
          </cell>
          <cell r="AM667">
            <v>0.25042808219178081</v>
          </cell>
          <cell r="AN667">
            <v>1331.99</v>
          </cell>
          <cell r="AO667">
            <v>1495.98</v>
          </cell>
          <cell r="AP667">
            <v>1659.97</v>
          </cell>
          <cell r="AQ667">
            <v>0</v>
          </cell>
          <cell r="AR667">
            <v>288</v>
          </cell>
          <cell r="AS667">
            <v>2850</v>
          </cell>
        </row>
        <row r="668">
          <cell r="B668" t="str">
            <v>AC</v>
          </cell>
          <cell r="C668" t="str">
            <v>IMP</v>
          </cell>
          <cell r="D668" t="str">
            <v>BT</v>
          </cell>
          <cell r="E668" t="str">
            <v>P3</v>
          </cell>
          <cell r="F668">
            <v>39990</v>
          </cell>
          <cell r="G668">
            <v>40001</v>
          </cell>
          <cell r="H668" t="str">
            <v>960328</v>
          </cell>
          <cell r="I668">
            <v>0</v>
          </cell>
          <cell r="K668" t="str">
            <v>Booklet Folding Finisher (FS-210)</v>
          </cell>
          <cell r="L668">
            <v>4500</v>
          </cell>
          <cell r="M668">
            <v>5049</v>
          </cell>
          <cell r="N668">
            <v>1975</v>
          </cell>
          <cell r="O668">
            <v>-0.17647058823529418</v>
          </cell>
          <cell r="P668">
            <v>4463.3159999999998</v>
          </cell>
          <cell r="Q668">
            <v>5351.94</v>
          </cell>
          <cell r="R668">
            <v>6047.69</v>
          </cell>
          <cell r="S668">
            <v>8935.5</v>
          </cell>
          <cell r="T668">
            <v>0.41234849756588887</v>
          </cell>
          <cell r="U668">
            <v>6255</v>
          </cell>
          <cell r="V668">
            <v>0.16051798561151079</v>
          </cell>
          <cell r="W668">
            <v>1678.75</v>
          </cell>
          <cell r="X668">
            <v>0.49950377706899446</v>
          </cell>
          <cell r="Y668">
            <v>250</v>
          </cell>
          <cell r="Z668">
            <v>300</v>
          </cell>
          <cell r="AA668">
            <v>5400</v>
          </cell>
          <cell r="AB668">
            <v>1679</v>
          </cell>
          <cell r="AC668">
            <v>1866</v>
          </cell>
          <cell r="AD668">
            <v>1970</v>
          </cell>
          <cell r="AE668">
            <v>2072.5300000000002</v>
          </cell>
          <cell r="AF668">
            <v>0.18999966224855619</v>
          </cell>
          <cell r="AG668">
            <v>4.7058426174771989E-2</v>
          </cell>
          <cell r="AH668">
            <v>2115</v>
          </cell>
          <cell r="AI668">
            <v>2156</v>
          </cell>
          <cell r="AJ668">
            <v>0.22135899814471244</v>
          </cell>
          <cell r="AK668">
            <v>2197.5</v>
          </cell>
          <cell r="AL668">
            <v>2239</v>
          </cell>
          <cell r="AM668">
            <v>0.25022331397945513</v>
          </cell>
          <cell r="AN668">
            <v>2553.6</v>
          </cell>
          <cell r="AO668">
            <v>2868.2</v>
          </cell>
          <cell r="AP668">
            <v>3182.8</v>
          </cell>
          <cell r="AQ668">
            <v>0</v>
          </cell>
          <cell r="AR668">
            <v>352</v>
          </cell>
          <cell r="AS668">
            <v>4500</v>
          </cell>
        </row>
        <row r="669">
          <cell r="B669" t="str">
            <v>AC</v>
          </cell>
          <cell r="C669" t="str">
            <v>IMP</v>
          </cell>
          <cell r="D669" t="str">
            <v>BT</v>
          </cell>
          <cell r="E669" t="str">
            <v>P3</v>
          </cell>
          <cell r="F669">
            <v>39990</v>
          </cell>
          <cell r="G669">
            <v>40001</v>
          </cell>
          <cell r="H669" t="str">
            <v>960329</v>
          </cell>
          <cell r="I669" t="str">
            <v>9KMBH500GSA_N</v>
          </cell>
          <cell r="K669" t="str">
            <v>100 Sheet Stapling Finisher (FS-111)</v>
          </cell>
          <cell r="L669">
            <v>4420</v>
          </cell>
          <cell r="M669">
            <v>3583</v>
          </cell>
          <cell r="N669">
            <v>1729</v>
          </cell>
          <cell r="O669">
            <v>-0.17647058823529424</v>
          </cell>
          <cell r="P669">
            <v>3167.3719999999998</v>
          </cell>
          <cell r="Q669">
            <v>3797.98</v>
          </cell>
          <cell r="R669">
            <v>4291.72</v>
          </cell>
          <cell r="S669">
            <v>6318.9</v>
          </cell>
          <cell r="T669">
            <v>0.41028976562376357</v>
          </cell>
          <cell r="U669">
            <v>4423</v>
          </cell>
          <cell r="V669">
            <v>0.15751300022609085</v>
          </cell>
          <cell r="W669">
            <v>1469.6499999999999</v>
          </cell>
          <cell r="X669">
            <v>0.5012536992198009</v>
          </cell>
          <cell r="Y669">
            <v>150</v>
          </cell>
          <cell r="Z669">
            <v>300</v>
          </cell>
          <cell r="AA669">
            <v>3832</v>
          </cell>
          <cell r="AB669">
            <v>1470</v>
          </cell>
          <cell r="AC669">
            <v>1633</v>
          </cell>
          <cell r="AD669">
            <v>1724</v>
          </cell>
          <cell r="AE669">
            <v>1814.38</v>
          </cell>
          <cell r="AF669">
            <v>0.18999878746458859</v>
          </cell>
          <cell r="AG669">
            <v>4.7057397017162945E-2</v>
          </cell>
          <cell r="AH669">
            <v>1852</v>
          </cell>
          <cell r="AI669">
            <v>1888</v>
          </cell>
          <cell r="AJ669">
            <v>0.22158368644067805</v>
          </cell>
          <cell r="AK669">
            <v>1924</v>
          </cell>
          <cell r="AL669">
            <v>1960</v>
          </cell>
          <cell r="AM669">
            <v>0.25017857142857147</v>
          </cell>
          <cell r="AN669">
            <v>2235.44</v>
          </cell>
          <cell r="AO669">
            <v>2510.88</v>
          </cell>
          <cell r="AP669">
            <v>2786.32</v>
          </cell>
          <cell r="AQ669">
            <v>0</v>
          </cell>
          <cell r="AR669">
            <v>288</v>
          </cell>
          <cell r="AS669">
            <v>4420</v>
          </cell>
        </row>
        <row r="670">
          <cell r="B670" t="str">
            <v>AC</v>
          </cell>
          <cell r="C670" t="str">
            <v>IMP</v>
          </cell>
          <cell r="D670" t="str">
            <v>BT</v>
          </cell>
          <cell r="E670" t="str">
            <v>P3</v>
          </cell>
          <cell r="F670">
            <v>39990</v>
          </cell>
          <cell r="G670">
            <v>40001</v>
          </cell>
          <cell r="H670" t="str">
            <v>960330</v>
          </cell>
          <cell r="I670">
            <v>0</v>
          </cell>
          <cell r="K670" t="str">
            <v>IP-511 Print Controller (NIC and HDD included)</v>
          </cell>
          <cell r="L670">
            <v>3500</v>
          </cell>
          <cell r="M670">
            <v>6304</v>
          </cell>
          <cell r="N670">
            <v>1128</v>
          </cell>
          <cell r="O670">
            <v>-0.17647058823529413</v>
          </cell>
          <cell r="P670">
            <v>5572.7359999999999</v>
          </cell>
          <cell r="Q670">
            <v>6682.24</v>
          </cell>
          <cell r="R670">
            <v>7550.93</v>
          </cell>
          <cell r="S670">
            <v>11424</v>
          </cell>
          <cell r="T670">
            <v>0.42610644257703084</v>
          </cell>
          <cell r="U670">
            <v>7997</v>
          </cell>
          <cell r="V670">
            <v>0.18017256471176693</v>
          </cell>
          <cell r="W670">
            <v>958.8</v>
          </cell>
          <cell r="X670">
            <v>0.4878095238095238</v>
          </cell>
          <cell r="Y670">
            <v>250</v>
          </cell>
          <cell r="Z670">
            <v>300</v>
          </cell>
          <cell r="AA670">
            <v>6742</v>
          </cell>
          <cell r="AB670">
            <v>959</v>
          </cell>
          <cell r="AC670">
            <v>1066</v>
          </cell>
          <cell r="AD670">
            <v>1125</v>
          </cell>
          <cell r="AE670">
            <v>1183.7</v>
          </cell>
          <cell r="AF670">
            <v>0.18999746557404754</v>
          </cell>
          <cell r="AG670">
            <v>4.7055841851820601E-2</v>
          </cell>
          <cell r="AH670">
            <v>1208</v>
          </cell>
          <cell r="AI670">
            <v>1232</v>
          </cell>
          <cell r="AJ670">
            <v>0.22175324675324679</v>
          </cell>
          <cell r="AK670">
            <v>1255.5</v>
          </cell>
          <cell r="AL670">
            <v>1279</v>
          </cell>
          <cell r="AM670">
            <v>0.25035183737294764</v>
          </cell>
          <cell r="AN670">
            <v>1458.63</v>
          </cell>
          <cell r="AO670">
            <v>1638.26</v>
          </cell>
          <cell r="AP670">
            <v>1817.89</v>
          </cell>
          <cell r="AQ670">
            <v>0</v>
          </cell>
          <cell r="AR670">
            <v>352</v>
          </cell>
          <cell r="AS670">
            <v>3500</v>
          </cell>
        </row>
        <row r="671">
          <cell r="B671" t="str">
            <v>AC</v>
          </cell>
          <cell r="C671" t="str">
            <v>IMP</v>
          </cell>
          <cell r="D671" t="str">
            <v>BT</v>
          </cell>
          <cell r="E671" t="str">
            <v>P3</v>
          </cell>
          <cell r="F671">
            <v>39990</v>
          </cell>
          <cell r="G671">
            <v>40001</v>
          </cell>
          <cell r="H671" t="str">
            <v>960331</v>
          </cell>
          <cell r="I671" t="str">
            <v>9KMBHPRO1050_X</v>
          </cell>
          <cell r="K671" t="str">
            <v>PS Kit for IP-511 (PS-351)</v>
          </cell>
          <cell r="L671">
            <v>1400</v>
          </cell>
          <cell r="M671">
            <v>0</v>
          </cell>
          <cell r="N671">
            <v>561</v>
          </cell>
          <cell r="O671">
            <v>-0.17647058823529418</v>
          </cell>
          <cell r="P671">
            <v>15905.199999999999</v>
          </cell>
          <cell r="Q671">
            <v>0</v>
          </cell>
          <cell r="R671">
            <v>0</v>
          </cell>
          <cell r="S671">
            <v>26775</v>
          </cell>
          <cell r="T671">
            <v>0.30113912231559292</v>
          </cell>
          <cell r="U671">
            <v>18743</v>
          </cell>
          <cell r="V671">
            <v>1.653950808301766E-3</v>
          </cell>
          <cell r="W671">
            <v>476.84999999999997</v>
          </cell>
          <cell r="X671">
            <v>0.59403174603174602</v>
          </cell>
          <cell r="Y671">
            <v>800</v>
          </cell>
          <cell r="Z671">
            <v>500</v>
          </cell>
          <cell r="AA671">
            <v>19243</v>
          </cell>
          <cell r="AB671">
            <v>477</v>
          </cell>
          <cell r="AC671">
            <v>530</v>
          </cell>
          <cell r="AD671">
            <v>560</v>
          </cell>
          <cell r="AE671">
            <v>588.70000000000005</v>
          </cell>
          <cell r="AF671">
            <v>0.18999490402581973</v>
          </cell>
          <cell r="AG671">
            <v>4.7052828265670192E-2</v>
          </cell>
          <cell r="AH671">
            <v>601</v>
          </cell>
          <cell r="AI671">
            <v>613</v>
          </cell>
          <cell r="AJ671">
            <v>0.22210440456769989</v>
          </cell>
          <cell r="AK671">
            <v>624.5</v>
          </cell>
          <cell r="AL671">
            <v>636</v>
          </cell>
          <cell r="AM671">
            <v>0.25023584905660384</v>
          </cell>
          <cell r="AN671">
            <v>725.36</v>
          </cell>
          <cell r="AO671">
            <v>814.72</v>
          </cell>
          <cell r="AP671">
            <v>904.08</v>
          </cell>
          <cell r="AQ671">
            <v>0</v>
          </cell>
          <cell r="AR671">
            <v>811</v>
          </cell>
          <cell r="AS671">
            <v>1400</v>
          </cell>
        </row>
        <row r="672">
          <cell r="B672" t="str">
            <v>AC</v>
          </cell>
          <cell r="C672" t="str">
            <v>IMP</v>
          </cell>
          <cell r="D672" t="str">
            <v>BT</v>
          </cell>
          <cell r="E672" t="str">
            <v>P3</v>
          </cell>
          <cell r="F672">
            <v>39990</v>
          </cell>
          <cell r="G672">
            <v>40001</v>
          </cell>
          <cell r="H672" t="str">
            <v>960332</v>
          </cell>
          <cell r="I672">
            <v>0</v>
          </cell>
          <cell r="K672" t="str">
            <v>Shift Tray (OT-101)</v>
          </cell>
          <cell r="L672">
            <v>800</v>
          </cell>
          <cell r="M672">
            <v>0</v>
          </cell>
          <cell r="N672">
            <v>266</v>
          </cell>
          <cell r="O672">
            <v>-0.17647058823529418</v>
          </cell>
          <cell r="P672">
            <v>15905.199999999999</v>
          </cell>
          <cell r="Q672">
            <v>0</v>
          </cell>
          <cell r="R672">
            <v>0</v>
          </cell>
          <cell r="S672">
            <v>26775</v>
          </cell>
          <cell r="T672">
            <v>0.30113912231559292</v>
          </cell>
          <cell r="U672">
            <v>18743</v>
          </cell>
          <cell r="V672">
            <v>1.653950808301766E-3</v>
          </cell>
          <cell r="W672">
            <v>226.1</v>
          </cell>
          <cell r="X672">
            <v>0.59403174603174602</v>
          </cell>
          <cell r="Y672">
            <v>800</v>
          </cell>
          <cell r="Z672">
            <v>500</v>
          </cell>
          <cell r="AA672">
            <v>19243</v>
          </cell>
          <cell r="AB672">
            <v>227</v>
          </cell>
          <cell r="AC672">
            <v>252</v>
          </cell>
          <cell r="AD672">
            <v>266</v>
          </cell>
          <cell r="AE672">
            <v>279.14</v>
          </cell>
          <cell r="AF672">
            <v>0.19001218026796587</v>
          </cell>
          <cell r="AG672">
            <v>4.7073153256430418E-2</v>
          </cell>
          <cell r="AH672">
            <v>286</v>
          </cell>
          <cell r="AI672">
            <v>291</v>
          </cell>
          <cell r="AJ672">
            <v>0.22302405498281788</v>
          </cell>
          <cell r="AK672">
            <v>296.5</v>
          </cell>
          <cell r="AL672">
            <v>302</v>
          </cell>
          <cell r="AM672">
            <v>0.25132450331125827</v>
          </cell>
          <cell r="AN672">
            <v>344.26</v>
          </cell>
          <cell r="AO672">
            <v>386.52</v>
          </cell>
          <cell r="AP672">
            <v>428.78</v>
          </cell>
          <cell r="AQ672">
            <v>0</v>
          </cell>
          <cell r="AR672">
            <v>811</v>
          </cell>
          <cell r="AS672">
            <v>800</v>
          </cell>
        </row>
        <row r="673">
          <cell r="B673" t="str">
            <v>AC</v>
          </cell>
          <cell r="C673" t="str">
            <v>IMP</v>
          </cell>
          <cell r="D673" t="str">
            <v>BT</v>
          </cell>
          <cell r="E673" t="str">
            <v>P3</v>
          </cell>
          <cell r="F673">
            <v>39990</v>
          </cell>
          <cell r="G673">
            <v>40001</v>
          </cell>
          <cell r="H673" t="str">
            <v>960402</v>
          </cell>
          <cell r="I673" t="str">
            <v>9KMBHPRO1050E_X</v>
          </cell>
          <cell r="K673" t="str">
            <v>2 x 500 sheets (DB-211)</v>
          </cell>
          <cell r="L673">
            <v>1380</v>
          </cell>
          <cell r="M673">
            <v>13107</v>
          </cell>
          <cell r="N673">
            <v>456</v>
          </cell>
          <cell r="O673">
            <v>-0.17647058823529421</v>
          </cell>
          <cell r="P673">
            <v>11586.588</v>
          </cell>
          <cell r="Q673">
            <v>13893.42</v>
          </cell>
          <cell r="R673">
            <v>15699.56</v>
          </cell>
          <cell r="S673">
            <v>26775</v>
          </cell>
          <cell r="T673">
            <v>0.49089523809523805</v>
          </cell>
          <cell r="U673">
            <v>18743</v>
          </cell>
          <cell r="V673">
            <v>0.27272688470362266</v>
          </cell>
          <cell r="W673">
            <v>387.59999999999997</v>
          </cell>
          <cell r="X673">
            <v>0.43273904761904763</v>
          </cell>
          <cell r="Y673">
            <v>800</v>
          </cell>
          <cell r="Z673">
            <v>500</v>
          </cell>
          <cell r="AA673">
            <v>14018</v>
          </cell>
          <cell r="AB673">
            <v>388</v>
          </cell>
          <cell r="AC673">
            <v>431</v>
          </cell>
          <cell r="AD673">
            <v>455</v>
          </cell>
          <cell r="AE673">
            <v>478.52</v>
          </cell>
          <cell r="AF673">
            <v>0.19000250773217425</v>
          </cell>
          <cell r="AG673">
            <v>4.7061773802557848E-2</v>
          </cell>
          <cell r="AH673">
            <v>489</v>
          </cell>
          <cell r="AI673">
            <v>498</v>
          </cell>
          <cell r="AJ673">
            <v>0.22168674698795188</v>
          </cell>
          <cell r="AK673">
            <v>507.5</v>
          </cell>
          <cell r="AL673">
            <v>517</v>
          </cell>
          <cell r="AM673">
            <v>0.25029013539651845</v>
          </cell>
          <cell r="AN673">
            <v>589.63</v>
          </cell>
          <cell r="AO673">
            <v>662.26</v>
          </cell>
          <cell r="AP673">
            <v>734.89</v>
          </cell>
          <cell r="AQ673">
            <v>0</v>
          </cell>
          <cell r="AR673">
            <v>811</v>
          </cell>
          <cell r="AS673">
            <v>1380</v>
          </cell>
        </row>
        <row r="674">
          <cell r="B674" t="str">
            <v>AC</v>
          </cell>
          <cell r="C674" t="str">
            <v>IMP</v>
          </cell>
          <cell r="D674" t="str">
            <v>BT</v>
          </cell>
          <cell r="E674" t="str">
            <v>P3</v>
          </cell>
          <cell r="F674">
            <v>39990</v>
          </cell>
          <cell r="G674">
            <v>40001</v>
          </cell>
          <cell r="H674" t="str">
            <v>960403</v>
          </cell>
          <cell r="I674" t="str">
            <v>9KMBHPRO1050EP_X</v>
          </cell>
          <cell r="K674" t="str">
            <v>1 x 1,500 sheets (DB-411)</v>
          </cell>
          <cell r="L674">
            <v>1550</v>
          </cell>
          <cell r="M674">
            <v>12750</v>
          </cell>
          <cell r="N674">
            <v>479</v>
          </cell>
          <cell r="O674">
            <v>-0.17647058823529413</v>
          </cell>
          <cell r="P674">
            <v>11271</v>
          </cell>
          <cell r="Q674">
            <v>13515</v>
          </cell>
          <cell r="R674">
            <v>15271.95</v>
          </cell>
          <cell r="S674">
            <v>23625</v>
          </cell>
          <cell r="T674">
            <v>0.43873015873015875</v>
          </cell>
          <cell r="U674">
            <v>16538</v>
          </cell>
          <cell r="V674">
            <v>0.19821018260974724</v>
          </cell>
          <cell r="W674">
            <v>407.15</v>
          </cell>
          <cell r="X674">
            <v>0.4770793650793651</v>
          </cell>
          <cell r="Y674">
            <v>800</v>
          </cell>
          <cell r="Z674">
            <v>500</v>
          </cell>
          <cell r="AA674">
            <v>13637</v>
          </cell>
          <cell r="AB674">
            <v>408</v>
          </cell>
          <cell r="AC674">
            <v>453</v>
          </cell>
          <cell r="AD674">
            <v>478</v>
          </cell>
          <cell r="AE674">
            <v>502.65</v>
          </cell>
          <cell r="AF674">
            <v>0.18999303690440666</v>
          </cell>
          <cell r="AG674">
            <v>4.7050631652243068E-2</v>
          </cell>
          <cell r="AH674">
            <v>513</v>
          </cell>
          <cell r="AI674">
            <v>523</v>
          </cell>
          <cell r="AJ674">
            <v>0.2215105162523901</v>
          </cell>
          <cell r="AK674">
            <v>533</v>
          </cell>
          <cell r="AL674">
            <v>543</v>
          </cell>
          <cell r="AM674">
            <v>0.25018416206261512</v>
          </cell>
          <cell r="AN674">
            <v>619.30999999999995</v>
          </cell>
          <cell r="AO674">
            <v>695.62</v>
          </cell>
          <cell r="AP674">
            <v>771.93</v>
          </cell>
          <cell r="AQ674">
            <v>0</v>
          </cell>
          <cell r="AR674">
            <v>811</v>
          </cell>
          <cell r="AS674">
            <v>1550</v>
          </cell>
        </row>
        <row r="675">
          <cell r="B675" t="str">
            <v>AC</v>
          </cell>
          <cell r="C675" t="str">
            <v>IMP</v>
          </cell>
          <cell r="D675" t="str">
            <v>BT</v>
          </cell>
          <cell r="E675" t="str">
            <v>P3</v>
          </cell>
          <cell r="F675">
            <v>39990</v>
          </cell>
          <cell r="G675">
            <v>40001</v>
          </cell>
          <cell r="H675" t="str">
            <v>960404</v>
          </cell>
          <cell r="I675" t="str">
            <v>9KMBHPRO1050EGSA_X</v>
          </cell>
          <cell r="K675" t="str">
            <v>Large Capacity Tray 2,000 sheets (LT-203)</v>
          </cell>
          <cell r="L675">
            <v>1380</v>
          </cell>
          <cell r="M675">
            <v>13107</v>
          </cell>
          <cell r="N675">
            <v>506</v>
          </cell>
          <cell r="O675">
            <v>-0.17647058823529421</v>
          </cell>
          <cell r="P675">
            <v>11586.588</v>
          </cell>
          <cell r="Q675">
            <v>13893.42</v>
          </cell>
          <cell r="R675">
            <v>15699.56</v>
          </cell>
          <cell r="S675">
            <v>26775</v>
          </cell>
          <cell r="T675">
            <v>0.49089523809523805</v>
          </cell>
          <cell r="U675">
            <v>18743</v>
          </cell>
          <cell r="V675">
            <v>0.27272688470362266</v>
          </cell>
          <cell r="W675">
            <v>430.09999999999997</v>
          </cell>
          <cell r="X675">
            <v>0.43273904761904763</v>
          </cell>
          <cell r="Y675">
            <v>800</v>
          </cell>
          <cell r="Z675">
            <v>500</v>
          </cell>
          <cell r="AA675">
            <v>14018</v>
          </cell>
          <cell r="AB675">
            <v>431</v>
          </cell>
          <cell r="AC675">
            <v>478</v>
          </cell>
          <cell r="AD675">
            <v>505</v>
          </cell>
          <cell r="AE675">
            <v>530.99</v>
          </cell>
          <cell r="AF675">
            <v>0.19000357822181216</v>
          </cell>
          <cell r="AG675">
            <v>4.7063033202131885E-2</v>
          </cell>
          <cell r="AH675">
            <v>542</v>
          </cell>
          <cell r="AI675">
            <v>553</v>
          </cell>
          <cell r="AJ675">
            <v>0.22224231464737801</v>
          </cell>
          <cell r="AK675">
            <v>563.5</v>
          </cell>
          <cell r="AL675">
            <v>574</v>
          </cell>
          <cell r="AM675">
            <v>0.25069686411149833</v>
          </cell>
          <cell r="AN675">
            <v>654.51</v>
          </cell>
          <cell r="AO675">
            <v>735.02</v>
          </cell>
          <cell r="AP675">
            <v>815.53</v>
          </cell>
          <cell r="AQ675">
            <v>0</v>
          </cell>
          <cell r="AR675">
            <v>811</v>
          </cell>
          <cell r="AS675">
            <v>1380</v>
          </cell>
        </row>
        <row r="676">
          <cell r="B676" t="str">
            <v>AC</v>
          </cell>
          <cell r="C676" t="str">
            <v>IMP</v>
          </cell>
          <cell r="D676" t="str">
            <v>BT</v>
          </cell>
          <cell r="E676" t="str">
            <v>P3</v>
          </cell>
          <cell r="F676">
            <v>39990</v>
          </cell>
          <cell r="G676">
            <v>40001</v>
          </cell>
          <cell r="H676" t="str">
            <v>960405</v>
          </cell>
          <cell r="I676">
            <v>0</v>
          </cell>
          <cell r="K676" t="str">
            <v>256MB Memory for ERDH (MU413A)</v>
          </cell>
          <cell r="L676">
            <v>185</v>
          </cell>
          <cell r="M676">
            <v>13056</v>
          </cell>
          <cell r="N676">
            <v>71</v>
          </cell>
          <cell r="O676">
            <v>-0.17647058823529421</v>
          </cell>
          <cell r="P676">
            <v>11541.503999999999</v>
          </cell>
          <cell r="Q676">
            <v>13839.36</v>
          </cell>
          <cell r="R676">
            <v>15638.48</v>
          </cell>
          <cell r="S676">
            <v>22312.5</v>
          </cell>
          <cell r="T676">
            <v>0.39145142857142856</v>
          </cell>
          <cell r="U676">
            <v>15619</v>
          </cell>
          <cell r="V676">
            <v>0.13065881298418594</v>
          </cell>
          <cell r="W676">
            <v>60.35</v>
          </cell>
          <cell r="X676">
            <v>0.51726628571428568</v>
          </cell>
          <cell r="Y676">
            <v>800</v>
          </cell>
          <cell r="Z676">
            <v>500</v>
          </cell>
          <cell r="AA676">
            <v>13964</v>
          </cell>
          <cell r="AB676">
            <v>61</v>
          </cell>
          <cell r="AC676">
            <v>68</v>
          </cell>
          <cell r="AD676">
            <v>72</v>
          </cell>
          <cell r="AE676">
            <v>74.510000000000005</v>
          </cell>
          <cell r="AF676">
            <v>0.19004160515367069</v>
          </cell>
          <cell r="AG676">
            <v>4.7107770769024358E-2</v>
          </cell>
          <cell r="AH676">
            <v>77</v>
          </cell>
          <cell r="AI676">
            <v>78</v>
          </cell>
          <cell r="AJ676">
            <v>0.22628205128205126</v>
          </cell>
          <cell r="AK676">
            <v>79.5</v>
          </cell>
          <cell r="AL676">
            <v>81</v>
          </cell>
          <cell r="AM676">
            <v>0.25493827160493826</v>
          </cell>
          <cell r="AN676">
            <v>92.18</v>
          </cell>
          <cell r="AO676">
            <v>103.36</v>
          </cell>
          <cell r="AP676">
            <v>114.54</v>
          </cell>
          <cell r="AQ676">
            <v>0</v>
          </cell>
          <cell r="AR676">
            <v>671</v>
          </cell>
          <cell r="AS676">
            <v>185</v>
          </cell>
        </row>
        <row r="677">
          <cell r="B677" t="str">
            <v>AC</v>
          </cell>
          <cell r="C677" t="str">
            <v>IMP</v>
          </cell>
          <cell r="D677" t="str">
            <v>BT</v>
          </cell>
          <cell r="E677" t="str">
            <v>P3</v>
          </cell>
          <cell r="F677">
            <v>39990</v>
          </cell>
          <cell r="G677">
            <v>40001</v>
          </cell>
          <cell r="H677" t="str">
            <v>960406</v>
          </cell>
          <cell r="I677" t="str">
            <v>3KMKRHDDKIT</v>
          </cell>
          <cell r="K677" t="str">
            <v>Finisher (FS-114)</v>
          </cell>
          <cell r="L677">
            <v>1500</v>
          </cell>
          <cell r="M677">
            <v>1124</v>
          </cell>
          <cell r="N677">
            <v>606</v>
          </cell>
          <cell r="O677">
            <v>-0.17647058823529418</v>
          </cell>
          <cell r="P677">
            <v>993.61599999999999</v>
          </cell>
          <cell r="Q677">
            <v>1191.44</v>
          </cell>
          <cell r="R677">
            <v>1346.33</v>
          </cell>
          <cell r="S677">
            <v>1837.5</v>
          </cell>
          <cell r="T677">
            <v>0.3638312925170068</v>
          </cell>
          <cell r="U677">
            <v>1422.96</v>
          </cell>
          <cell r="V677">
            <v>0.17850115252712656</v>
          </cell>
          <cell r="W677">
            <v>515.1</v>
          </cell>
          <cell r="X677">
            <v>0.54074340136054422</v>
          </cell>
          <cell r="Y677">
            <v>0</v>
          </cell>
          <cell r="Z677">
            <v>0</v>
          </cell>
          <cell r="AA677">
            <v>1202</v>
          </cell>
          <cell r="AB677">
            <v>516</v>
          </cell>
          <cell r="AC677">
            <v>573</v>
          </cell>
          <cell r="AD677">
            <v>605</v>
          </cell>
          <cell r="AE677">
            <v>635.92999999999995</v>
          </cell>
          <cell r="AF677">
            <v>0.19000518925038909</v>
          </cell>
          <cell r="AG677">
            <v>4.7064928529869564E-2</v>
          </cell>
          <cell r="AH677">
            <v>649</v>
          </cell>
          <cell r="AI677">
            <v>662</v>
          </cell>
          <cell r="AJ677">
            <v>0.22190332326283985</v>
          </cell>
          <cell r="AK677">
            <v>674.5</v>
          </cell>
          <cell r="AL677">
            <v>687</v>
          </cell>
          <cell r="AM677">
            <v>0.25021834061135367</v>
          </cell>
          <cell r="AN677">
            <v>783.53</v>
          </cell>
          <cell r="AO677">
            <v>880.06</v>
          </cell>
          <cell r="AP677">
            <v>976.59</v>
          </cell>
          <cell r="AQ677">
            <v>0</v>
          </cell>
          <cell r="AR677">
            <v>0</v>
          </cell>
          <cell r="AS677">
            <v>1500</v>
          </cell>
        </row>
        <row r="678">
          <cell r="B678" t="str">
            <v>AC</v>
          </cell>
          <cell r="C678" t="str">
            <v>IMP</v>
          </cell>
          <cell r="D678" t="str">
            <v>BT</v>
          </cell>
          <cell r="E678" t="str">
            <v>P3</v>
          </cell>
          <cell r="F678">
            <v>39990</v>
          </cell>
          <cell r="G678">
            <v>40001</v>
          </cell>
          <cell r="H678" t="str">
            <v>960408</v>
          </cell>
          <cell r="I678" t="str">
            <v>3KMHAHDDCASE</v>
          </cell>
          <cell r="K678" t="str">
            <v>Finisher Stapler Punch (FS-113)</v>
          </cell>
          <cell r="L678">
            <v>2850</v>
          </cell>
          <cell r="M678">
            <v>56</v>
          </cell>
          <cell r="N678">
            <v>1049</v>
          </cell>
          <cell r="O678">
            <v>-0.17647058823529421</v>
          </cell>
          <cell r="P678">
            <v>49.503999999999998</v>
          </cell>
          <cell r="Q678">
            <v>59.36</v>
          </cell>
          <cell r="R678">
            <v>67.08</v>
          </cell>
          <cell r="S678">
            <v>102.9</v>
          </cell>
          <cell r="T678">
            <v>0.43401360544217688</v>
          </cell>
          <cell r="U678">
            <v>79.685760000000002</v>
          </cell>
          <cell r="V678">
            <v>0.26912913925900939</v>
          </cell>
          <cell r="W678">
            <v>891.65</v>
          </cell>
          <cell r="X678">
            <v>0.48108843537414964</v>
          </cell>
          <cell r="AA678">
            <v>60</v>
          </cell>
          <cell r="AB678">
            <v>892</v>
          </cell>
          <cell r="AC678">
            <v>991</v>
          </cell>
          <cell r="AD678">
            <v>1046</v>
          </cell>
          <cell r="AE678">
            <v>1100.8</v>
          </cell>
          <cell r="AF678">
            <v>0.18999818313953487</v>
          </cell>
          <cell r="AG678">
            <v>4.7056686046511587E-2</v>
          </cell>
          <cell r="AH678">
            <v>1123</v>
          </cell>
          <cell r="AI678">
            <v>1145</v>
          </cell>
          <cell r="AJ678">
            <v>0.22126637554585155</v>
          </cell>
          <cell r="AK678">
            <v>1167</v>
          </cell>
          <cell r="AL678">
            <v>1189</v>
          </cell>
          <cell r="AM678">
            <v>0.25008410428931876</v>
          </cell>
          <cell r="AN678">
            <v>1356.15</v>
          </cell>
          <cell r="AO678">
            <v>1523.3</v>
          </cell>
          <cell r="AP678">
            <v>1690.45</v>
          </cell>
          <cell r="AQ678">
            <v>0</v>
          </cell>
          <cell r="AS678">
            <v>2850</v>
          </cell>
        </row>
        <row r="679">
          <cell r="B679" t="str">
            <v>AC</v>
          </cell>
          <cell r="C679" t="str">
            <v>IMP</v>
          </cell>
          <cell r="D679" t="str">
            <v>BT</v>
          </cell>
          <cell r="E679" t="str">
            <v>P3</v>
          </cell>
          <cell r="F679">
            <v>39990</v>
          </cell>
          <cell r="G679">
            <v>40001</v>
          </cell>
          <cell r="H679" t="str">
            <v>960409</v>
          </cell>
          <cell r="I679">
            <v>0</v>
          </cell>
          <cell r="K679" t="str">
            <v>Relay Unit (required with FS-113) (RU-101)</v>
          </cell>
          <cell r="L679">
            <v>250</v>
          </cell>
          <cell r="M679">
            <v>9200</v>
          </cell>
          <cell r="N679">
            <v>103</v>
          </cell>
          <cell r="O679">
            <v>-0.17647058823529418</v>
          </cell>
          <cell r="P679">
            <v>8054.5999999999995</v>
          </cell>
          <cell r="Q679">
            <v>9752</v>
          </cell>
          <cell r="R679">
            <v>11019.76</v>
          </cell>
          <cell r="S679">
            <v>11500</v>
          </cell>
          <cell r="T679">
            <v>0.17599999999999999</v>
          </cell>
          <cell r="U679">
            <v>9890</v>
          </cell>
          <cell r="V679">
            <v>4.1860465116279069E-2</v>
          </cell>
          <cell r="W679">
            <v>87.55</v>
          </cell>
          <cell r="X679">
            <v>0.70039999999999991</v>
          </cell>
          <cell r="AA679">
            <v>9745</v>
          </cell>
          <cell r="AB679">
            <v>88</v>
          </cell>
          <cell r="AC679">
            <v>98</v>
          </cell>
          <cell r="AD679">
            <v>104</v>
          </cell>
          <cell r="AE679">
            <v>108.09</v>
          </cell>
          <cell r="AF679">
            <v>0.19002682949394029</v>
          </cell>
          <cell r="AG679">
            <v>4.7090387639929718E-2</v>
          </cell>
          <cell r="AH679">
            <v>111</v>
          </cell>
          <cell r="AI679">
            <v>113</v>
          </cell>
          <cell r="AJ679">
            <v>0.22522123893805313</v>
          </cell>
          <cell r="AK679">
            <v>115</v>
          </cell>
          <cell r="AL679">
            <v>117</v>
          </cell>
          <cell r="AM679">
            <v>0.25170940170940176</v>
          </cell>
          <cell r="AN679">
            <v>133.35</v>
          </cell>
          <cell r="AO679">
            <v>149.69999999999999</v>
          </cell>
          <cell r="AP679">
            <v>166.05</v>
          </cell>
          <cell r="AQ679">
            <v>0</v>
          </cell>
          <cell r="AS679">
            <v>250</v>
          </cell>
        </row>
        <row r="680">
          <cell r="B680" t="str">
            <v>AC</v>
          </cell>
          <cell r="C680" t="str">
            <v>IMP</v>
          </cell>
          <cell r="D680" t="str">
            <v>BT</v>
          </cell>
          <cell r="E680" t="str">
            <v>P3</v>
          </cell>
          <cell r="F680">
            <v>39990</v>
          </cell>
          <cell r="G680">
            <v>40001</v>
          </cell>
          <cell r="H680" t="str">
            <v>960410</v>
          </cell>
          <cell r="I680" t="str">
            <v>6KMLS5015KSTK_X</v>
          </cell>
          <cell r="K680" t="str">
            <v xml:space="preserve">IP-432 Print Controller </v>
          </cell>
          <cell r="L680">
            <v>2000</v>
          </cell>
          <cell r="M680">
            <v>6732</v>
          </cell>
          <cell r="N680">
            <v>801</v>
          </cell>
          <cell r="O680">
            <v>-0.1764705882352941</v>
          </cell>
          <cell r="P680">
            <v>5951.0880000000006</v>
          </cell>
          <cell r="Q680">
            <v>7135.92</v>
          </cell>
          <cell r="R680">
            <v>8063.59</v>
          </cell>
          <cell r="S680">
            <v>9360.1</v>
          </cell>
          <cell r="T680">
            <v>0.25200799136761354</v>
          </cell>
          <cell r="U680">
            <v>8049.6860000000006</v>
          </cell>
          <cell r="V680">
            <v>0.13024185042745764</v>
          </cell>
          <cell r="W680">
            <v>680.85</v>
          </cell>
          <cell r="X680">
            <v>0.63579320733752853</v>
          </cell>
          <cell r="AA680">
            <v>7200</v>
          </cell>
          <cell r="AB680">
            <v>681</v>
          </cell>
          <cell r="AC680">
            <v>757</v>
          </cell>
          <cell r="AD680">
            <v>799</v>
          </cell>
          <cell r="AE680">
            <v>840.56</v>
          </cell>
          <cell r="AF680">
            <v>0.19000428285904628</v>
          </cell>
          <cell r="AG680">
            <v>4.7063862187113288E-2</v>
          </cell>
          <cell r="AH680">
            <v>858</v>
          </cell>
          <cell r="AI680">
            <v>875</v>
          </cell>
          <cell r="AJ680">
            <v>0.22188571428571427</v>
          </cell>
          <cell r="AK680">
            <v>891.5</v>
          </cell>
          <cell r="AL680">
            <v>908</v>
          </cell>
          <cell r="AM680">
            <v>0.25016519823788541</v>
          </cell>
          <cell r="AN680">
            <v>1035.6099999999999</v>
          </cell>
          <cell r="AO680">
            <v>1163.22</v>
          </cell>
          <cell r="AP680">
            <v>1290.83</v>
          </cell>
          <cell r="AQ680">
            <v>0</v>
          </cell>
          <cell r="AS680">
            <v>2000</v>
          </cell>
        </row>
        <row r="681">
          <cell r="B681" t="str">
            <v>AC</v>
          </cell>
          <cell r="C681" t="str">
            <v>IMP</v>
          </cell>
          <cell r="D681" t="str">
            <v>BT</v>
          </cell>
          <cell r="E681" t="str">
            <v>P3</v>
          </cell>
          <cell r="F681">
            <v>39990</v>
          </cell>
          <cell r="G681">
            <v>40001</v>
          </cell>
          <cell r="H681" t="str">
            <v>960416</v>
          </cell>
          <cell r="I681">
            <v>0</v>
          </cell>
          <cell r="K681" t="str">
            <v>PS Kit for IP-432 (PS-344)</v>
          </cell>
          <cell r="L681">
            <v>895</v>
          </cell>
          <cell r="M681">
            <v>90</v>
          </cell>
          <cell r="N681">
            <v>389</v>
          </cell>
          <cell r="O681">
            <v>-0.17647058823529418</v>
          </cell>
          <cell r="P681">
            <v>79.56</v>
          </cell>
          <cell r="Q681">
            <v>95.4</v>
          </cell>
          <cell r="R681">
            <v>107.8</v>
          </cell>
          <cell r="S681">
            <v>163</v>
          </cell>
          <cell r="T681">
            <v>0.4257668711656441</v>
          </cell>
          <cell r="U681">
            <v>126.2272</v>
          </cell>
          <cell r="V681">
            <v>0.25847994726968504</v>
          </cell>
          <cell r="W681">
            <v>330.65</v>
          </cell>
          <cell r="X681">
            <v>0.48809815950920249</v>
          </cell>
          <cell r="AA681">
            <v>96</v>
          </cell>
          <cell r="AB681">
            <v>331</v>
          </cell>
          <cell r="AC681">
            <v>368</v>
          </cell>
          <cell r="AD681">
            <v>389</v>
          </cell>
          <cell r="AE681">
            <v>408.21</v>
          </cell>
          <cell r="AF681">
            <v>0.19000024497195073</v>
          </cell>
          <cell r="AG681">
            <v>4.7059111731706675E-2</v>
          </cell>
          <cell r="AH681">
            <v>417</v>
          </cell>
          <cell r="AI681">
            <v>425</v>
          </cell>
          <cell r="AJ681">
            <v>0.22200000000000006</v>
          </cell>
          <cell r="AK681">
            <v>433</v>
          </cell>
          <cell r="AL681">
            <v>441</v>
          </cell>
          <cell r="AM681">
            <v>0.25022675736961458</v>
          </cell>
          <cell r="AN681">
            <v>502.96</v>
          </cell>
          <cell r="AO681">
            <v>564.91999999999996</v>
          </cell>
          <cell r="AP681">
            <v>626.88</v>
          </cell>
          <cell r="AQ681">
            <v>0</v>
          </cell>
          <cell r="AS681">
            <v>895</v>
          </cell>
        </row>
        <row r="682">
          <cell r="B682" t="str">
            <v>AC</v>
          </cell>
          <cell r="C682" t="str">
            <v>IMP</v>
          </cell>
          <cell r="D682" t="str">
            <v>BT</v>
          </cell>
          <cell r="E682" t="str">
            <v>P3</v>
          </cell>
          <cell r="F682">
            <v>39990</v>
          </cell>
          <cell r="G682">
            <v>40001</v>
          </cell>
          <cell r="H682" t="str">
            <v>960417</v>
          </cell>
          <cell r="K682" t="str">
            <v>Fax Kit (FK-102A)</v>
          </cell>
          <cell r="L682">
            <v>1190</v>
          </cell>
          <cell r="M682">
            <v>210</v>
          </cell>
          <cell r="N682">
            <v>544</v>
          </cell>
          <cell r="O682">
            <v>-0.17647058823529424</v>
          </cell>
          <cell r="P682">
            <v>185.64</v>
          </cell>
          <cell r="Q682">
            <v>222.6</v>
          </cell>
          <cell r="R682">
            <v>251.54</v>
          </cell>
          <cell r="S682">
            <v>320</v>
          </cell>
          <cell r="T682">
            <v>0.3175</v>
          </cell>
          <cell r="U682">
            <v>247.80799999999999</v>
          </cell>
          <cell r="V682">
            <v>0.11867252066115698</v>
          </cell>
          <cell r="W682">
            <v>462.4</v>
          </cell>
          <cell r="X682">
            <v>0.580125</v>
          </cell>
          <cell r="AA682">
            <v>225</v>
          </cell>
          <cell r="AB682">
            <v>463</v>
          </cell>
          <cell r="AC682">
            <v>514</v>
          </cell>
          <cell r="AD682">
            <v>543</v>
          </cell>
          <cell r="AE682">
            <v>570.86</v>
          </cell>
          <cell r="AF682">
            <v>0.18999404407385354</v>
          </cell>
          <cell r="AG682">
            <v>4.7051816557474709E-2</v>
          </cell>
          <cell r="AH682">
            <v>583</v>
          </cell>
          <cell r="AI682">
            <v>594</v>
          </cell>
          <cell r="AJ682">
            <v>0.22154882154882158</v>
          </cell>
          <cell r="AK682">
            <v>605.5</v>
          </cell>
          <cell r="AL682">
            <v>617</v>
          </cell>
          <cell r="AM682">
            <v>0.25056726094003245</v>
          </cell>
          <cell r="AN682">
            <v>703.58</v>
          </cell>
          <cell r="AO682">
            <v>790.16</v>
          </cell>
          <cell r="AP682">
            <v>876.74</v>
          </cell>
          <cell r="AQ682">
            <v>0</v>
          </cell>
          <cell r="AS682">
            <v>1190</v>
          </cell>
        </row>
        <row r="683">
          <cell r="B683" t="str">
            <v>AC</v>
          </cell>
          <cell r="C683" t="str">
            <v>IMP</v>
          </cell>
          <cell r="D683" t="str">
            <v>BT</v>
          </cell>
          <cell r="E683" t="str">
            <v>P3</v>
          </cell>
          <cell r="F683">
            <v>39990</v>
          </cell>
          <cell r="G683">
            <v>40001</v>
          </cell>
          <cell r="H683" t="str">
            <v>960418</v>
          </cell>
          <cell r="K683" t="str">
            <v>Hard Disk Drive 20GB (Copier) (HD-103A)</v>
          </cell>
          <cell r="L683">
            <v>850</v>
          </cell>
          <cell r="M683">
            <v>150</v>
          </cell>
          <cell r="N683">
            <v>370</v>
          </cell>
          <cell r="O683">
            <v>-0.17647058823529416</v>
          </cell>
          <cell r="P683">
            <v>132.6</v>
          </cell>
          <cell r="Q683">
            <v>159</v>
          </cell>
          <cell r="R683">
            <v>179.67</v>
          </cell>
          <cell r="S683">
            <v>230</v>
          </cell>
          <cell r="T683">
            <v>0.32173913043478258</v>
          </cell>
          <cell r="U683">
            <v>178.11199999999999</v>
          </cell>
          <cell r="V683">
            <v>0.1241466043837585</v>
          </cell>
          <cell r="W683">
            <v>314.5</v>
          </cell>
          <cell r="X683">
            <v>0.57652173913043481</v>
          </cell>
          <cell r="AA683">
            <v>160</v>
          </cell>
          <cell r="AB683">
            <v>315</v>
          </cell>
          <cell r="AC683">
            <v>350</v>
          </cell>
          <cell r="AD683">
            <v>370</v>
          </cell>
          <cell r="AE683">
            <v>388.27</v>
          </cell>
          <cell r="AF683">
            <v>0.18999665181445896</v>
          </cell>
          <cell r="AG683">
            <v>4.7054884487598793E-2</v>
          </cell>
          <cell r="AH683">
            <v>397</v>
          </cell>
          <cell r="AI683">
            <v>405</v>
          </cell>
          <cell r="AJ683">
            <v>0.22345679012345679</v>
          </cell>
          <cell r="AK683">
            <v>412.5</v>
          </cell>
          <cell r="AL683">
            <v>420</v>
          </cell>
          <cell r="AM683">
            <v>0.25119047619047619</v>
          </cell>
          <cell r="AN683">
            <v>478.8</v>
          </cell>
          <cell r="AO683">
            <v>537.6</v>
          </cell>
          <cell r="AP683">
            <v>596.4</v>
          </cell>
          <cell r="AQ683">
            <v>0</v>
          </cell>
          <cell r="AS683">
            <v>850</v>
          </cell>
        </row>
        <row r="684">
          <cell r="B684" t="str">
            <v>AC</v>
          </cell>
          <cell r="C684" t="str">
            <v>IMP</v>
          </cell>
          <cell r="D684" t="str">
            <v>BT</v>
          </cell>
          <cell r="E684" t="str">
            <v>P3</v>
          </cell>
          <cell r="F684">
            <v>39990</v>
          </cell>
          <cell r="G684">
            <v>40001</v>
          </cell>
          <cell r="H684" t="str">
            <v>960419</v>
          </cell>
          <cell r="K684" t="str">
            <v>Exit Tray (ET-101)</v>
          </cell>
          <cell r="L684">
            <v>100</v>
          </cell>
          <cell r="M684">
            <v>340</v>
          </cell>
          <cell r="N684">
            <v>40</v>
          </cell>
          <cell r="O684">
            <v>-0.17647058823529418</v>
          </cell>
          <cell r="P684">
            <v>300.56</v>
          </cell>
          <cell r="Q684">
            <v>360.4</v>
          </cell>
          <cell r="R684">
            <v>407.25</v>
          </cell>
          <cell r="S684">
            <v>510</v>
          </cell>
          <cell r="T684">
            <v>0.30666666666666664</v>
          </cell>
          <cell r="U684">
            <v>394.94399999999996</v>
          </cell>
          <cell r="V684">
            <v>0.10468319559228635</v>
          </cell>
          <cell r="W684">
            <v>34</v>
          </cell>
          <cell r="X684">
            <v>0.58933333333333338</v>
          </cell>
          <cell r="AA684">
            <v>364</v>
          </cell>
          <cell r="AB684">
            <v>34</v>
          </cell>
          <cell r="AC684">
            <v>38</v>
          </cell>
          <cell r="AD684">
            <v>40</v>
          </cell>
          <cell r="AE684">
            <v>41.98</v>
          </cell>
          <cell r="AF684">
            <v>0.19009051929490228</v>
          </cell>
          <cell r="AG684">
            <v>4.7165316817532089E-2</v>
          </cell>
          <cell r="AH684">
            <v>43</v>
          </cell>
          <cell r="AI684">
            <v>44</v>
          </cell>
          <cell r="AJ684">
            <v>0.22727272727272727</v>
          </cell>
          <cell r="AK684">
            <v>45</v>
          </cell>
          <cell r="AL684">
            <v>46</v>
          </cell>
          <cell r="AM684">
            <v>0.2608695652173913</v>
          </cell>
          <cell r="AN684">
            <v>52.21</v>
          </cell>
          <cell r="AO684">
            <v>58.42</v>
          </cell>
          <cell r="AP684">
            <v>64.63</v>
          </cell>
          <cell r="AQ684">
            <v>0</v>
          </cell>
          <cell r="AS684">
            <v>100</v>
          </cell>
        </row>
        <row r="685">
          <cell r="B685" t="str">
            <v>AC</v>
          </cell>
          <cell r="C685" t="str">
            <v>IMP</v>
          </cell>
          <cell r="D685" t="str">
            <v>BT</v>
          </cell>
          <cell r="E685" t="str">
            <v>P3</v>
          </cell>
          <cell r="F685">
            <v>39990</v>
          </cell>
          <cell r="G685">
            <v>40001</v>
          </cell>
          <cell r="H685" t="str">
            <v>960425</v>
          </cell>
          <cell r="I685" t="str">
            <v>3KMHHD509HDD</v>
          </cell>
          <cell r="J685" t="str">
            <v>DNU</v>
          </cell>
          <cell r="K685" t="str">
            <v>Saddle Kit (SK-114)</v>
          </cell>
          <cell r="L685">
            <v>1290</v>
          </cell>
          <cell r="M685">
            <v>130</v>
          </cell>
          <cell r="N685">
            <v>514</v>
          </cell>
          <cell r="O685">
            <v>0.67103970125786161</v>
          </cell>
          <cell r="P685">
            <v>407.04</v>
          </cell>
          <cell r="Q685">
            <v>137.80000000000001</v>
          </cell>
          <cell r="R685">
            <v>155.71</v>
          </cell>
          <cell r="S685">
            <v>508.8</v>
          </cell>
          <cell r="T685">
            <v>0.73683176100628922</v>
          </cell>
          <cell r="U685">
            <v>394.01472000000001</v>
          </cell>
          <cell r="V685">
            <v>0.66016498063828688</v>
          </cell>
          <cell r="W685">
            <v>436.9</v>
          </cell>
          <cell r="X685">
            <v>0.8</v>
          </cell>
          <cell r="AA685">
            <v>492</v>
          </cell>
          <cell r="AB685">
            <v>437</v>
          </cell>
          <cell r="AC685">
            <v>486</v>
          </cell>
          <cell r="AD685">
            <v>513</v>
          </cell>
          <cell r="AE685">
            <v>539.38</v>
          </cell>
          <cell r="AF685">
            <v>0.18999592124290857</v>
          </cell>
          <cell r="AG685">
            <v>4.7054024991657083E-2</v>
          </cell>
          <cell r="AH685">
            <v>551</v>
          </cell>
          <cell r="AI685">
            <v>562</v>
          </cell>
          <cell r="AJ685">
            <v>0.22259786476868332</v>
          </cell>
          <cell r="AK685">
            <v>572.5</v>
          </cell>
          <cell r="AL685">
            <v>583</v>
          </cell>
          <cell r="AM685">
            <v>0.2506003430531733</v>
          </cell>
          <cell r="AN685">
            <v>664.8</v>
          </cell>
          <cell r="AO685">
            <v>746.6</v>
          </cell>
          <cell r="AP685">
            <v>828.4</v>
          </cell>
          <cell r="AQ685">
            <v>0</v>
          </cell>
          <cell r="AS685">
            <v>1290</v>
          </cell>
        </row>
        <row r="686">
          <cell r="B686" t="str">
            <v>AC</v>
          </cell>
          <cell r="C686" t="str">
            <v>IMP</v>
          </cell>
          <cell r="D686" t="str">
            <v>BT</v>
          </cell>
          <cell r="E686" t="str">
            <v>P3</v>
          </cell>
          <cell r="F686">
            <v>39990</v>
          </cell>
          <cell r="G686">
            <v>40001</v>
          </cell>
          <cell r="H686" t="str">
            <v>960426</v>
          </cell>
          <cell r="I686">
            <v>0</v>
          </cell>
          <cell r="J686">
            <v>0</v>
          </cell>
          <cell r="K686" t="str">
            <v>Punch Kit (PK-114)</v>
          </cell>
          <cell r="L686">
            <v>500</v>
          </cell>
          <cell r="M686">
            <v>100</v>
          </cell>
          <cell r="N686">
            <v>200</v>
          </cell>
          <cell r="O686">
            <v>0</v>
          </cell>
          <cell r="P686">
            <v>103</v>
          </cell>
          <cell r="Q686">
            <v>106</v>
          </cell>
          <cell r="R686">
            <v>119.78</v>
          </cell>
          <cell r="S686">
            <v>125</v>
          </cell>
          <cell r="T686">
            <v>0.17599999999999999</v>
          </cell>
          <cell r="U686">
            <v>107.5</v>
          </cell>
          <cell r="V686">
            <v>4.1860465116279069E-2</v>
          </cell>
          <cell r="W686">
            <v>170</v>
          </cell>
          <cell r="X686">
            <v>0.82399999999999995</v>
          </cell>
          <cell r="AA686">
            <v>125</v>
          </cell>
          <cell r="AB686">
            <v>170</v>
          </cell>
          <cell r="AC686">
            <v>189</v>
          </cell>
          <cell r="AD686">
            <v>200</v>
          </cell>
          <cell r="AE686">
            <v>209.88</v>
          </cell>
          <cell r="AF686">
            <v>0.19001334095673716</v>
          </cell>
          <cell r="AG686">
            <v>4.7074518772631961E-2</v>
          </cell>
          <cell r="AH686">
            <v>215</v>
          </cell>
          <cell r="AI686">
            <v>219</v>
          </cell>
          <cell r="AJ686">
            <v>0.22374429223744291</v>
          </cell>
          <cell r="AK686">
            <v>223</v>
          </cell>
          <cell r="AL686">
            <v>227</v>
          </cell>
          <cell r="AM686">
            <v>0.25110132158590309</v>
          </cell>
          <cell r="AN686">
            <v>258.79000000000002</v>
          </cell>
          <cell r="AO686">
            <v>290.58</v>
          </cell>
          <cell r="AP686">
            <v>322.37</v>
          </cell>
          <cell r="AQ686">
            <v>0</v>
          </cell>
          <cell r="AS686">
            <v>500</v>
          </cell>
        </row>
        <row r="687">
          <cell r="B687" t="str">
            <v>AC</v>
          </cell>
          <cell r="C687" t="str">
            <v>IMP</v>
          </cell>
          <cell r="D687" t="str">
            <v>BT</v>
          </cell>
          <cell r="E687" t="str">
            <v>P3</v>
          </cell>
          <cell r="F687">
            <v>39990</v>
          </cell>
          <cell r="G687">
            <v>40001</v>
          </cell>
          <cell r="H687" t="str">
            <v>960427</v>
          </cell>
          <cell r="I687">
            <v>0</v>
          </cell>
          <cell r="K687" t="str">
            <v>Bin Kit (BK-114)</v>
          </cell>
          <cell r="L687">
            <v>50</v>
          </cell>
          <cell r="M687">
            <v>5049</v>
          </cell>
          <cell r="N687">
            <v>17</v>
          </cell>
          <cell r="O687">
            <v>-0.17647058823529418</v>
          </cell>
          <cell r="P687">
            <v>4463.3159999999998</v>
          </cell>
          <cell r="Q687">
            <v>5351.94</v>
          </cell>
          <cell r="R687">
            <v>6047.69</v>
          </cell>
          <cell r="S687">
            <v>8412.9</v>
          </cell>
          <cell r="T687">
            <v>0.37584423920407944</v>
          </cell>
          <cell r="U687">
            <v>6514.9497599999995</v>
          </cell>
          <cell r="V687">
            <v>0.19401373864163146</v>
          </cell>
          <cell r="W687">
            <v>14.45</v>
          </cell>
          <cell r="X687">
            <v>0.53053239667653251</v>
          </cell>
          <cell r="AA687">
            <v>5400</v>
          </cell>
          <cell r="AB687">
            <v>15</v>
          </cell>
          <cell r="AC687">
            <v>17</v>
          </cell>
          <cell r="AD687">
            <v>18</v>
          </cell>
          <cell r="AE687">
            <v>17.84</v>
          </cell>
          <cell r="AF687">
            <v>0.1900224215246637</v>
          </cell>
          <cell r="AG687">
            <v>4.7085201793721963E-2</v>
          </cell>
          <cell r="AH687">
            <v>19</v>
          </cell>
          <cell r="AI687">
            <v>19</v>
          </cell>
          <cell r="AJ687">
            <v>0.23947368421052637</v>
          </cell>
          <cell r="AK687">
            <v>19.5</v>
          </cell>
          <cell r="AL687">
            <v>20</v>
          </cell>
          <cell r="AM687">
            <v>0.27750000000000002</v>
          </cell>
          <cell r="AN687">
            <v>22.53</v>
          </cell>
          <cell r="AO687">
            <v>25.06</v>
          </cell>
          <cell r="AP687">
            <v>27.59</v>
          </cell>
          <cell r="AQ687">
            <v>0</v>
          </cell>
          <cell r="AS687">
            <v>50</v>
          </cell>
        </row>
        <row r="688">
          <cell r="B688" t="str">
            <v>AC</v>
          </cell>
          <cell r="C688" t="str">
            <v>IMP</v>
          </cell>
          <cell r="D688" t="str">
            <v>BT</v>
          </cell>
          <cell r="E688" t="str">
            <v>P3</v>
          </cell>
          <cell r="F688">
            <v>39990</v>
          </cell>
          <cell r="G688">
            <v>40001</v>
          </cell>
          <cell r="H688" t="str">
            <v>960821</v>
          </cell>
          <cell r="I688">
            <v>0</v>
          </cell>
          <cell r="K688" t="str">
            <v>Scanner Unit (8020/8031) - Must be Included</v>
          </cell>
          <cell r="L688">
            <v>2080</v>
          </cell>
          <cell r="M688">
            <v>184</v>
          </cell>
          <cell r="N688">
            <v>1144</v>
          </cell>
          <cell r="O688">
            <v>6.9886140557518558E-2</v>
          </cell>
          <cell r="P688">
            <v>203.76</v>
          </cell>
          <cell r="Q688">
            <v>195.04</v>
          </cell>
          <cell r="R688">
            <v>220.4</v>
          </cell>
          <cell r="S688">
            <v>254.7</v>
          </cell>
          <cell r="T688">
            <v>0.25590891244601482</v>
          </cell>
          <cell r="U688">
            <v>219.04199999999997</v>
          </cell>
          <cell r="V688">
            <v>0.13477780516978463</v>
          </cell>
          <cell r="W688">
            <v>972.4</v>
          </cell>
          <cell r="X688">
            <v>0.8</v>
          </cell>
          <cell r="AA688">
            <v>247</v>
          </cell>
          <cell r="AB688">
            <v>973</v>
          </cell>
          <cell r="AC688">
            <v>1081</v>
          </cell>
          <cell r="AD688">
            <v>1141</v>
          </cell>
          <cell r="AE688">
            <v>1200.49</v>
          </cell>
          <cell r="AF688">
            <v>0.18999741772109724</v>
          </cell>
          <cell r="AG688">
            <v>4.7055785554232031E-2</v>
          </cell>
          <cell r="AH688">
            <v>1225</v>
          </cell>
          <cell r="AI688">
            <v>1249</v>
          </cell>
          <cell r="AJ688">
            <v>0.22145716573258609</v>
          </cell>
          <cell r="AK688">
            <v>1273</v>
          </cell>
          <cell r="AL688">
            <v>1297</v>
          </cell>
          <cell r="AM688">
            <v>0.25026985350809561</v>
          </cell>
          <cell r="AN688">
            <v>1479.21</v>
          </cell>
          <cell r="AO688">
            <v>1661.42</v>
          </cell>
          <cell r="AP688">
            <v>1843.63</v>
          </cell>
          <cell r="AQ688">
            <v>0</v>
          </cell>
          <cell r="AS688">
            <v>2080</v>
          </cell>
        </row>
        <row r="689">
          <cell r="B689" t="str">
            <v>AC</v>
          </cell>
          <cell r="C689" t="str">
            <v>IMP</v>
          </cell>
          <cell r="D689" t="str">
            <v>BT</v>
          </cell>
          <cell r="E689" t="str">
            <v>P3</v>
          </cell>
          <cell r="F689">
            <v>39990</v>
          </cell>
          <cell r="G689">
            <v>40001</v>
          </cell>
          <cell r="H689" t="str">
            <v>960822</v>
          </cell>
          <cell r="I689">
            <v>0</v>
          </cell>
          <cell r="K689" t="str">
            <v>Scanner Rack (DK-232) - Must be Included</v>
          </cell>
          <cell r="L689">
            <v>275</v>
          </cell>
          <cell r="M689">
            <v>1958</v>
          </cell>
          <cell r="N689">
            <v>134</v>
          </cell>
          <cell r="O689">
            <v>-0.17647058823529416</v>
          </cell>
          <cell r="P689">
            <v>1730.8720000000001</v>
          </cell>
          <cell r="Q689">
            <v>2075.48</v>
          </cell>
          <cell r="R689">
            <v>2345.29</v>
          </cell>
          <cell r="S689">
            <v>3432.4</v>
          </cell>
          <cell r="T689">
            <v>0.40673581167696071</v>
          </cell>
          <cell r="U689">
            <v>2658.0505600000001</v>
          </cell>
          <cell r="V689">
            <v>0.23390471549194305</v>
          </cell>
          <cell r="W689">
            <v>113.89999999999999</v>
          </cell>
          <cell r="X689">
            <v>0.50427456007458338</v>
          </cell>
          <cell r="AA689">
            <v>2094</v>
          </cell>
          <cell r="AB689">
            <v>114</v>
          </cell>
          <cell r="AC689">
            <v>127</v>
          </cell>
          <cell r="AD689">
            <v>134</v>
          </cell>
          <cell r="AE689">
            <v>140.62</v>
          </cell>
          <cell r="AF689">
            <v>0.19001564500071122</v>
          </cell>
          <cell r="AG689">
            <v>4.7077229412601368E-2</v>
          </cell>
          <cell r="AH689">
            <v>144</v>
          </cell>
          <cell r="AI689">
            <v>147</v>
          </cell>
          <cell r="AJ689">
            <v>0.22517006802721093</v>
          </cell>
          <cell r="AK689">
            <v>149.5</v>
          </cell>
          <cell r="AL689">
            <v>152</v>
          </cell>
          <cell r="AM689">
            <v>0.25065789473684214</v>
          </cell>
          <cell r="AN689">
            <v>173.32</v>
          </cell>
          <cell r="AO689">
            <v>194.64</v>
          </cell>
          <cell r="AP689">
            <v>215.96</v>
          </cell>
          <cell r="AQ689">
            <v>0</v>
          </cell>
          <cell r="AS689">
            <v>275</v>
          </cell>
        </row>
        <row r="690">
          <cell r="B690" t="str">
            <v>AC</v>
          </cell>
          <cell r="C690" t="str">
            <v>IMP</v>
          </cell>
          <cell r="D690" t="str">
            <v>BT</v>
          </cell>
          <cell r="E690" t="str">
            <v>P3</v>
          </cell>
          <cell r="F690">
            <v>39990</v>
          </cell>
          <cell r="G690">
            <v>40001</v>
          </cell>
          <cell r="H690" t="str">
            <v>960823</v>
          </cell>
          <cell r="K690" t="str">
            <v>RADF  Duplexing Document Feeder (DF-332)</v>
          </cell>
          <cell r="L690">
            <v>1465</v>
          </cell>
          <cell r="M690">
            <v>617</v>
          </cell>
          <cell r="N690">
            <v>687</v>
          </cell>
          <cell r="O690">
            <v>8.738195471612234E-2</v>
          </cell>
          <cell r="P690">
            <v>703.12</v>
          </cell>
          <cell r="Q690">
            <v>654.02</v>
          </cell>
          <cell r="R690">
            <v>739.04</v>
          </cell>
          <cell r="S690">
            <v>878.9</v>
          </cell>
          <cell r="T690">
            <v>0.26990556377289787</v>
          </cell>
          <cell r="U690">
            <v>680.62015999999994</v>
          </cell>
          <cell r="V690">
            <v>5.7212763136489937E-2</v>
          </cell>
          <cell r="W690">
            <v>583.94999999999993</v>
          </cell>
          <cell r="X690">
            <v>0.8</v>
          </cell>
          <cell r="AA690">
            <v>851</v>
          </cell>
          <cell r="AB690">
            <v>584</v>
          </cell>
          <cell r="AC690">
            <v>649</v>
          </cell>
          <cell r="AD690">
            <v>685</v>
          </cell>
          <cell r="AE690">
            <v>720.93</v>
          </cell>
          <cell r="AF690">
            <v>0.19000457742083146</v>
          </cell>
          <cell r="AG690">
            <v>4.7064208730389849E-2</v>
          </cell>
          <cell r="AH690">
            <v>736</v>
          </cell>
          <cell r="AI690">
            <v>750</v>
          </cell>
          <cell r="AJ690">
            <v>0.2214000000000001</v>
          </cell>
          <cell r="AK690">
            <v>764.5</v>
          </cell>
          <cell r="AL690">
            <v>779</v>
          </cell>
          <cell r="AM690">
            <v>0.2503851091142491</v>
          </cell>
          <cell r="AN690">
            <v>888.39</v>
          </cell>
          <cell r="AO690">
            <v>997.78</v>
          </cell>
          <cell r="AP690">
            <v>1107.17</v>
          </cell>
          <cell r="AQ690">
            <v>0</v>
          </cell>
          <cell r="AS690">
            <v>1465</v>
          </cell>
        </row>
        <row r="691">
          <cell r="B691" t="str">
            <v>AC</v>
          </cell>
          <cell r="C691" t="str">
            <v>IMP</v>
          </cell>
          <cell r="D691" t="str">
            <v>BT</v>
          </cell>
          <cell r="E691" t="str">
            <v>P3</v>
          </cell>
          <cell r="F691">
            <v>39990</v>
          </cell>
          <cell r="G691">
            <v>40001</v>
          </cell>
          <cell r="H691" t="str">
            <v>960824</v>
          </cell>
          <cell r="K691" t="str">
            <v>Auto Duplex Unit - ADU (AD-231) NO LONGER AVAILABLE</v>
          </cell>
          <cell r="L691">
            <v>455</v>
          </cell>
          <cell r="M691">
            <v>617</v>
          </cell>
          <cell r="N691">
            <v>225</v>
          </cell>
          <cell r="O691">
            <v>-0.17647058823529424</v>
          </cell>
          <cell r="P691">
            <v>545.428</v>
          </cell>
          <cell r="Q691">
            <v>654.02</v>
          </cell>
          <cell r="R691">
            <v>739.04</v>
          </cell>
          <cell r="S691">
            <v>878.9</v>
          </cell>
          <cell r="T691">
            <v>0.26990556377289787</v>
          </cell>
          <cell r="U691">
            <v>680.62015999999994</v>
          </cell>
          <cell r="V691">
            <v>5.7212763136489937E-2</v>
          </cell>
          <cell r="W691">
            <v>191.25</v>
          </cell>
          <cell r="X691">
            <v>0.62058027079303679</v>
          </cell>
          <cell r="AA691">
            <v>660</v>
          </cell>
          <cell r="AB691">
            <v>192</v>
          </cell>
          <cell r="AC691">
            <v>213</v>
          </cell>
          <cell r="AD691">
            <v>225</v>
          </cell>
          <cell r="AE691">
            <v>236.11</v>
          </cell>
          <cell r="AF691">
            <v>0.18999618821735637</v>
          </cell>
          <cell r="AG691">
            <v>4.705433907924278E-2</v>
          </cell>
          <cell r="AH691">
            <v>242</v>
          </cell>
          <cell r="AI691">
            <v>246</v>
          </cell>
          <cell r="AJ691">
            <v>0.2225609756097561</v>
          </cell>
          <cell r="AK691">
            <v>250.5</v>
          </cell>
          <cell r="AL691">
            <v>255</v>
          </cell>
          <cell r="AM691">
            <v>0.25</v>
          </cell>
          <cell r="AN691">
            <v>290.86</v>
          </cell>
          <cell r="AO691">
            <v>326.72000000000003</v>
          </cell>
          <cell r="AP691">
            <v>362.58</v>
          </cell>
          <cell r="AQ691">
            <v>0</v>
          </cell>
          <cell r="AS691">
            <v>455</v>
          </cell>
        </row>
        <row r="692">
          <cell r="B692" t="str">
            <v>AC</v>
          </cell>
          <cell r="C692" t="str">
            <v>IMP</v>
          </cell>
          <cell r="D692" t="str">
            <v>BT</v>
          </cell>
          <cell r="E692" t="str">
            <v>P3</v>
          </cell>
          <cell r="F692">
            <v>39990</v>
          </cell>
          <cell r="G692">
            <v>40001</v>
          </cell>
          <cell r="H692" t="str">
            <v>960825</v>
          </cell>
          <cell r="I692">
            <v>0</v>
          </cell>
          <cell r="K692" t="str">
            <v>PFU (PF-232) 500 sheets (2 required  with Copy Table (DK-134)</v>
          </cell>
          <cell r="L692">
            <v>525</v>
          </cell>
          <cell r="M692">
            <v>92</v>
          </cell>
          <cell r="N692">
            <v>205</v>
          </cell>
          <cell r="O692">
            <v>0</v>
          </cell>
          <cell r="P692">
            <v>95.68</v>
          </cell>
          <cell r="Q692">
            <v>97.52</v>
          </cell>
          <cell r="R692">
            <v>110.2</v>
          </cell>
          <cell r="S692">
            <v>104</v>
          </cell>
          <cell r="T692">
            <v>7.9999999999999932E-2</v>
          </cell>
          <cell r="U692">
            <v>95.68</v>
          </cell>
          <cell r="V692">
            <v>0</v>
          </cell>
          <cell r="W692">
            <v>174.25</v>
          </cell>
          <cell r="X692">
            <v>0.92</v>
          </cell>
          <cell r="AA692">
            <v>116</v>
          </cell>
          <cell r="AB692">
            <v>175</v>
          </cell>
          <cell r="AC692">
            <v>194</v>
          </cell>
          <cell r="AD692">
            <v>205</v>
          </cell>
          <cell r="AE692">
            <v>215.12</v>
          </cell>
          <cell r="AF692">
            <v>0.18998698400892527</v>
          </cell>
          <cell r="AG692">
            <v>4.7043510598735606E-2</v>
          </cell>
          <cell r="AH692">
            <v>221</v>
          </cell>
          <cell r="AI692">
            <v>225</v>
          </cell>
          <cell r="AJ692">
            <v>0.22555555555555556</v>
          </cell>
          <cell r="AK692">
            <v>229</v>
          </cell>
          <cell r="AL692">
            <v>233</v>
          </cell>
          <cell r="AM692">
            <v>0.2521459227467811</v>
          </cell>
          <cell r="AN692">
            <v>265.51</v>
          </cell>
          <cell r="AO692">
            <v>298.02</v>
          </cell>
          <cell r="AP692">
            <v>330.53</v>
          </cell>
          <cell r="AQ692">
            <v>0</v>
          </cell>
          <cell r="AS692">
            <v>525</v>
          </cell>
        </row>
        <row r="693">
          <cell r="B693" t="str">
            <v>AC</v>
          </cell>
          <cell r="C693" t="str">
            <v>IMP</v>
          </cell>
          <cell r="D693" t="str">
            <v>BT</v>
          </cell>
          <cell r="E693" t="str">
            <v>P3</v>
          </cell>
          <cell r="F693">
            <v>39990</v>
          </cell>
          <cell r="G693">
            <v>40001</v>
          </cell>
          <cell r="H693" t="str">
            <v>960826</v>
          </cell>
          <cell r="I693">
            <v>0</v>
          </cell>
          <cell r="K693" t="str">
            <v>Drawer Base w/ LCT - 2,500 sheets (DB-432)</v>
          </cell>
          <cell r="L693">
            <v>1260</v>
          </cell>
          <cell r="M693">
            <v>2356</v>
          </cell>
          <cell r="N693">
            <v>530</v>
          </cell>
          <cell r="O693">
            <v>-0.17647058823529413</v>
          </cell>
          <cell r="P693">
            <v>2082.7040000000002</v>
          </cell>
          <cell r="Q693">
            <v>2497.36</v>
          </cell>
          <cell r="R693">
            <v>2822.02</v>
          </cell>
          <cell r="S693">
            <v>3595.4</v>
          </cell>
          <cell r="T693">
            <v>0.31850698114257103</v>
          </cell>
          <cell r="U693">
            <v>2784.2777599999999</v>
          </cell>
          <cell r="V693">
            <v>0.11997285788038609</v>
          </cell>
          <cell r="W693">
            <v>450.5</v>
          </cell>
          <cell r="X693">
            <v>0.57926906602881467</v>
          </cell>
          <cell r="AA693">
            <v>2520</v>
          </cell>
          <cell r="AB693">
            <v>451</v>
          </cell>
          <cell r="AC693">
            <v>501</v>
          </cell>
          <cell r="AD693">
            <v>529</v>
          </cell>
          <cell r="AE693">
            <v>556.16999999999996</v>
          </cell>
          <cell r="AF693">
            <v>0.18999586457378134</v>
          </cell>
          <cell r="AG693">
            <v>4.705395832209569E-2</v>
          </cell>
          <cell r="AH693">
            <v>568</v>
          </cell>
          <cell r="AI693">
            <v>579</v>
          </cell>
          <cell r="AJ693">
            <v>0.22193436960276339</v>
          </cell>
          <cell r="AK693">
            <v>590</v>
          </cell>
          <cell r="AL693">
            <v>601</v>
          </cell>
          <cell r="AM693">
            <v>0.25041597337770383</v>
          </cell>
          <cell r="AN693">
            <v>685.39</v>
          </cell>
          <cell r="AO693">
            <v>769.78</v>
          </cell>
          <cell r="AP693">
            <v>854.17</v>
          </cell>
          <cell r="AQ693">
            <v>0</v>
          </cell>
          <cell r="AS693">
            <v>1260</v>
          </cell>
        </row>
        <row r="694">
          <cell r="B694" t="str">
            <v>AC</v>
          </cell>
          <cell r="C694" t="str">
            <v>IMP</v>
          </cell>
          <cell r="D694" t="str">
            <v>BT</v>
          </cell>
          <cell r="E694" t="str">
            <v>P3</v>
          </cell>
          <cell r="F694">
            <v>39990</v>
          </cell>
          <cell r="G694">
            <v>40001</v>
          </cell>
          <cell r="H694" t="str">
            <v>960827</v>
          </cell>
          <cell r="I694" t="str">
            <v>6KMPC402LCT_N</v>
          </cell>
          <cell r="K694" t="str">
            <v>Stapler Finisher (FS-135)</v>
          </cell>
          <cell r="L694">
            <v>1580</v>
          </cell>
          <cell r="M694">
            <v>408</v>
          </cell>
          <cell r="N694">
            <v>774</v>
          </cell>
          <cell r="O694">
            <v>-0.17647058823529421</v>
          </cell>
          <cell r="P694">
            <v>360.67199999999997</v>
          </cell>
          <cell r="Q694">
            <v>432.48</v>
          </cell>
          <cell r="R694">
            <v>488.7</v>
          </cell>
          <cell r="S694">
            <v>737.4</v>
          </cell>
          <cell r="T694">
            <v>0.42457282343368591</v>
          </cell>
          <cell r="U694">
            <v>571.04255999999998</v>
          </cell>
          <cell r="V694">
            <v>0.25693804678936716</v>
          </cell>
          <cell r="W694">
            <v>657.9</v>
          </cell>
          <cell r="X694">
            <v>0.48911310008136694</v>
          </cell>
          <cell r="AA694">
            <v>436</v>
          </cell>
          <cell r="AB694">
            <v>658</v>
          </cell>
          <cell r="AC694">
            <v>731</v>
          </cell>
          <cell r="AD694">
            <v>772</v>
          </cell>
          <cell r="AE694">
            <v>812.22</v>
          </cell>
          <cell r="AF694">
            <v>0.18999778385166585</v>
          </cell>
          <cell r="AG694">
            <v>4.7056216296077452E-2</v>
          </cell>
          <cell r="AH694">
            <v>830</v>
          </cell>
          <cell r="AI694">
            <v>846</v>
          </cell>
          <cell r="AJ694">
            <v>0.22234042553191491</v>
          </cell>
          <cell r="AK694">
            <v>862</v>
          </cell>
          <cell r="AL694">
            <v>878</v>
          </cell>
          <cell r="AM694">
            <v>0.25068337129840551</v>
          </cell>
          <cell r="AN694">
            <v>1001.16</v>
          </cell>
          <cell r="AO694">
            <v>1124.32</v>
          </cell>
          <cell r="AP694">
            <v>1247.48</v>
          </cell>
          <cell r="AQ694">
            <v>0</v>
          </cell>
          <cell r="AS694">
            <v>1580</v>
          </cell>
        </row>
        <row r="695">
          <cell r="B695" t="str">
            <v>AC</v>
          </cell>
          <cell r="C695" t="str">
            <v>IMP</v>
          </cell>
          <cell r="D695" t="str">
            <v>BT</v>
          </cell>
          <cell r="E695" t="str">
            <v>P3</v>
          </cell>
          <cell r="F695">
            <v>39990</v>
          </cell>
          <cell r="G695">
            <v>40001</v>
          </cell>
          <cell r="H695" t="str">
            <v>960828</v>
          </cell>
          <cell r="I695">
            <v>0</v>
          </cell>
          <cell r="K695" t="str">
            <v>Booklet Finisher (FS-231)</v>
          </cell>
          <cell r="L695">
            <v>3000</v>
          </cell>
          <cell r="M695">
            <v>700</v>
          </cell>
          <cell r="N695">
            <v>1230</v>
          </cell>
          <cell r="O695">
            <v>-0.17647058823529407</v>
          </cell>
          <cell r="P695">
            <v>612.85</v>
          </cell>
          <cell r="Q695">
            <v>742</v>
          </cell>
          <cell r="R695">
            <v>838.46</v>
          </cell>
          <cell r="S695">
            <v>878</v>
          </cell>
          <cell r="T695">
            <v>0.17881548974943051</v>
          </cell>
          <cell r="U695">
            <v>755.08</v>
          </cell>
          <cell r="V695">
            <v>4.5134290406314614E-2</v>
          </cell>
          <cell r="W695">
            <v>1045.5</v>
          </cell>
          <cell r="X695">
            <v>0.69800683371298411</v>
          </cell>
          <cell r="AA695">
            <v>741</v>
          </cell>
          <cell r="AB695">
            <v>1046</v>
          </cell>
          <cell r="AC695">
            <v>1162</v>
          </cell>
          <cell r="AD695">
            <v>1227</v>
          </cell>
          <cell r="AE695">
            <v>1290.74</v>
          </cell>
          <cell r="AF695">
            <v>0.18999953515037885</v>
          </cell>
          <cell r="AG695">
            <v>4.7058276647504539E-2</v>
          </cell>
          <cell r="AH695">
            <v>1317</v>
          </cell>
          <cell r="AI695">
            <v>1343</v>
          </cell>
          <cell r="AJ695">
            <v>0.22151898734177214</v>
          </cell>
          <cell r="AK695">
            <v>1368.5</v>
          </cell>
          <cell r="AL695">
            <v>1394</v>
          </cell>
          <cell r="AM695">
            <v>0.25</v>
          </cell>
          <cell r="AN695">
            <v>1590.03</v>
          </cell>
          <cell r="AO695">
            <v>1786.06</v>
          </cell>
          <cell r="AP695">
            <v>1982.09</v>
          </cell>
          <cell r="AQ695">
            <v>0</v>
          </cell>
          <cell r="AS695">
            <v>3000</v>
          </cell>
        </row>
        <row r="696">
          <cell r="B696" t="str">
            <v>AC</v>
          </cell>
          <cell r="C696" t="str">
            <v>IMP</v>
          </cell>
          <cell r="D696" t="str">
            <v>BT</v>
          </cell>
          <cell r="E696" t="str">
            <v>P3</v>
          </cell>
          <cell r="F696">
            <v>39990</v>
          </cell>
          <cell r="G696">
            <v>40001</v>
          </cell>
          <cell r="H696" t="str">
            <v>960829</v>
          </cell>
          <cell r="K696" t="str">
            <v>2/3 Punch Unit for FS-231/FN-8 (PK-131/PK-4)</v>
          </cell>
          <cell r="L696">
            <v>525</v>
          </cell>
          <cell r="M696">
            <v>700</v>
          </cell>
          <cell r="N696">
            <v>203</v>
          </cell>
          <cell r="O696">
            <v>-0.17647058823529407</v>
          </cell>
          <cell r="P696">
            <v>612.85</v>
          </cell>
          <cell r="Q696">
            <v>742</v>
          </cell>
          <cell r="R696">
            <v>838.46</v>
          </cell>
          <cell r="S696">
            <v>878</v>
          </cell>
          <cell r="T696">
            <v>0.17881548974943051</v>
          </cell>
          <cell r="U696">
            <v>755.08</v>
          </cell>
          <cell r="V696">
            <v>4.5134290406314614E-2</v>
          </cell>
          <cell r="W696">
            <v>172.54999999999998</v>
          </cell>
          <cell r="X696">
            <v>0.69800683371298411</v>
          </cell>
          <cell r="AA696">
            <v>741</v>
          </cell>
          <cell r="AB696">
            <v>173</v>
          </cell>
          <cell r="AC696">
            <v>192</v>
          </cell>
          <cell r="AD696">
            <v>203</v>
          </cell>
          <cell r="AE696">
            <v>213.02</v>
          </cell>
          <cell r="AF696">
            <v>0.18998216129940862</v>
          </cell>
          <cell r="AG696">
            <v>4.7037836822833586E-2</v>
          </cell>
          <cell r="AH696">
            <v>219</v>
          </cell>
          <cell r="AI696">
            <v>223</v>
          </cell>
          <cell r="AJ696">
            <v>0.22623318385650232</v>
          </cell>
          <cell r="AK696">
            <v>227</v>
          </cell>
          <cell r="AL696">
            <v>231</v>
          </cell>
          <cell r="AM696">
            <v>0.25303030303030311</v>
          </cell>
          <cell r="AN696">
            <v>263.12</v>
          </cell>
          <cell r="AO696">
            <v>295.24</v>
          </cell>
          <cell r="AP696">
            <v>327.36</v>
          </cell>
          <cell r="AQ696">
            <v>0</v>
          </cell>
          <cell r="AS696">
            <v>525</v>
          </cell>
        </row>
        <row r="697">
          <cell r="B697" t="str">
            <v>AC</v>
          </cell>
          <cell r="C697" t="str">
            <v>IMP</v>
          </cell>
          <cell r="D697" t="str">
            <v>BT</v>
          </cell>
          <cell r="E697" t="str">
            <v>P3</v>
          </cell>
          <cell r="F697">
            <v>39990</v>
          </cell>
          <cell r="G697">
            <v>40001</v>
          </cell>
          <cell r="H697" t="str">
            <v>960830</v>
          </cell>
          <cell r="K697" t="str">
            <v>Hard Disk Drive  - 10 Gig (HD-131)</v>
          </cell>
          <cell r="L697">
            <v>321</v>
          </cell>
          <cell r="M697">
            <v>1545</v>
          </cell>
          <cell r="N697">
            <v>191</v>
          </cell>
          <cell r="O697">
            <v>-0.17647058823529418</v>
          </cell>
          <cell r="P697">
            <v>1352.6475</v>
          </cell>
          <cell r="Q697">
            <v>1637.7</v>
          </cell>
          <cell r="R697">
            <v>1850.6</v>
          </cell>
          <cell r="S697">
            <v>2205</v>
          </cell>
          <cell r="T697">
            <v>0.27829931972789107</v>
          </cell>
          <cell r="U697">
            <v>1707.5519999999999</v>
          </cell>
          <cell r="V697">
            <v>6.8051807499859313E-2</v>
          </cell>
          <cell r="W697">
            <v>162.35</v>
          </cell>
          <cell r="X697">
            <v>0.61344557823129253</v>
          </cell>
          <cell r="AA697">
            <v>1637</v>
          </cell>
          <cell r="AB697">
            <v>163</v>
          </cell>
          <cell r="AC697">
            <v>181</v>
          </cell>
          <cell r="AD697">
            <v>191</v>
          </cell>
          <cell r="AE697">
            <v>200.43</v>
          </cell>
          <cell r="AF697">
            <v>0.18999151823579311</v>
          </cell>
          <cell r="AG697">
            <v>4.7048844983285966E-2</v>
          </cell>
          <cell r="AH697">
            <v>205</v>
          </cell>
          <cell r="AI697">
            <v>209</v>
          </cell>
          <cell r="AJ697">
            <v>0.2232057416267943</v>
          </cell>
          <cell r="AK697">
            <v>213</v>
          </cell>
          <cell r="AL697">
            <v>217</v>
          </cell>
          <cell r="AM697">
            <v>0.25184331797235027</v>
          </cell>
          <cell r="AN697">
            <v>243</v>
          </cell>
          <cell r="AO697">
            <v>269</v>
          </cell>
          <cell r="AP697">
            <v>295</v>
          </cell>
          <cell r="AQ697">
            <v>0</v>
          </cell>
          <cell r="AS697">
            <v>321</v>
          </cell>
        </row>
        <row r="698">
          <cell r="B698" t="str">
            <v>AC</v>
          </cell>
          <cell r="C698" t="str">
            <v>IMP</v>
          </cell>
          <cell r="D698" t="str">
            <v>BT</v>
          </cell>
          <cell r="E698" t="str">
            <v>P3</v>
          </cell>
          <cell r="F698">
            <v>39990</v>
          </cell>
          <cell r="G698">
            <v>40001</v>
          </cell>
          <cell r="H698" t="str">
            <v>960832</v>
          </cell>
          <cell r="K698" t="str">
            <v>Addtiional Exit Tray for FS-135 (FT-331)</v>
          </cell>
          <cell r="L698">
            <v>220</v>
          </cell>
          <cell r="M698">
            <v>390</v>
          </cell>
          <cell r="N698">
            <v>88</v>
          </cell>
          <cell r="O698">
            <v>-0.1764705882352941</v>
          </cell>
          <cell r="P698">
            <v>341.44499999999999</v>
          </cell>
          <cell r="Q698">
            <v>413.4</v>
          </cell>
          <cell r="R698">
            <v>467.14</v>
          </cell>
          <cell r="S698">
            <v>435</v>
          </cell>
          <cell r="T698">
            <v>7.6551724137931057E-2</v>
          </cell>
          <cell r="U698">
            <v>401.7</v>
          </cell>
          <cell r="V698">
            <v>0</v>
          </cell>
          <cell r="W698">
            <v>74.8</v>
          </cell>
          <cell r="X698">
            <v>0.78493103448275858</v>
          </cell>
          <cell r="AA698">
            <v>413</v>
          </cell>
          <cell r="AB698">
            <v>75</v>
          </cell>
          <cell r="AC698">
            <v>84</v>
          </cell>
          <cell r="AD698">
            <v>89</v>
          </cell>
          <cell r="AE698">
            <v>92.35</v>
          </cell>
          <cell r="AF698">
            <v>0.19003789929615592</v>
          </cell>
          <cell r="AG698">
            <v>4.7103410936653975E-2</v>
          </cell>
          <cell r="AH698">
            <v>95</v>
          </cell>
          <cell r="AI698">
            <v>97</v>
          </cell>
          <cell r="AJ698">
            <v>0.22886597938144332</v>
          </cell>
          <cell r="AK698">
            <v>98.5</v>
          </cell>
          <cell r="AL698">
            <v>100</v>
          </cell>
          <cell r="AM698">
            <v>0.252</v>
          </cell>
          <cell r="AN698">
            <v>113.96</v>
          </cell>
          <cell r="AO698">
            <v>127.92</v>
          </cell>
          <cell r="AP698">
            <v>141.88</v>
          </cell>
          <cell r="AQ698">
            <v>0</v>
          </cell>
          <cell r="AS698">
            <v>220</v>
          </cell>
        </row>
        <row r="699">
          <cell r="B699" t="str">
            <v>AC</v>
          </cell>
          <cell r="C699" t="str">
            <v>IMP</v>
          </cell>
          <cell r="D699" t="str">
            <v>BT</v>
          </cell>
          <cell r="E699" t="str">
            <v>P3</v>
          </cell>
          <cell r="F699">
            <v>39990</v>
          </cell>
          <cell r="G699">
            <v>40001</v>
          </cell>
          <cell r="H699" t="str">
            <v>960833</v>
          </cell>
          <cell r="K699" t="str">
            <v>256mb Memory - Must be Included</v>
          </cell>
          <cell r="L699">
            <v>160</v>
          </cell>
          <cell r="M699">
            <v>2356</v>
          </cell>
          <cell r="N699">
            <v>61</v>
          </cell>
          <cell r="O699">
            <v>-0.17647058823529413</v>
          </cell>
          <cell r="P699">
            <v>2082.7040000000002</v>
          </cell>
          <cell r="Q699">
            <v>2497.36</v>
          </cell>
          <cell r="R699">
            <v>2822.02</v>
          </cell>
          <cell r="S699">
            <v>3595.4</v>
          </cell>
          <cell r="T699">
            <v>0.31850698114257103</v>
          </cell>
          <cell r="U699">
            <v>2784.2777599999999</v>
          </cell>
          <cell r="V699">
            <v>0.11997285788038609</v>
          </cell>
          <cell r="W699">
            <v>51.85</v>
          </cell>
          <cell r="X699">
            <v>0.57926906602881467</v>
          </cell>
          <cell r="AA699">
            <v>2520</v>
          </cell>
          <cell r="AB699">
            <v>52</v>
          </cell>
          <cell r="AC699">
            <v>58</v>
          </cell>
          <cell r="AD699">
            <v>62</v>
          </cell>
          <cell r="AE699">
            <v>64.010000000000005</v>
          </cell>
          <cell r="AF699">
            <v>0.18997031713794724</v>
          </cell>
          <cell r="AG699">
            <v>4.7023902515232072E-2</v>
          </cell>
          <cell r="AH699">
            <v>67</v>
          </cell>
          <cell r="AI699">
            <v>68</v>
          </cell>
          <cell r="AJ699">
            <v>0.23749999999999999</v>
          </cell>
          <cell r="AK699">
            <v>69</v>
          </cell>
          <cell r="AL699">
            <v>70</v>
          </cell>
          <cell r="AM699">
            <v>0.25928571428571429</v>
          </cell>
          <cell r="AN699">
            <v>79.510000000000005</v>
          </cell>
          <cell r="AO699">
            <v>89.02</v>
          </cell>
          <cell r="AP699">
            <v>98.53</v>
          </cell>
          <cell r="AQ699">
            <v>0</v>
          </cell>
          <cell r="AS699">
            <v>160</v>
          </cell>
        </row>
        <row r="700">
          <cell r="B700" t="str">
            <v>AC</v>
          </cell>
          <cell r="C700" t="str">
            <v>IMP</v>
          </cell>
          <cell r="D700" t="str">
            <v>BT</v>
          </cell>
          <cell r="E700" t="str">
            <v>P3</v>
          </cell>
          <cell r="F700">
            <v>39990</v>
          </cell>
          <cell r="G700">
            <v>40001</v>
          </cell>
          <cell r="H700" t="str">
            <v>960835</v>
          </cell>
          <cell r="K700" t="str">
            <v>IP-711 Print Controller - (embedded - Minolta PCL)</v>
          </cell>
          <cell r="L700">
            <v>3800</v>
          </cell>
          <cell r="M700">
            <v>1790</v>
          </cell>
          <cell r="N700">
            <v>821</v>
          </cell>
          <cell r="O700">
            <v>-0.1764705882352941</v>
          </cell>
          <cell r="P700">
            <v>1582.3600000000001</v>
          </cell>
          <cell r="Q700">
            <v>1897.4</v>
          </cell>
          <cell r="R700">
            <v>2144.06</v>
          </cell>
          <cell r="S700">
            <v>2774.1</v>
          </cell>
          <cell r="T700">
            <v>0.32893551061605558</v>
          </cell>
          <cell r="U700">
            <v>2148.2630399999998</v>
          </cell>
          <cell r="V700">
            <v>0.13343945069222049</v>
          </cell>
          <cell r="W700">
            <v>697.85</v>
          </cell>
          <cell r="X700">
            <v>0.57040481597635273</v>
          </cell>
          <cell r="AA700">
            <v>1914</v>
          </cell>
          <cell r="AB700">
            <v>698</v>
          </cell>
          <cell r="AC700">
            <v>776</v>
          </cell>
          <cell r="AD700">
            <v>819</v>
          </cell>
          <cell r="AE700">
            <v>861.54</v>
          </cell>
          <cell r="AF700">
            <v>0.18999698214824609</v>
          </cell>
          <cell r="AG700">
            <v>4.7055273115583683E-2</v>
          </cell>
          <cell r="AH700">
            <v>880</v>
          </cell>
          <cell r="AI700">
            <v>897</v>
          </cell>
          <cell r="AJ700">
            <v>0.22201783723522853</v>
          </cell>
          <cell r="AK700">
            <v>914</v>
          </cell>
          <cell r="AL700">
            <v>931</v>
          </cell>
          <cell r="AM700">
            <v>0.25042964554242747</v>
          </cell>
          <cell r="AN700">
            <v>1061.71</v>
          </cell>
          <cell r="AO700">
            <v>1192.42</v>
          </cell>
          <cell r="AP700">
            <v>1323.13</v>
          </cell>
          <cell r="AQ700">
            <v>0</v>
          </cell>
          <cell r="AS700">
            <v>3800</v>
          </cell>
        </row>
        <row r="701">
          <cell r="B701" t="str">
            <v>AC</v>
          </cell>
          <cell r="C701" t="str">
            <v>IMP</v>
          </cell>
          <cell r="D701" t="str">
            <v>BT</v>
          </cell>
          <cell r="E701" t="str">
            <v>P3</v>
          </cell>
          <cell r="F701">
            <v>39990</v>
          </cell>
          <cell r="G701">
            <v>40001</v>
          </cell>
          <cell r="H701" t="str">
            <v>960851</v>
          </cell>
          <cell r="I701" t="str">
            <v>9KMBH500_N</v>
          </cell>
          <cell r="K701" t="str">
            <v>RADF (DF-319)  Duplexing Document Feeder</v>
          </cell>
          <cell r="L701">
            <v>1800</v>
          </cell>
          <cell r="M701">
            <v>548.08898305084745</v>
          </cell>
          <cell r="N701">
            <v>570.0125423728814</v>
          </cell>
          <cell r="O701">
            <v>-0.1764705882352941</v>
          </cell>
          <cell r="P701">
            <v>315.58800000000002</v>
          </cell>
          <cell r="Q701">
            <v>378.42</v>
          </cell>
          <cell r="R701">
            <v>427.61</v>
          </cell>
          <cell r="S701">
            <v>921</v>
          </cell>
          <cell r="T701">
            <v>0.36630824372759851</v>
          </cell>
          <cell r="U701">
            <v>453.72095999999999</v>
          </cell>
          <cell r="V701">
            <v>0.18169969489617574</v>
          </cell>
          <cell r="W701">
            <v>484.5106610169492</v>
          </cell>
          <cell r="X701">
            <v>0.53863799283154123</v>
          </cell>
          <cell r="Y701">
            <v>150</v>
          </cell>
          <cell r="Z701">
            <v>300</v>
          </cell>
          <cell r="AA701">
            <v>382</v>
          </cell>
          <cell r="AB701">
            <v>485</v>
          </cell>
          <cell r="AC701">
            <v>539</v>
          </cell>
          <cell r="AD701">
            <v>569</v>
          </cell>
          <cell r="AE701">
            <v>598.16</v>
          </cell>
          <cell r="AF701">
            <v>0.18999822619876083</v>
          </cell>
          <cell r="AG701">
            <v>4.7056736704424521E-2</v>
          </cell>
          <cell r="AH701">
            <v>611</v>
          </cell>
          <cell r="AI701">
            <v>623</v>
          </cell>
          <cell r="AJ701">
            <v>0.22229428408194349</v>
          </cell>
          <cell r="AK701">
            <v>635</v>
          </cell>
          <cell r="AL701">
            <v>647</v>
          </cell>
          <cell r="AM701">
            <v>0.25114271867550353</v>
          </cell>
          <cell r="AN701">
            <v>737.6</v>
          </cell>
          <cell r="AO701">
            <v>828.2</v>
          </cell>
          <cell r="AP701">
            <v>918.8</v>
          </cell>
          <cell r="AQ701">
            <v>0</v>
          </cell>
          <cell r="AR701">
            <v>288</v>
          </cell>
          <cell r="AS701">
            <v>1800</v>
          </cell>
        </row>
        <row r="702">
          <cell r="B702" t="str">
            <v>AC</v>
          </cell>
          <cell r="C702" t="str">
            <v>IMP</v>
          </cell>
          <cell r="D702" t="str">
            <v>BT</v>
          </cell>
          <cell r="E702" t="str">
            <v>P3</v>
          </cell>
          <cell r="F702">
            <v>39990</v>
          </cell>
          <cell r="G702">
            <v>40001</v>
          </cell>
          <cell r="H702" t="str">
            <v>960853</v>
          </cell>
          <cell r="I702" t="str">
            <v>9KMBH500GSA_N</v>
          </cell>
          <cell r="K702" t="str">
            <v>LCT (LT-211)  2500 sheet large capacity tray</v>
          </cell>
          <cell r="L702">
            <v>3200</v>
          </cell>
          <cell r="M702">
            <v>1036.3742211652793</v>
          </cell>
          <cell r="N702">
            <v>1077.8291900118904</v>
          </cell>
          <cell r="O702">
            <v>-0.17647058823529418</v>
          </cell>
          <cell r="P702">
            <v>111.28</v>
          </cell>
          <cell r="Q702">
            <v>113.42</v>
          </cell>
          <cell r="R702">
            <v>128.16</v>
          </cell>
          <cell r="S702">
            <v>1636</v>
          </cell>
          <cell r="T702">
            <v>3.6536796536796527E-2</v>
          </cell>
          <cell r="U702">
            <v>111.28</v>
          </cell>
          <cell r="V702">
            <v>0</v>
          </cell>
          <cell r="W702">
            <v>916.15481151010681</v>
          </cell>
          <cell r="X702">
            <v>0.96346320346320347</v>
          </cell>
          <cell r="Y702">
            <v>150</v>
          </cell>
          <cell r="Z702">
            <v>300</v>
          </cell>
          <cell r="AA702">
            <v>135</v>
          </cell>
          <cell r="AB702">
            <v>917</v>
          </cell>
          <cell r="AC702">
            <v>1018</v>
          </cell>
          <cell r="AD702">
            <v>1075</v>
          </cell>
          <cell r="AE702">
            <v>1131.06</v>
          </cell>
          <cell r="AF702">
            <v>0.19000334950391062</v>
          </cell>
          <cell r="AG702">
            <v>4.7062764122247726E-2</v>
          </cell>
          <cell r="AH702">
            <v>1155</v>
          </cell>
          <cell r="AI702">
            <v>1177</v>
          </cell>
          <cell r="AJ702">
            <v>0.2216186818095949</v>
          </cell>
          <cell r="AK702">
            <v>1199.5</v>
          </cell>
          <cell r="AL702">
            <v>1222</v>
          </cell>
          <cell r="AM702">
            <v>0.25028247830596823</v>
          </cell>
          <cell r="AN702">
            <v>1393.66</v>
          </cell>
          <cell r="AO702">
            <v>1565.32</v>
          </cell>
          <cell r="AP702">
            <v>1736.98</v>
          </cell>
          <cell r="AQ702">
            <v>0</v>
          </cell>
          <cell r="AR702">
            <v>288</v>
          </cell>
          <cell r="AS702">
            <v>3200</v>
          </cell>
        </row>
        <row r="703">
          <cell r="B703" t="str">
            <v>AC</v>
          </cell>
          <cell r="C703" t="str">
            <v>IMP</v>
          </cell>
          <cell r="D703" t="str">
            <v>BT</v>
          </cell>
          <cell r="E703" t="str">
            <v>P3</v>
          </cell>
          <cell r="F703">
            <v>39990</v>
          </cell>
          <cell r="G703">
            <v>40001</v>
          </cell>
          <cell r="H703" t="str">
            <v>960854</v>
          </cell>
          <cell r="I703" t="str">
            <v>9KMBHPRO1050E_X</v>
          </cell>
          <cell r="K703" t="str">
            <v>Stapler Finisher (FS-115)</v>
          </cell>
          <cell r="L703">
            <v>2850</v>
          </cell>
          <cell r="M703">
            <v>210</v>
          </cell>
          <cell r="N703">
            <v>1107</v>
          </cell>
          <cell r="O703">
            <v>-0.17647058823529407</v>
          </cell>
          <cell r="P703">
            <v>183.85500000000002</v>
          </cell>
          <cell r="Q703">
            <v>222.6</v>
          </cell>
          <cell r="R703">
            <v>251.54</v>
          </cell>
          <cell r="S703">
            <v>265.8</v>
          </cell>
          <cell r="T703">
            <v>0.18623024830699775</v>
          </cell>
          <cell r="U703">
            <v>228.58799999999999</v>
          </cell>
          <cell r="V703">
            <v>5.3756102682555443E-2</v>
          </cell>
          <cell r="W703">
            <v>940.94999999999993</v>
          </cell>
          <cell r="X703">
            <v>0.691704288939052</v>
          </cell>
          <cell r="Y703">
            <v>0</v>
          </cell>
          <cell r="Z703">
            <v>0</v>
          </cell>
          <cell r="AA703">
            <v>222</v>
          </cell>
          <cell r="AB703">
            <v>941</v>
          </cell>
          <cell r="AC703">
            <v>1046</v>
          </cell>
          <cell r="AD703">
            <v>1104</v>
          </cell>
          <cell r="AE703">
            <v>1161.67</v>
          </cell>
          <cell r="AF703">
            <v>0.19000232424010272</v>
          </cell>
          <cell r="AG703">
            <v>4.7061557929532545E-2</v>
          </cell>
          <cell r="AH703">
            <v>1186</v>
          </cell>
          <cell r="AI703">
            <v>1209</v>
          </cell>
          <cell r="AJ703">
            <v>0.22171215880893305</v>
          </cell>
          <cell r="AK703">
            <v>1232</v>
          </cell>
          <cell r="AL703">
            <v>1255</v>
          </cell>
          <cell r="AM703">
            <v>0.25023904382470125</v>
          </cell>
          <cell r="AN703">
            <v>1431.33</v>
          </cell>
          <cell r="AO703">
            <v>1607.66</v>
          </cell>
          <cell r="AP703">
            <v>1783.99</v>
          </cell>
          <cell r="AQ703">
            <v>0</v>
          </cell>
          <cell r="AR703">
            <v>811</v>
          </cell>
          <cell r="AS703">
            <v>2850</v>
          </cell>
        </row>
        <row r="704">
          <cell r="B704" t="str">
            <v>AC</v>
          </cell>
          <cell r="C704" t="str">
            <v>IMP</v>
          </cell>
          <cell r="D704" t="str">
            <v>BT</v>
          </cell>
          <cell r="E704" t="str">
            <v>P3</v>
          </cell>
          <cell r="F704">
            <v>39990</v>
          </cell>
          <cell r="G704">
            <v>40001</v>
          </cell>
          <cell r="H704" t="str">
            <v>960855</v>
          </cell>
          <cell r="I704" t="str">
            <v>9KMBHPRO1050EGSA_X</v>
          </cell>
          <cell r="K704" t="str">
            <v>Saddle Stitch Finisher (FS-215)</v>
          </cell>
          <cell r="L704">
            <v>4500</v>
          </cell>
          <cell r="M704">
            <v>350</v>
          </cell>
          <cell r="N704">
            <v>1711</v>
          </cell>
          <cell r="O704">
            <v>-0.17647058823529407</v>
          </cell>
          <cell r="P704">
            <v>306.42500000000001</v>
          </cell>
          <cell r="Q704">
            <v>371</v>
          </cell>
          <cell r="R704">
            <v>419.23</v>
          </cell>
          <cell r="S704">
            <v>439.4</v>
          </cell>
          <cell r="T704">
            <v>0.17956304050978603</v>
          </cell>
          <cell r="U704">
            <v>377.88399999999996</v>
          </cell>
          <cell r="V704">
            <v>4.6003535476495327E-2</v>
          </cell>
          <cell r="W704">
            <v>1454.35</v>
          </cell>
          <cell r="X704">
            <v>0.69737141556668192</v>
          </cell>
          <cell r="Y704">
            <v>0</v>
          </cell>
          <cell r="Z704">
            <v>0</v>
          </cell>
          <cell r="AA704">
            <v>371</v>
          </cell>
          <cell r="AB704">
            <v>1455</v>
          </cell>
          <cell r="AC704">
            <v>1616</v>
          </cell>
          <cell r="AD704">
            <v>1706</v>
          </cell>
          <cell r="AE704">
            <v>1795.49</v>
          </cell>
          <cell r="AF704">
            <v>0.18999827345181544</v>
          </cell>
          <cell r="AG704">
            <v>4.7056792296253397E-2</v>
          </cell>
          <cell r="AH704">
            <v>1832</v>
          </cell>
          <cell r="AI704">
            <v>1868</v>
          </cell>
          <cell r="AJ704">
            <v>0.22144004282655252</v>
          </cell>
          <cell r="AK704">
            <v>1904</v>
          </cell>
          <cell r="AL704">
            <v>1940</v>
          </cell>
          <cell r="AM704">
            <v>0.2503350515463918</v>
          </cell>
          <cell r="AN704">
            <v>2212.4699999999998</v>
          </cell>
          <cell r="AO704">
            <v>2484.94</v>
          </cell>
          <cell r="AP704">
            <v>2757.41</v>
          </cell>
          <cell r="AQ704">
            <v>0</v>
          </cell>
          <cell r="AR704">
            <v>811</v>
          </cell>
          <cell r="AS704">
            <v>4500</v>
          </cell>
        </row>
        <row r="705">
          <cell r="B705" t="str">
            <v>AC</v>
          </cell>
          <cell r="C705" t="str">
            <v>IMP</v>
          </cell>
          <cell r="D705" t="str">
            <v>BT</v>
          </cell>
          <cell r="E705" t="str">
            <v>P3</v>
          </cell>
          <cell r="F705">
            <v>39990</v>
          </cell>
          <cell r="G705">
            <v>40001</v>
          </cell>
          <cell r="H705" t="str">
            <v>960856</v>
          </cell>
          <cell r="I705" t="str">
            <v>9KMBHPRO1050EP_X</v>
          </cell>
          <cell r="K705" t="str">
            <v>Trimmer Unit (TU-109)</v>
          </cell>
          <cell r="L705">
            <v>10900</v>
          </cell>
          <cell r="M705">
            <v>296</v>
          </cell>
          <cell r="N705">
            <v>2385</v>
          </cell>
          <cell r="O705">
            <v>-0.17647058823529413</v>
          </cell>
          <cell r="P705">
            <v>45</v>
          </cell>
          <cell r="Q705">
            <v>313.76</v>
          </cell>
          <cell r="R705">
            <v>354.55</v>
          </cell>
          <cell r="S705">
            <v>3525</v>
          </cell>
          <cell r="T705">
            <v>0.1</v>
          </cell>
          <cell r="U705">
            <v>45</v>
          </cell>
          <cell r="V705">
            <v>0</v>
          </cell>
          <cell r="W705">
            <v>2027.25</v>
          </cell>
          <cell r="X705">
            <v>0.9</v>
          </cell>
          <cell r="Y705">
            <v>0</v>
          </cell>
          <cell r="Z705">
            <v>0</v>
          </cell>
          <cell r="AA705">
            <v>54</v>
          </cell>
          <cell r="AB705">
            <v>2028</v>
          </cell>
          <cell r="AC705">
            <v>2253</v>
          </cell>
          <cell r="AD705">
            <v>2378</v>
          </cell>
          <cell r="AE705">
            <v>2502.7800000000002</v>
          </cell>
          <cell r="AF705">
            <v>0.19000071920024938</v>
          </cell>
          <cell r="AG705">
            <v>4.7059669647352219E-2</v>
          </cell>
          <cell r="AH705">
            <v>2553</v>
          </cell>
          <cell r="AI705">
            <v>2603</v>
          </cell>
          <cell r="AJ705">
            <v>0.22118709181713408</v>
          </cell>
          <cell r="AK705">
            <v>2653</v>
          </cell>
          <cell r="AL705">
            <v>2703</v>
          </cell>
          <cell r="AM705">
            <v>0.25</v>
          </cell>
          <cell r="AN705">
            <v>3083.11</v>
          </cell>
          <cell r="AO705">
            <v>3463.22</v>
          </cell>
          <cell r="AP705">
            <v>3843.33</v>
          </cell>
          <cell r="AQ705">
            <v>0</v>
          </cell>
          <cell r="AR705">
            <v>811</v>
          </cell>
          <cell r="AS705">
            <v>10900</v>
          </cell>
        </row>
        <row r="706">
          <cell r="B706" t="str">
            <v>AC</v>
          </cell>
          <cell r="C706" t="str">
            <v>IMP</v>
          </cell>
          <cell r="D706" t="str">
            <v>BT</v>
          </cell>
          <cell r="E706" t="str">
            <v>P3</v>
          </cell>
          <cell r="F706">
            <v>39990</v>
          </cell>
          <cell r="G706">
            <v>40001</v>
          </cell>
          <cell r="H706" t="str">
            <v>960857</v>
          </cell>
          <cell r="I706">
            <v>0</v>
          </cell>
          <cell r="J706" t="str">
            <v>x</v>
          </cell>
          <cell r="K706" t="str">
            <v>Trimmer Adapter Kit (TU-109A)</v>
          </cell>
          <cell r="L706">
            <v>2900</v>
          </cell>
          <cell r="M706">
            <v>1181</v>
          </cell>
          <cell r="N706">
            <v>572</v>
          </cell>
          <cell r="O706">
            <v>-0.17647058823529416</v>
          </cell>
          <cell r="P706">
            <v>1344.48</v>
          </cell>
          <cell r="Q706">
            <v>1251.8599999999999</v>
          </cell>
          <cell r="R706">
            <v>1414.6</v>
          </cell>
          <cell r="S706">
            <v>833</v>
          </cell>
          <cell r="T706">
            <v>0.2621385219564441</v>
          </cell>
          <cell r="U706">
            <v>1445.3159999999998</v>
          </cell>
          <cell r="V706">
            <v>0.14202153715865587</v>
          </cell>
          <cell r="W706">
            <v>486.2</v>
          </cell>
          <cell r="X706">
            <v>0.8</v>
          </cell>
          <cell r="Y706">
            <v>0</v>
          </cell>
          <cell r="AA706">
            <v>1627</v>
          </cell>
          <cell r="AB706">
            <v>487</v>
          </cell>
          <cell r="AC706">
            <v>541</v>
          </cell>
          <cell r="AD706">
            <v>571</v>
          </cell>
          <cell r="AE706">
            <v>600.25</v>
          </cell>
          <cell r="AF706">
            <v>0.19000416493127864</v>
          </cell>
          <cell r="AG706">
            <v>4.7063723448563098E-2</v>
          </cell>
          <cell r="AH706">
            <v>613</v>
          </cell>
          <cell r="AI706">
            <v>625</v>
          </cell>
          <cell r="AJ706">
            <v>0.22208000000000003</v>
          </cell>
          <cell r="AK706">
            <v>637</v>
          </cell>
          <cell r="AL706">
            <v>649</v>
          </cell>
          <cell r="AM706">
            <v>0.25084745762711869</v>
          </cell>
          <cell r="AN706">
            <v>739.98</v>
          </cell>
          <cell r="AO706">
            <v>830.96</v>
          </cell>
          <cell r="AP706">
            <v>921.94</v>
          </cell>
          <cell r="AQ706">
            <v>0</v>
          </cell>
          <cell r="AS706">
            <v>2900</v>
          </cell>
        </row>
        <row r="707">
          <cell r="B707" t="str">
            <v>AC</v>
          </cell>
          <cell r="C707" t="str">
            <v>IMP</v>
          </cell>
          <cell r="D707" t="str">
            <v>BT</v>
          </cell>
          <cell r="E707" t="str">
            <v>P3</v>
          </cell>
          <cell r="F707">
            <v>39990</v>
          </cell>
          <cell r="G707">
            <v>40001</v>
          </cell>
          <cell r="H707" t="str">
            <v>960859</v>
          </cell>
          <cell r="I707">
            <v>0</v>
          </cell>
          <cell r="K707" t="str">
            <v>Copier Hard Disk Drive (HD-106) 20 Gig</v>
          </cell>
          <cell r="L707">
            <v>800</v>
          </cell>
          <cell r="M707">
            <v>270</v>
          </cell>
          <cell r="N707">
            <v>280.8</v>
          </cell>
          <cell r="O707">
            <v>-0.17647058823529413</v>
          </cell>
          <cell r="P707">
            <v>20</v>
          </cell>
          <cell r="Q707">
            <v>10.6</v>
          </cell>
          <cell r="R707">
            <v>11.98</v>
          </cell>
          <cell r="S707">
            <v>470</v>
          </cell>
          <cell r="T707">
            <v>0.58799999999999997</v>
          </cell>
          <cell r="U707">
            <v>19.36</v>
          </cell>
          <cell r="V707">
            <v>0.46797520661157022</v>
          </cell>
          <cell r="W707">
            <v>238.68</v>
          </cell>
          <cell r="X707">
            <v>0.8</v>
          </cell>
          <cell r="Y707">
            <v>0</v>
          </cell>
          <cell r="AA707">
            <v>24</v>
          </cell>
          <cell r="AB707">
            <v>239</v>
          </cell>
          <cell r="AC707">
            <v>266</v>
          </cell>
          <cell r="AD707">
            <v>281</v>
          </cell>
          <cell r="AE707">
            <v>294.67</v>
          </cell>
          <cell r="AF707">
            <v>0.19000916279227612</v>
          </cell>
          <cell r="AG707">
            <v>4.7069603285030723E-2</v>
          </cell>
          <cell r="AH707">
            <v>301</v>
          </cell>
          <cell r="AI707">
            <v>307</v>
          </cell>
          <cell r="AJ707">
            <v>0.22254071661237781</v>
          </cell>
          <cell r="AK707">
            <v>313</v>
          </cell>
          <cell r="AL707">
            <v>319</v>
          </cell>
          <cell r="AM707">
            <v>0.25178683385579936</v>
          </cell>
          <cell r="AN707">
            <v>363.56</v>
          </cell>
          <cell r="AO707">
            <v>408.12</v>
          </cell>
          <cell r="AP707">
            <v>452.68</v>
          </cell>
          <cell r="AQ707">
            <v>0</v>
          </cell>
          <cell r="AS707">
            <v>800</v>
          </cell>
        </row>
        <row r="708">
          <cell r="B708" t="str">
            <v>AC</v>
          </cell>
          <cell r="C708" t="str">
            <v>IMP</v>
          </cell>
          <cell r="D708" t="str">
            <v>BT</v>
          </cell>
          <cell r="E708" t="str">
            <v>P3</v>
          </cell>
          <cell r="F708">
            <v>39990</v>
          </cell>
          <cell r="G708">
            <v>40001</v>
          </cell>
          <cell r="H708" t="str">
            <v>960895</v>
          </cell>
          <cell r="I708">
            <v>0</v>
          </cell>
          <cell r="J708" t="str">
            <v>x</v>
          </cell>
          <cell r="K708" t="str">
            <v>Fiery S300 External Controller 50C-K (IP-901)New inventory has been depleted, see new version item #20BB</v>
          </cell>
          <cell r="L708">
            <v>23000</v>
          </cell>
          <cell r="M708">
            <v>38</v>
          </cell>
          <cell r="N708">
            <v>10529</v>
          </cell>
          <cell r="O708">
            <v>0.28315018315018314</v>
          </cell>
          <cell r="P708">
            <v>54.6</v>
          </cell>
          <cell r="Q708">
            <v>40.28</v>
          </cell>
          <cell r="R708">
            <v>45.52</v>
          </cell>
          <cell r="S708">
            <v>68.25</v>
          </cell>
          <cell r="T708">
            <v>0.42652014652014653</v>
          </cell>
          <cell r="U708">
            <v>52.852800000000002</v>
          </cell>
          <cell r="V708">
            <v>0.25945266854357762</v>
          </cell>
          <cell r="W708">
            <v>8949.65</v>
          </cell>
          <cell r="X708">
            <v>0.8</v>
          </cell>
          <cell r="Y708">
            <v>0</v>
          </cell>
          <cell r="AA708">
            <v>66</v>
          </cell>
          <cell r="AB708">
            <v>8950</v>
          </cell>
          <cell r="AC708">
            <v>9945</v>
          </cell>
          <cell r="AD708">
            <v>10497</v>
          </cell>
          <cell r="AE708">
            <v>11048.95</v>
          </cell>
          <cell r="AF708">
            <v>0.18999995474683123</v>
          </cell>
          <cell r="AG708">
            <v>4.705877029038965E-2</v>
          </cell>
          <cell r="AH708">
            <v>11270</v>
          </cell>
          <cell r="AI708">
            <v>11491</v>
          </cell>
          <cell r="AJ708">
            <v>0.22116003829083633</v>
          </cell>
          <cell r="AK708">
            <v>11712</v>
          </cell>
          <cell r="AL708">
            <v>11933</v>
          </cell>
          <cell r="AM708">
            <v>0.25000838012234983</v>
          </cell>
          <cell r="AN708">
            <v>13611.03</v>
          </cell>
          <cell r="AO708">
            <v>15289.06</v>
          </cell>
          <cell r="AP708">
            <v>16967.09</v>
          </cell>
          <cell r="AQ708">
            <v>0</v>
          </cell>
          <cell r="AS708">
            <v>23000</v>
          </cell>
        </row>
        <row r="709">
          <cell r="B709" t="str">
            <v>AC</v>
          </cell>
          <cell r="C709" t="str">
            <v>IMP</v>
          </cell>
          <cell r="D709" t="str">
            <v>BT</v>
          </cell>
          <cell r="E709" t="str">
            <v>P3</v>
          </cell>
          <cell r="F709">
            <v>39990</v>
          </cell>
          <cell r="G709">
            <v>40001</v>
          </cell>
          <cell r="H709" t="str">
            <v>960913</v>
          </cell>
          <cell r="I709">
            <v>0</v>
          </cell>
          <cell r="K709" t="str">
            <v>Video Interface Kit for the IP-921 (1)</v>
          </cell>
          <cell r="L709">
            <v>300</v>
          </cell>
          <cell r="M709">
            <v>0</v>
          </cell>
          <cell r="N709">
            <v>120</v>
          </cell>
          <cell r="O709">
            <v>0</v>
          </cell>
          <cell r="P709">
            <v>0</v>
          </cell>
          <cell r="Q709">
            <v>0</v>
          </cell>
          <cell r="R709">
            <v>0</v>
          </cell>
          <cell r="S709">
            <v>0</v>
          </cell>
          <cell r="T709">
            <v>0</v>
          </cell>
          <cell r="U709">
            <v>0</v>
          </cell>
          <cell r="V709">
            <v>0</v>
          </cell>
          <cell r="W709">
            <v>102</v>
          </cell>
          <cell r="X709">
            <v>0</v>
          </cell>
          <cell r="Y709">
            <v>0</v>
          </cell>
          <cell r="AA709">
            <v>0</v>
          </cell>
          <cell r="AB709">
            <v>102</v>
          </cell>
          <cell r="AC709">
            <v>114</v>
          </cell>
          <cell r="AD709">
            <v>120</v>
          </cell>
          <cell r="AE709">
            <v>125.93</v>
          </cell>
          <cell r="AF709">
            <v>0.19002620503454304</v>
          </cell>
          <cell r="AG709">
            <v>4.7089652981815347E-2</v>
          </cell>
          <cell r="AH709">
            <v>129</v>
          </cell>
          <cell r="AI709">
            <v>131</v>
          </cell>
          <cell r="AJ709">
            <v>0.22137404580152673</v>
          </cell>
          <cell r="AK709">
            <v>133.5</v>
          </cell>
          <cell r="AL709">
            <v>136</v>
          </cell>
          <cell r="AM709">
            <v>0.25</v>
          </cell>
          <cell r="AN709">
            <v>155.13</v>
          </cell>
          <cell r="AO709">
            <v>174.26</v>
          </cell>
          <cell r="AP709">
            <v>193.39</v>
          </cell>
          <cell r="AQ709">
            <v>0</v>
          </cell>
          <cell r="AS709">
            <v>300</v>
          </cell>
        </row>
        <row r="710">
          <cell r="B710" t="str">
            <v>AC</v>
          </cell>
          <cell r="C710" t="str">
            <v>IMP</v>
          </cell>
          <cell r="D710" t="str">
            <v>BT</v>
          </cell>
          <cell r="E710" t="str">
            <v>P3</v>
          </cell>
          <cell r="F710">
            <v>39990</v>
          </cell>
          <cell r="G710">
            <v>40001</v>
          </cell>
          <cell r="H710" t="str">
            <v>960918</v>
          </cell>
          <cell r="I710" t="str">
            <v>3KMHAHDDCASE</v>
          </cell>
          <cell r="J710" t="str">
            <v>x</v>
          </cell>
          <cell r="K710" t="str">
            <v>256MB DIMM (IP-901) MEMORY MODULE</v>
          </cell>
          <cell r="L710">
            <v>385</v>
          </cell>
          <cell r="M710">
            <v>56</v>
          </cell>
          <cell r="N710">
            <v>131</v>
          </cell>
          <cell r="O710">
            <v>0</v>
          </cell>
          <cell r="P710">
            <v>49.980000000000004</v>
          </cell>
          <cell r="Q710">
            <v>59.36</v>
          </cell>
          <cell r="R710">
            <v>64.11</v>
          </cell>
          <cell r="S710">
            <v>102.9</v>
          </cell>
          <cell r="T710">
            <v>0.42857142857142855</v>
          </cell>
          <cell r="U710">
            <v>79.685760000000002</v>
          </cell>
          <cell r="V710">
            <v>0.26210153482880755</v>
          </cell>
          <cell r="W710">
            <v>111.35</v>
          </cell>
          <cell r="X710">
            <v>0.48571428571428571</v>
          </cell>
          <cell r="AA710">
            <v>0</v>
          </cell>
          <cell r="AB710">
            <v>112</v>
          </cell>
          <cell r="AC710">
            <v>124</v>
          </cell>
          <cell r="AD710">
            <v>131</v>
          </cell>
          <cell r="AE710">
            <v>137.47</v>
          </cell>
          <cell r="AF710">
            <v>0.19000509202007715</v>
          </cell>
          <cell r="AG710">
            <v>4.7064814141267175E-2</v>
          </cell>
          <cell r="AH710">
            <v>141</v>
          </cell>
          <cell r="AI710">
            <v>144</v>
          </cell>
          <cell r="AJ710">
            <v>0.22673611111111114</v>
          </cell>
          <cell r="AK710">
            <v>146.5</v>
          </cell>
          <cell r="AL710">
            <v>149</v>
          </cell>
          <cell r="AM710">
            <v>0.25268456375838932</v>
          </cell>
          <cell r="AN710">
            <v>169.74</v>
          </cell>
          <cell r="AO710">
            <v>190.48</v>
          </cell>
          <cell r="AP710">
            <v>211.22</v>
          </cell>
          <cell r="AQ710">
            <v>0</v>
          </cell>
          <cell r="AS710">
            <v>385</v>
          </cell>
        </row>
        <row r="711">
          <cell r="B711" t="str">
            <v>AC</v>
          </cell>
          <cell r="C711" t="str">
            <v>IMP</v>
          </cell>
          <cell r="D711" t="str">
            <v>BT</v>
          </cell>
          <cell r="E711" t="str">
            <v>P3</v>
          </cell>
          <cell r="F711">
            <v>39990</v>
          </cell>
          <cell r="G711">
            <v>40001</v>
          </cell>
          <cell r="H711" t="str">
            <v>960919</v>
          </cell>
          <cell r="I711">
            <v>0</v>
          </cell>
          <cell r="K711" t="str">
            <v>Faci Kit Stand (S300)</v>
          </cell>
          <cell r="L711">
            <v>675</v>
          </cell>
          <cell r="M711">
            <v>600</v>
          </cell>
          <cell r="N711">
            <v>402</v>
          </cell>
          <cell r="O711">
            <v>5.1204819277108432E-2</v>
          </cell>
          <cell r="P711">
            <v>664</v>
          </cell>
          <cell r="Q711">
            <v>636</v>
          </cell>
          <cell r="R711">
            <v>718.68</v>
          </cell>
          <cell r="S711">
            <v>830</v>
          </cell>
          <cell r="T711">
            <v>0.24096385542168675</v>
          </cell>
          <cell r="U711">
            <v>18743</v>
          </cell>
          <cell r="V711">
            <v>1.653950808301766E-3</v>
          </cell>
          <cell r="W711">
            <v>341.7</v>
          </cell>
          <cell r="X711">
            <v>0.8</v>
          </cell>
          <cell r="Y711" t="str">
            <v>Act freight</v>
          </cell>
          <cell r="Z711">
            <v>500</v>
          </cell>
          <cell r="AA711">
            <v>1301</v>
          </cell>
          <cell r="AB711">
            <v>342</v>
          </cell>
          <cell r="AC711">
            <v>380</v>
          </cell>
          <cell r="AD711">
            <v>401</v>
          </cell>
          <cell r="AE711">
            <v>421.85</v>
          </cell>
          <cell r="AF711">
            <v>0.18999644423373244</v>
          </cell>
          <cell r="AG711">
            <v>4.7054640274979312E-2</v>
          </cell>
          <cell r="AH711">
            <v>431</v>
          </cell>
          <cell r="AI711">
            <v>439</v>
          </cell>
          <cell r="AJ711">
            <v>0.22164009111617314</v>
          </cell>
          <cell r="AK711">
            <v>447.5</v>
          </cell>
          <cell r="AL711">
            <v>456</v>
          </cell>
          <cell r="AM711">
            <v>0.25065789473684214</v>
          </cell>
          <cell r="AN711">
            <v>510.75</v>
          </cell>
          <cell r="AO711">
            <v>565.5</v>
          </cell>
          <cell r="AP711">
            <v>620.25</v>
          </cell>
          <cell r="AQ711">
            <v>0</v>
          </cell>
          <cell r="AR711">
            <v>811</v>
          </cell>
          <cell r="AS711">
            <v>675</v>
          </cell>
        </row>
        <row r="712">
          <cell r="B712" t="str">
            <v>AC</v>
          </cell>
          <cell r="C712" t="str">
            <v>IMP</v>
          </cell>
          <cell r="D712" t="str">
            <v>BT</v>
          </cell>
          <cell r="E712" t="str">
            <v>P3</v>
          </cell>
          <cell r="F712">
            <v>39990</v>
          </cell>
          <cell r="G712">
            <v>40001</v>
          </cell>
          <cell r="H712" t="str">
            <v>960920</v>
          </cell>
          <cell r="I712">
            <v>0</v>
          </cell>
          <cell r="K712" t="str">
            <v>2 hole Punch Kit (PK-120A)</v>
          </cell>
          <cell r="L712">
            <v>775</v>
          </cell>
          <cell r="M712">
            <v>1148</v>
          </cell>
          <cell r="N712">
            <v>294</v>
          </cell>
          <cell r="O712">
            <v>3.4134615384615312E-2</v>
          </cell>
          <cell r="P712">
            <v>1248</v>
          </cell>
          <cell r="Q712">
            <v>1216.8800000000001</v>
          </cell>
          <cell r="R712">
            <v>1375.07</v>
          </cell>
          <cell r="S712">
            <v>1560</v>
          </cell>
          <cell r="T712">
            <v>0.22730769230769224</v>
          </cell>
          <cell r="W712">
            <v>249.9</v>
          </cell>
          <cell r="X712">
            <v>0.8</v>
          </cell>
          <cell r="Y712" t="str">
            <v>Act freight</v>
          </cell>
          <cell r="AA712">
            <v>2446</v>
          </cell>
          <cell r="AB712">
            <v>250</v>
          </cell>
          <cell r="AC712">
            <v>278</v>
          </cell>
          <cell r="AD712">
            <v>294</v>
          </cell>
          <cell r="AE712">
            <v>308.52</v>
          </cell>
          <cell r="AF712">
            <v>0.190003889537145</v>
          </cell>
          <cell r="AG712">
            <v>4.7063399455464741E-2</v>
          </cell>
          <cell r="AH712">
            <v>316</v>
          </cell>
          <cell r="AI712">
            <v>322</v>
          </cell>
          <cell r="AJ712">
            <v>0.22391304347826085</v>
          </cell>
          <cell r="AK712">
            <v>328</v>
          </cell>
          <cell r="AL712">
            <v>334</v>
          </cell>
          <cell r="AM712">
            <v>0.25179640718562873</v>
          </cell>
          <cell r="AN712">
            <v>380.66</v>
          </cell>
          <cell r="AO712">
            <v>427.32</v>
          </cell>
          <cell r="AP712">
            <v>473.98</v>
          </cell>
          <cell r="AQ712">
            <v>0</v>
          </cell>
          <cell r="AS712">
            <v>775</v>
          </cell>
        </row>
        <row r="713">
          <cell r="B713" t="str">
            <v>AC</v>
          </cell>
          <cell r="C713" t="str">
            <v>IMP</v>
          </cell>
          <cell r="D713" t="str">
            <v>BT</v>
          </cell>
          <cell r="E713" t="str">
            <v>P3</v>
          </cell>
          <cell r="F713">
            <v>39990</v>
          </cell>
          <cell r="G713">
            <v>40001</v>
          </cell>
          <cell r="H713" t="str">
            <v>960921</v>
          </cell>
          <cell r="I713">
            <v>0</v>
          </cell>
          <cell r="K713" t="str">
            <v>Graphics Arts Package S300 (IP-901 - ver. 1)</v>
          </cell>
          <cell r="L713">
            <v>5000</v>
          </cell>
          <cell r="M713">
            <v>0</v>
          </cell>
          <cell r="N713">
            <v>2575</v>
          </cell>
          <cell r="O713">
            <v>0</v>
          </cell>
          <cell r="P713">
            <v>0</v>
          </cell>
          <cell r="Q713">
            <v>0</v>
          </cell>
          <cell r="R713">
            <v>0</v>
          </cell>
          <cell r="S713">
            <v>0</v>
          </cell>
          <cell r="T713">
            <v>0</v>
          </cell>
          <cell r="U713">
            <v>18743</v>
          </cell>
          <cell r="V713">
            <v>1.653950808301766E-3</v>
          </cell>
          <cell r="W713">
            <v>2188.75</v>
          </cell>
          <cell r="X713">
            <v>0</v>
          </cell>
          <cell r="Y713">
            <v>0</v>
          </cell>
          <cell r="Z713">
            <v>500</v>
          </cell>
          <cell r="AA713">
            <v>0</v>
          </cell>
          <cell r="AB713">
            <v>2189</v>
          </cell>
          <cell r="AC713">
            <v>2432</v>
          </cell>
          <cell r="AD713">
            <v>2568</v>
          </cell>
          <cell r="AE713">
            <v>2702.16</v>
          </cell>
          <cell r="AF713">
            <v>0.18999985197027558</v>
          </cell>
          <cell r="AG713">
            <v>4.7058649376794812E-2</v>
          </cell>
          <cell r="AH713">
            <v>2757</v>
          </cell>
          <cell r="AI713">
            <v>2811</v>
          </cell>
          <cell r="AJ713">
            <v>0.22136250444681607</v>
          </cell>
          <cell r="AK713">
            <v>2865</v>
          </cell>
          <cell r="AL713">
            <v>2919</v>
          </cell>
          <cell r="AM713">
            <v>0.250171291538198</v>
          </cell>
          <cell r="AN713">
            <v>3329.22</v>
          </cell>
          <cell r="AO713">
            <v>3739.44</v>
          </cell>
          <cell r="AP713">
            <v>4149.66</v>
          </cell>
          <cell r="AQ713">
            <v>0</v>
          </cell>
          <cell r="AR713">
            <v>811</v>
          </cell>
          <cell r="AS713">
            <v>5000</v>
          </cell>
        </row>
        <row r="714">
          <cell r="B714" t="str">
            <v>AC</v>
          </cell>
          <cell r="C714" t="str">
            <v>IMP</v>
          </cell>
          <cell r="D714" t="str">
            <v>BT</v>
          </cell>
          <cell r="E714" t="str">
            <v>P3</v>
          </cell>
          <cell r="F714">
            <v>39990</v>
          </cell>
          <cell r="G714">
            <v>40001</v>
          </cell>
          <cell r="H714" t="str">
            <v>960922</v>
          </cell>
          <cell r="I714" t="str">
            <v>9KMBHPRO1050P_X</v>
          </cell>
          <cell r="K714" t="str">
            <v>Faci Kit (IP-901) Flat Panel Monitor, Keyboard</v>
          </cell>
          <cell r="L714">
            <v>3599</v>
          </cell>
          <cell r="N714">
            <v>1545</v>
          </cell>
          <cell r="O714">
            <v>0</v>
          </cell>
          <cell r="W714">
            <v>1313.25</v>
          </cell>
          <cell r="AA714">
            <v>0</v>
          </cell>
          <cell r="AB714">
            <v>1314</v>
          </cell>
          <cell r="AC714">
            <v>1460</v>
          </cell>
          <cell r="AD714">
            <v>1541</v>
          </cell>
          <cell r="AE714">
            <v>1621.3</v>
          </cell>
          <cell r="AF714">
            <v>0.19000185036698944</v>
          </cell>
          <cell r="AG714">
            <v>4.7061000431752271E-2</v>
          </cell>
          <cell r="AH714">
            <v>1655</v>
          </cell>
          <cell r="AI714">
            <v>1687</v>
          </cell>
          <cell r="AJ714">
            <v>0.22154712507409602</v>
          </cell>
          <cell r="AK714">
            <v>1719</v>
          </cell>
          <cell r="AL714">
            <v>1751</v>
          </cell>
          <cell r="AM714">
            <v>0.25</v>
          </cell>
          <cell r="AN714">
            <v>1997.23</v>
          </cell>
          <cell r="AO714">
            <v>2243.46</v>
          </cell>
          <cell r="AP714">
            <v>2489.69</v>
          </cell>
          <cell r="AQ714">
            <v>0</v>
          </cell>
          <cell r="AS714">
            <v>3599</v>
          </cell>
        </row>
        <row r="715">
          <cell r="B715" t="str">
            <v>AC</v>
          </cell>
          <cell r="C715" t="str">
            <v>IMP</v>
          </cell>
          <cell r="D715" t="str">
            <v>BT</v>
          </cell>
          <cell r="E715" t="str">
            <v>P3</v>
          </cell>
          <cell r="F715">
            <v>39990</v>
          </cell>
          <cell r="G715">
            <v>40001</v>
          </cell>
          <cell r="H715" t="str">
            <v>960923</v>
          </cell>
          <cell r="I715" t="str">
            <v>9KMBHPRO1050v2_X</v>
          </cell>
          <cell r="K715" t="str">
            <v>3 hole Punch Kit (PK-120)</v>
          </cell>
          <cell r="L715">
            <v>775</v>
          </cell>
          <cell r="N715">
            <v>250</v>
          </cell>
          <cell r="O715">
            <v>-0.17647058823529424</v>
          </cell>
          <cell r="W715">
            <v>212.5</v>
          </cell>
          <cell r="AA715">
            <v>428</v>
          </cell>
          <cell r="AB715">
            <v>213</v>
          </cell>
          <cell r="AC715">
            <v>237</v>
          </cell>
          <cell r="AD715">
            <v>250</v>
          </cell>
          <cell r="AE715">
            <v>262.35000000000002</v>
          </cell>
          <cell r="AF715">
            <v>0.19001334095673725</v>
          </cell>
          <cell r="AG715">
            <v>4.7074518772632065E-2</v>
          </cell>
          <cell r="AH715">
            <v>269</v>
          </cell>
          <cell r="AI715">
            <v>274</v>
          </cell>
          <cell r="AJ715">
            <v>0.22445255474452555</v>
          </cell>
          <cell r="AK715">
            <v>279</v>
          </cell>
          <cell r="AL715">
            <v>284</v>
          </cell>
          <cell r="AM715">
            <v>0.25176056338028169</v>
          </cell>
          <cell r="AN715">
            <v>323.68</v>
          </cell>
          <cell r="AO715">
            <v>363.36</v>
          </cell>
          <cell r="AP715">
            <v>403.04</v>
          </cell>
          <cell r="AQ715">
            <v>0</v>
          </cell>
          <cell r="AS715">
            <v>775</v>
          </cell>
        </row>
        <row r="716">
          <cell r="B716" t="str">
            <v>AC</v>
          </cell>
          <cell r="C716" t="str">
            <v>IMP</v>
          </cell>
          <cell r="D716" t="str">
            <v>BT</v>
          </cell>
          <cell r="E716" t="str">
            <v>P3</v>
          </cell>
          <cell r="F716">
            <v>39990</v>
          </cell>
          <cell r="G716">
            <v>40001</v>
          </cell>
          <cell r="H716" t="str">
            <v>1383312</v>
          </cell>
          <cell r="I716" t="str">
            <v>9KMBHPRO1050P_X</v>
          </cell>
          <cell r="K716" t="str">
            <v>Internet Fax and Network Scan Kit (SU-6)</v>
          </cell>
          <cell r="L716">
            <v>155</v>
          </cell>
          <cell r="N716">
            <v>63</v>
          </cell>
          <cell r="O716">
            <v>-0.17647058823529413</v>
          </cell>
          <cell r="W716">
            <v>53.55</v>
          </cell>
          <cell r="AA716">
            <v>329</v>
          </cell>
          <cell r="AB716">
            <v>54</v>
          </cell>
          <cell r="AC716">
            <v>60</v>
          </cell>
          <cell r="AD716">
            <v>64</v>
          </cell>
          <cell r="AE716">
            <v>66.11</v>
          </cell>
          <cell r="AF716">
            <v>0.18998638632582063</v>
          </cell>
          <cell r="AG716">
            <v>4.7042807442141878E-2</v>
          </cell>
          <cell r="AH716">
            <v>69</v>
          </cell>
          <cell r="AI716">
            <v>70</v>
          </cell>
          <cell r="AJ716">
            <v>0.23500000000000004</v>
          </cell>
          <cell r="AK716">
            <v>71</v>
          </cell>
          <cell r="AL716">
            <v>72</v>
          </cell>
          <cell r="AM716">
            <v>0.25625000000000003</v>
          </cell>
          <cell r="AN716">
            <v>81.89</v>
          </cell>
          <cell r="AO716">
            <v>91.78</v>
          </cell>
          <cell r="AP716">
            <v>101.67</v>
          </cell>
          <cell r="AQ716">
            <v>0</v>
          </cell>
          <cell r="AS716">
            <v>155</v>
          </cell>
        </row>
        <row r="717">
          <cell r="B717" t="str">
            <v>AC</v>
          </cell>
          <cell r="C717" t="str">
            <v>IMP</v>
          </cell>
          <cell r="D717" t="str">
            <v>BT</v>
          </cell>
          <cell r="E717" t="str">
            <v>P3</v>
          </cell>
          <cell r="F717">
            <v>39990</v>
          </cell>
          <cell r="G717">
            <v>40001</v>
          </cell>
          <cell r="H717" t="str">
            <v>1429001</v>
          </cell>
          <cell r="I717" t="str">
            <v>9KMBH750_N</v>
          </cell>
          <cell r="K717" t="str">
            <v>PS3 + Scan Kit for Pi6500e</v>
          </cell>
          <cell r="L717">
            <v>1500</v>
          </cell>
          <cell r="M717">
            <v>6304</v>
          </cell>
          <cell r="N717">
            <v>808</v>
          </cell>
          <cell r="O717">
            <v>-0.17647058823529424</v>
          </cell>
          <cell r="P717">
            <v>5572.7359999999999</v>
          </cell>
          <cell r="Q717">
            <v>6682.24</v>
          </cell>
          <cell r="R717">
            <v>7216.82</v>
          </cell>
          <cell r="S717">
            <v>11424</v>
          </cell>
          <cell r="T717">
            <v>0.42610644257703084</v>
          </cell>
          <cell r="U717">
            <v>7997</v>
          </cell>
          <cell r="V717">
            <v>0.18017256471176693</v>
          </cell>
          <cell r="W717">
            <v>686.8</v>
          </cell>
          <cell r="X717">
            <v>0.4878095238095238</v>
          </cell>
          <cell r="Y717">
            <v>250</v>
          </cell>
          <cell r="Z717">
            <v>300</v>
          </cell>
          <cell r="AA717">
            <v>428</v>
          </cell>
          <cell r="AB717">
            <v>687</v>
          </cell>
          <cell r="AC717">
            <v>764</v>
          </cell>
          <cell r="AD717">
            <v>806</v>
          </cell>
          <cell r="AE717">
            <v>847.9</v>
          </cell>
          <cell r="AF717">
            <v>0.18999882061563866</v>
          </cell>
          <cell r="AG717">
            <v>4.7057436018398367E-2</v>
          </cell>
          <cell r="AH717">
            <v>865</v>
          </cell>
          <cell r="AI717">
            <v>882</v>
          </cell>
          <cell r="AJ717">
            <v>0.22131519274376421</v>
          </cell>
          <cell r="AK717">
            <v>899</v>
          </cell>
          <cell r="AL717">
            <v>916</v>
          </cell>
          <cell r="AM717">
            <v>0.25021834061135378</v>
          </cell>
          <cell r="AN717">
            <v>1044.71</v>
          </cell>
          <cell r="AO717">
            <v>1173.42</v>
          </cell>
          <cell r="AP717">
            <v>1302.1300000000001</v>
          </cell>
          <cell r="AQ717">
            <v>0</v>
          </cell>
          <cell r="AR717">
            <v>352</v>
          </cell>
          <cell r="AS717">
            <v>1500</v>
          </cell>
        </row>
        <row r="718">
          <cell r="B718" t="str">
            <v>AC</v>
          </cell>
          <cell r="C718" t="str">
            <v>IMP</v>
          </cell>
          <cell r="D718" t="str">
            <v>BT</v>
          </cell>
          <cell r="E718" t="str">
            <v>P3</v>
          </cell>
          <cell r="F718">
            <v>39990</v>
          </cell>
          <cell r="G718">
            <v>40001</v>
          </cell>
          <cell r="H718" t="str">
            <v>1429002</v>
          </cell>
          <cell r="I718" t="str">
            <v>57AE-PM25</v>
          </cell>
          <cell r="K718" t="str">
            <v>PS3 Kit for Pi6500e</v>
          </cell>
          <cell r="L718">
            <v>1000</v>
          </cell>
          <cell r="M718">
            <v>95.452190476190481</v>
          </cell>
          <cell r="N718">
            <v>378</v>
          </cell>
          <cell r="O718">
            <v>-0.17647058823529407</v>
          </cell>
          <cell r="P718">
            <v>160</v>
          </cell>
          <cell r="Q718">
            <v>101.18</v>
          </cell>
          <cell r="R718">
            <v>109.27</v>
          </cell>
          <cell r="S718">
            <v>200</v>
          </cell>
          <cell r="T718">
            <v>0.49887599999999999</v>
          </cell>
          <cell r="W718">
            <v>321.3</v>
          </cell>
          <cell r="X718">
            <v>0.8</v>
          </cell>
          <cell r="Y718" t="str">
            <v>Act freight</v>
          </cell>
          <cell r="AA718">
            <v>95</v>
          </cell>
          <cell r="AB718">
            <v>322</v>
          </cell>
          <cell r="AC718">
            <v>357</v>
          </cell>
          <cell r="AD718">
            <v>377</v>
          </cell>
          <cell r="AE718">
            <v>396.67</v>
          </cell>
          <cell r="AF718">
            <v>0.19000680666549022</v>
          </cell>
          <cell r="AG718">
            <v>4.7066831371164984E-2</v>
          </cell>
          <cell r="AH718">
            <v>405</v>
          </cell>
          <cell r="AI718">
            <v>413</v>
          </cell>
          <cell r="AJ718">
            <v>0.22203389830508471</v>
          </cell>
          <cell r="AK718">
            <v>421</v>
          </cell>
          <cell r="AL718">
            <v>429</v>
          </cell>
          <cell r="AM718">
            <v>0.25104895104895103</v>
          </cell>
          <cell r="AN718">
            <v>489.09</v>
          </cell>
          <cell r="AO718">
            <v>549.17999999999995</v>
          </cell>
          <cell r="AP718">
            <v>609.27</v>
          </cell>
          <cell r="AQ718">
            <v>0</v>
          </cell>
          <cell r="AS718">
            <v>1000</v>
          </cell>
        </row>
        <row r="719">
          <cell r="B719" t="str">
            <v>AC</v>
          </cell>
          <cell r="C719" t="str">
            <v>IMP</v>
          </cell>
          <cell r="D719" t="str">
            <v>BT</v>
          </cell>
          <cell r="E719" t="str">
            <v>P3</v>
          </cell>
          <cell r="F719">
            <v>39990</v>
          </cell>
          <cell r="G719">
            <v>40001</v>
          </cell>
          <cell r="H719" t="str">
            <v>1429005</v>
          </cell>
          <cell r="K719" t="str">
            <v>PS3 + Scan Kit for Pi7200e</v>
          </cell>
          <cell r="L719">
            <v>1500</v>
          </cell>
          <cell r="M719">
            <v>6304</v>
          </cell>
          <cell r="N719">
            <v>808</v>
          </cell>
          <cell r="O719">
            <v>-0.1764705882352941</v>
          </cell>
          <cell r="P719">
            <v>5572.7359999999999</v>
          </cell>
          <cell r="Q719">
            <v>6682.24</v>
          </cell>
          <cell r="R719">
            <v>7216.82</v>
          </cell>
          <cell r="S719">
            <v>11424</v>
          </cell>
          <cell r="T719">
            <v>0.42610644257703084</v>
          </cell>
          <cell r="U719">
            <v>7997</v>
          </cell>
          <cell r="V719">
            <v>0.18017256471176693</v>
          </cell>
          <cell r="W719">
            <v>686.8</v>
          </cell>
          <cell r="X719">
            <v>0.4878095238095238</v>
          </cell>
          <cell r="Y719">
            <v>250</v>
          </cell>
          <cell r="Z719">
            <v>300</v>
          </cell>
          <cell r="AA719">
            <v>503</v>
          </cell>
          <cell r="AB719">
            <v>687</v>
          </cell>
          <cell r="AC719">
            <v>764</v>
          </cell>
          <cell r="AD719">
            <v>806</v>
          </cell>
          <cell r="AE719">
            <v>847.9</v>
          </cell>
          <cell r="AF719">
            <v>0.18999882061563866</v>
          </cell>
          <cell r="AG719">
            <v>4.7057436018398367E-2</v>
          </cell>
          <cell r="AH719">
            <v>865</v>
          </cell>
          <cell r="AI719">
            <v>882</v>
          </cell>
          <cell r="AJ719">
            <v>0.22131519274376421</v>
          </cell>
          <cell r="AK719">
            <v>899</v>
          </cell>
          <cell r="AL719">
            <v>916</v>
          </cell>
          <cell r="AM719">
            <v>0.25021834061135378</v>
          </cell>
          <cell r="AN719">
            <v>1044.71</v>
          </cell>
          <cell r="AO719">
            <v>1173.42</v>
          </cell>
          <cell r="AP719">
            <v>1302.1300000000001</v>
          </cell>
          <cell r="AQ719">
            <v>0</v>
          </cell>
          <cell r="AR719">
            <v>352</v>
          </cell>
          <cell r="AS719">
            <v>1500</v>
          </cell>
        </row>
        <row r="720">
          <cell r="B720" t="str">
            <v>AC</v>
          </cell>
          <cell r="C720" t="str">
            <v>IMP</v>
          </cell>
          <cell r="D720" t="str">
            <v>BT</v>
          </cell>
          <cell r="E720" t="str">
            <v>P3</v>
          </cell>
          <cell r="F720">
            <v>39990</v>
          </cell>
          <cell r="G720">
            <v>40001</v>
          </cell>
          <cell r="H720" t="str">
            <v>1475612</v>
          </cell>
          <cell r="I720" t="str">
            <v>9KMBH600_N</v>
          </cell>
          <cell r="K720" t="str">
            <v>Booklet Finisher (supports PK-5) (FN-10)</v>
          </cell>
          <cell r="L720">
            <v>4500</v>
          </cell>
          <cell r="M720">
            <v>5049</v>
          </cell>
          <cell r="N720">
            <v>1975</v>
          </cell>
          <cell r="O720">
            <v>-0.17647058823529421</v>
          </cell>
          <cell r="P720">
            <v>4463.3159999999998</v>
          </cell>
          <cell r="Q720">
            <v>5351.94</v>
          </cell>
          <cell r="R720">
            <v>5780.1</v>
          </cell>
          <cell r="S720">
            <v>8935.5</v>
          </cell>
          <cell r="T720">
            <v>0.41234849756588887</v>
          </cell>
          <cell r="U720">
            <v>6255</v>
          </cell>
          <cell r="V720">
            <v>0.16051798561151079</v>
          </cell>
          <cell r="W720">
            <v>1678.75</v>
          </cell>
          <cell r="X720">
            <v>0.49950377706899446</v>
          </cell>
          <cell r="Y720">
            <v>250</v>
          </cell>
          <cell r="Z720">
            <v>300</v>
          </cell>
          <cell r="AA720">
            <v>187</v>
          </cell>
          <cell r="AB720">
            <v>1679</v>
          </cell>
          <cell r="AC720">
            <v>1866</v>
          </cell>
          <cell r="AD720">
            <v>1970</v>
          </cell>
          <cell r="AE720">
            <v>2072.5300000000002</v>
          </cell>
          <cell r="AF720">
            <v>0.18999966224855619</v>
          </cell>
          <cell r="AG720">
            <v>4.7058426174771989E-2</v>
          </cell>
          <cell r="AH720">
            <v>2115</v>
          </cell>
          <cell r="AI720">
            <v>2156</v>
          </cell>
          <cell r="AJ720">
            <v>0.22135899814471244</v>
          </cell>
          <cell r="AK720">
            <v>2197.5</v>
          </cell>
          <cell r="AL720">
            <v>2239</v>
          </cell>
          <cell r="AM720">
            <v>0.25022331397945513</v>
          </cell>
          <cell r="AN720">
            <v>2553.6</v>
          </cell>
          <cell r="AO720">
            <v>2868.2</v>
          </cell>
          <cell r="AP720">
            <v>3182.8</v>
          </cell>
          <cell r="AQ720">
            <v>0</v>
          </cell>
          <cell r="AR720">
            <v>352</v>
          </cell>
          <cell r="AS720">
            <v>4500</v>
          </cell>
        </row>
        <row r="721">
          <cell r="B721" t="str">
            <v>AC</v>
          </cell>
          <cell r="C721" t="str">
            <v>IMP</v>
          </cell>
          <cell r="D721" t="str">
            <v>BT</v>
          </cell>
          <cell r="E721" t="str">
            <v>P3</v>
          </cell>
          <cell r="F721">
            <v>39990</v>
          </cell>
          <cell r="G721">
            <v>40001</v>
          </cell>
          <cell r="H721" t="str">
            <v>1477612</v>
          </cell>
          <cell r="K721" t="str">
            <v>Shift Tray (OT-104)</v>
          </cell>
          <cell r="L721">
            <v>800</v>
          </cell>
          <cell r="M721">
            <v>5049</v>
          </cell>
          <cell r="N721">
            <v>266</v>
          </cell>
          <cell r="O721">
            <v>-0.1764705882352941</v>
          </cell>
          <cell r="P721">
            <v>4463.3159999999998</v>
          </cell>
          <cell r="Q721">
            <v>5351.94</v>
          </cell>
          <cell r="R721">
            <v>5780.1</v>
          </cell>
          <cell r="S721">
            <v>8935.5</v>
          </cell>
          <cell r="T721">
            <v>0.41234849756588887</v>
          </cell>
          <cell r="U721">
            <v>6255</v>
          </cell>
          <cell r="V721">
            <v>0.16051798561151079</v>
          </cell>
          <cell r="W721">
            <v>226.1</v>
          </cell>
          <cell r="X721">
            <v>0.49950377706899446</v>
          </cell>
          <cell r="Y721">
            <v>250</v>
          </cell>
          <cell r="Z721">
            <v>300</v>
          </cell>
          <cell r="AA721">
            <v>615</v>
          </cell>
          <cell r="AB721">
            <v>227</v>
          </cell>
          <cell r="AC721">
            <v>252</v>
          </cell>
          <cell r="AD721">
            <v>266</v>
          </cell>
          <cell r="AE721">
            <v>279.14</v>
          </cell>
          <cell r="AF721">
            <v>0.19001218026796587</v>
          </cell>
          <cell r="AG721">
            <v>4.7073153256430418E-2</v>
          </cell>
          <cell r="AH721">
            <v>286</v>
          </cell>
          <cell r="AI721">
            <v>291</v>
          </cell>
          <cell r="AJ721">
            <v>0.22302405498281788</v>
          </cell>
          <cell r="AK721">
            <v>296.5</v>
          </cell>
          <cell r="AL721">
            <v>302</v>
          </cell>
          <cell r="AM721">
            <v>0.25132450331125827</v>
          </cell>
          <cell r="AN721">
            <v>344.26</v>
          </cell>
          <cell r="AO721">
            <v>386.52</v>
          </cell>
          <cell r="AP721">
            <v>428.78</v>
          </cell>
          <cell r="AQ721">
            <v>0</v>
          </cell>
          <cell r="AR721">
            <v>352</v>
          </cell>
          <cell r="AS721">
            <v>800</v>
          </cell>
        </row>
        <row r="722">
          <cell r="B722" t="str">
            <v>AC</v>
          </cell>
          <cell r="C722" t="str">
            <v>IMP</v>
          </cell>
          <cell r="D722" t="str">
            <v>BT</v>
          </cell>
          <cell r="E722" t="str">
            <v>P3</v>
          </cell>
          <cell r="F722">
            <v>39990</v>
          </cell>
          <cell r="G722">
            <v>40001</v>
          </cell>
          <cell r="H722" t="str">
            <v>4048612</v>
          </cell>
          <cell r="I722" t="str">
            <v>TBD</v>
          </cell>
          <cell r="K722" t="str">
            <v>AFR-19 Kit</v>
          </cell>
          <cell r="L722">
            <v>50</v>
          </cell>
          <cell r="M722">
            <v>64.095238095238088</v>
          </cell>
          <cell r="N722">
            <v>17</v>
          </cell>
          <cell r="O722">
            <v>-0.17647058823529421</v>
          </cell>
          <cell r="P722">
            <v>132</v>
          </cell>
          <cell r="Q722">
            <v>67.94</v>
          </cell>
          <cell r="R722">
            <v>73.38</v>
          </cell>
          <cell r="S722">
            <v>165</v>
          </cell>
          <cell r="T722">
            <v>0.59212121212121216</v>
          </cell>
          <cell r="W722">
            <v>14.45</v>
          </cell>
          <cell r="X722">
            <v>0.8</v>
          </cell>
          <cell r="Y722" t="str">
            <v>Act freight</v>
          </cell>
          <cell r="AA722">
            <v>30</v>
          </cell>
          <cell r="AB722">
            <v>15</v>
          </cell>
          <cell r="AC722">
            <v>17</v>
          </cell>
          <cell r="AD722">
            <v>18</v>
          </cell>
          <cell r="AE722">
            <v>17.84</v>
          </cell>
          <cell r="AF722">
            <v>0.1900224215246637</v>
          </cell>
          <cell r="AG722">
            <v>4.7085201793721963E-2</v>
          </cell>
          <cell r="AH722">
            <v>19</v>
          </cell>
          <cell r="AI722">
            <v>19</v>
          </cell>
          <cell r="AJ722">
            <v>0.23947368421052637</v>
          </cell>
          <cell r="AK722">
            <v>19.5</v>
          </cell>
          <cell r="AL722">
            <v>20</v>
          </cell>
          <cell r="AM722">
            <v>0.27750000000000002</v>
          </cell>
          <cell r="AN722">
            <v>22.53</v>
          </cell>
          <cell r="AO722">
            <v>25.06</v>
          </cell>
          <cell r="AP722">
            <v>27.59</v>
          </cell>
          <cell r="AQ722">
            <v>0</v>
          </cell>
          <cell r="AS722">
            <v>50</v>
          </cell>
        </row>
        <row r="723">
          <cell r="B723" t="str">
            <v>AC</v>
          </cell>
          <cell r="C723" t="str">
            <v>IMP</v>
          </cell>
          <cell r="D723" t="str">
            <v>BT</v>
          </cell>
          <cell r="E723" t="str">
            <v>P3</v>
          </cell>
          <cell r="F723">
            <v>39990</v>
          </cell>
          <cell r="G723">
            <v>40001</v>
          </cell>
          <cell r="H723" t="str">
            <v>4052612</v>
          </cell>
          <cell r="I723" t="str">
            <v>9KMBHPRO920_N</v>
          </cell>
          <cell r="K723" t="str">
            <v>Embedded Print Controller (Pi7200e)</v>
          </cell>
          <cell r="L723">
            <v>2450</v>
          </cell>
          <cell r="M723">
            <v>9078</v>
          </cell>
          <cell r="N723">
            <v>1308</v>
          </cell>
          <cell r="O723">
            <v>-0.1764705882352941</v>
          </cell>
          <cell r="P723">
            <v>8024.9520000000002</v>
          </cell>
          <cell r="Q723">
            <v>9622.68</v>
          </cell>
          <cell r="R723">
            <v>10392.49</v>
          </cell>
          <cell r="S723">
            <v>16039.8</v>
          </cell>
          <cell r="T723">
            <v>0.41139415703437693</v>
          </cell>
          <cell r="U723">
            <v>11228</v>
          </cell>
          <cell r="V723">
            <v>0.15914499465621654</v>
          </cell>
          <cell r="W723">
            <v>1111.8</v>
          </cell>
          <cell r="X723">
            <v>0.50031496652077956</v>
          </cell>
          <cell r="Y723">
            <v>250</v>
          </cell>
          <cell r="Z723">
            <v>500</v>
          </cell>
          <cell r="AA723">
            <v>64</v>
          </cell>
          <cell r="AB723">
            <v>1112</v>
          </cell>
          <cell r="AC723">
            <v>1236</v>
          </cell>
          <cell r="AD723">
            <v>1305</v>
          </cell>
          <cell r="AE723">
            <v>1372.59</v>
          </cell>
          <cell r="AF723">
            <v>0.18999847004568005</v>
          </cell>
          <cell r="AG723">
            <v>4.705702358315296E-2</v>
          </cell>
          <cell r="AH723">
            <v>1401</v>
          </cell>
          <cell r="AI723">
            <v>1428</v>
          </cell>
          <cell r="AJ723">
            <v>0.22142857142857145</v>
          </cell>
          <cell r="AK723">
            <v>1455.5</v>
          </cell>
          <cell r="AL723">
            <v>1483</v>
          </cell>
          <cell r="AM723">
            <v>0.25030343897505059</v>
          </cell>
          <cell r="AN723">
            <v>1691.31</v>
          </cell>
          <cell r="AO723">
            <v>1899.62</v>
          </cell>
          <cell r="AP723">
            <v>2107.9299999999998</v>
          </cell>
          <cell r="AQ723">
            <v>0</v>
          </cell>
          <cell r="AR723">
            <v>506</v>
          </cell>
          <cell r="AS723">
            <v>2450</v>
          </cell>
        </row>
        <row r="724">
          <cell r="B724" t="str">
            <v>AC</v>
          </cell>
          <cell r="C724" t="str">
            <v>IMP</v>
          </cell>
          <cell r="D724" t="str">
            <v>BT</v>
          </cell>
          <cell r="E724" t="str">
            <v>P3</v>
          </cell>
          <cell r="F724">
            <v>39990</v>
          </cell>
          <cell r="G724">
            <v>40001</v>
          </cell>
          <cell r="H724" t="str">
            <v>4054612</v>
          </cell>
          <cell r="I724" t="str">
            <v>9KMBHPRO920GSA_N</v>
          </cell>
          <cell r="K724" t="str">
            <v>Security Kit for Di2010-Di3510 series</v>
          </cell>
          <cell r="L724">
            <v>400</v>
          </cell>
          <cell r="M724">
            <v>9078</v>
          </cell>
          <cell r="N724">
            <v>132</v>
          </cell>
          <cell r="O724">
            <v>-0.17647058823529424</v>
          </cell>
          <cell r="P724">
            <v>8024.9520000000002</v>
          </cell>
          <cell r="Q724">
            <v>9622.68</v>
          </cell>
          <cell r="R724">
            <v>10392.49</v>
          </cell>
          <cell r="S724">
            <v>16039.8</v>
          </cell>
          <cell r="T724">
            <v>0.41139415703437693</v>
          </cell>
          <cell r="U724">
            <v>11228</v>
          </cell>
          <cell r="V724">
            <v>0.15914499465621654</v>
          </cell>
          <cell r="W724">
            <v>112.2</v>
          </cell>
          <cell r="X724">
            <v>0.50031496652077956</v>
          </cell>
          <cell r="Y724">
            <v>250</v>
          </cell>
          <cell r="Z724">
            <v>500</v>
          </cell>
          <cell r="AA724">
            <v>182</v>
          </cell>
          <cell r="AB724">
            <v>113</v>
          </cell>
          <cell r="AC724">
            <v>125</v>
          </cell>
          <cell r="AD724">
            <v>132</v>
          </cell>
          <cell r="AE724">
            <v>138.52000000000001</v>
          </cell>
          <cell r="AF724">
            <v>0.19000866300895181</v>
          </cell>
          <cell r="AG724">
            <v>4.7069015304649221E-2</v>
          </cell>
          <cell r="AH724">
            <v>142</v>
          </cell>
          <cell r="AI724">
            <v>145</v>
          </cell>
          <cell r="AJ724">
            <v>0.22620689655172413</v>
          </cell>
          <cell r="AK724">
            <v>147.5</v>
          </cell>
          <cell r="AL724">
            <v>150</v>
          </cell>
          <cell r="AM724">
            <v>0.252</v>
          </cell>
          <cell r="AN724">
            <v>170.94</v>
          </cell>
          <cell r="AO724">
            <v>191.88</v>
          </cell>
          <cell r="AP724">
            <v>212.82</v>
          </cell>
          <cell r="AQ724">
            <v>0</v>
          </cell>
          <cell r="AR724">
            <v>506</v>
          </cell>
          <cell r="AS724">
            <v>400</v>
          </cell>
        </row>
        <row r="725">
          <cell r="B725" t="str">
            <v>AC</v>
          </cell>
          <cell r="C725" t="str">
            <v>IMP</v>
          </cell>
          <cell r="D725" t="str">
            <v>BT</v>
          </cell>
          <cell r="E725" t="str">
            <v>P3</v>
          </cell>
          <cell r="F725">
            <v>39990</v>
          </cell>
          <cell r="G725">
            <v>40001</v>
          </cell>
          <cell r="H725" t="str">
            <v>4060612</v>
          </cell>
          <cell r="I725">
            <v>0</v>
          </cell>
          <cell r="J725" t="str">
            <v>NLA</v>
          </cell>
          <cell r="K725" t="str">
            <v>(IC-402) Embedded EFI Fiery Controller - Includes 256MB Memory and SPOT-ON</v>
          </cell>
          <cell r="L725">
            <v>3950</v>
          </cell>
          <cell r="M725">
            <v>13107</v>
          </cell>
          <cell r="N725">
            <v>2215</v>
          </cell>
          <cell r="O725">
            <v>-0.17647058823529424</v>
          </cell>
          <cell r="P725">
            <v>11586.588</v>
          </cell>
          <cell r="Q725">
            <v>13893.42</v>
          </cell>
          <cell r="R725">
            <v>15004.89</v>
          </cell>
          <cell r="S725">
            <v>26775</v>
          </cell>
          <cell r="T725">
            <v>0.49089523809523805</v>
          </cell>
          <cell r="U725">
            <v>18743</v>
          </cell>
          <cell r="V725">
            <v>0.27272688470362266</v>
          </cell>
          <cell r="W725">
            <v>1882.75</v>
          </cell>
          <cell r="X725">
            <v>0.43273904761904763</v>
          </cell>
          <cell r="Y725">
            <v>800</v>
          </cell>
          <cell r="Z725">
            <v>500</v>
          </cell>
          <cell r="AA725">
            <v>53</v>
          </cell>
          <cell r="AB725">
            <v>1883</v>
          </cell>
          <cell r="AC725">
            <v>2092</v>
          </cell>
          <cell r="AD725">
            <v>2209</v>
          </cell>
          <cell r="AE725">
            <v>2324.38</v>
          </cell>
          <cell r="AF725">
            <v>0.18999905351104385</v>
          </cell>
          <cell r="AG725">
            <v>4.7057710012992755E-2</v>
          </cell>
          <cell r="AH725">
            <v>2372</v>
          </cell>
          <cell r="AI725">
            <v>2418</v>
          </cell>
          <cell r="AJ725">
            <v>0.22136062861869313</v>
          </cell>
          <cell r="AK725">
            <v>2464.5</v>
          </cell>
          <cell r="AL725">
            <v>2511</v>
          </cell>
          <cell r="AM725">
            <v>0.25019912385503784</v>
          </cell>
          <cell r="AN725">
            <v>2863.85</v>
          </cell>
          <cell r="AO725">
            <v>3216.7</v>
          </cell>
          <cell r="AP725">
            <v>3569.55</v>
          </cell>
          <cell r="AQ725">
            <v>0</v>
          </cell>
          <cell r="AR725">
            <v>811</v>
          </cell>
          <cell r="AS725">
            <v>3950</v>
          </cell>
        </row>
        <row r="726">
          <cell r="B726" t="str">
            <v>AC</v>
          </cell>
          <cell r="C726" t="str">
            <v>IMP</v>
          </cell>
          <cell r="D726" t="str">
            <v>BT</v>
          </cell>
          <cell r="E726" t="str">
            <v>P3</v>
          </cell>
          <cell r="F726">
            <v>39990</v>
          </cell>
          <cell r="G726">
            <v>40001</v>
          </cell>
          <cell r="H726" t="str">
            <v>4060622</v>
          </cell>
          <cell r="I726" t="str">
            <v>9KMBHPRO1050EGSA_N</v>
          </cell>
          <cell r="J726">
            <v>0</v>
          </cell>
          <cell r="K726" t="str">
            <v>(IC-402) Embedded EFI Fiery Controller - Includes 256MB Memory and SPOT-ON</v>
          </cell>
          <cell r="L726">
            <v>3950</v>
          </cell>
          <cell r="M726">
            <v>13107</v>
          </cell>
          <cell r="N726">
            <v>2214.5</v>
          </cell>
          <cell r="O726">
            <v>-0.17647058823529416</v>
          </cell>
          <cell r="P726">
            <v>18742.5</v>
          </cell>
          <cell r="Q726">
            <v>13893.42</v>
          </cell>
          <cell r="R726">
            <v>15004.89</v>
          </cell>
          <cell r="S726">
            <v>26775</v>
          </cell>
          <cell r="T726">
            <v>0.49089523809523805</v>
          </cell>
          <cell r="U726">
            <v>18743</v>
          </cell>
          <cell r="V726">
            <v>0.27272688470362266</v>
          </cell>
          <cell r="W726">
            <v>1882.325</v>
          </cell>
          <cell r="X726">
            <v>0.7</v>
          </cell>
          <cell r="Y726">
            <v>800</v>
          </cell>
          <cell r="Z726">
            <v>500</v>
          </cell>
          <cell r="AA726">
            <v>139</v>
          </cell>
          <cell r="AB726">
            <v>1883</v>
          </cell>
          <cell r="AC726">
            <v>2092</v>
          </cell>
          <cell r="AD726">
            <v>2208</v>
          </cell>
          <cell r="AE726">
            <v>2323.86</v>
          </cell>
          <cell r="AF726">
            <v>0.19000068850963486</v>
          </cell>
          <cell r="AG726">
            <v>4.7059633540746916E-2</v>
          </cell>
          <cell r="AH726">
            <v>2371</v>
          </cell>
          <cell r="AI726">
            <v>2417</v>
          </cell>
          <cell r="AJ726">
            <v>0.22121431526685972</v>
          </cell>
          <cell r="AK726">
            <v>2463.5</v>
          </cell>
          <cell r="AL726">
            <v>2510</v>
          </cell>
          <cell r="AM726">
            <v>0.25006972111553782</v>
          </cell>
          <cell r="AN726">
            <v>2862.88</v>
          </cell>
          <cell r="AO726">
            <v>3215.76</v>
          </cell>
          <cell r="AP726">
            <v>3568.64</v>
          </cell>
          <cell r="AQ726">
            <v>0</v>
          </cell>
          <cell r="AR726">
            <v>811</v>
          </cell>
          <cell r="AS726">
            <v>3950</v>
          </cell>
        </row>
        <row r="727">
          <cell r="B727" t="str">
            <v>AC</v>
          </cell>
          <cell r="C727" t="str">
            <v>IMP</v>
          </cell>
          <cell r="D727" t="str">
            <v>BT</v>
          </cell>
          <cell r="E727" t="str">
            <v>P3</v>
          </cell>
          <cell r="F727">
            <v>39990</v>
          </cell>
          <cell r="G727">
            <v>40001</v>
          </cell>
          <cell r="H727" t="str">
            <v>4066611</v>
          </cell>
          <cell r="I727" t="str">
            <v>9KMBHPRO1050EP_N</v>
          </cell>
          <cell r="J727" t="str">
            <v>x</v>
          </cell>
          <cell r="K727" t="str">
            <v>AD-503 (Duplex Unit)</v>
          </cell>
          <cell r="L727">
            <v>455</v>
          </cell>
          <cell r="M727">
            <v>12750</v>
          </cell>
          <cell r="N727">
            <v>224</v>
          </cell>
          <cell r="O727">
            <v>-0.17647058823529424</v>
          </cell>
          <cell r="P727">
            <v>11271</v>
          </cell>
          <cell r="Q727">
            <v>13515</v>
          </cell>
          <cell r="R727">
            <v>14596.2</v>
          </cell>
          <cell r="S727">
            <v>23625</v>
          </cell>
          <cell r="T727">
            <v>0.43873015873015875</v>
          </cell>
          <cell r="U727">
            <v>16538</v>
          </cell>
          <cell r="V727">
            <v>0.19821018260974724</v>
          </cell>
          <cell r="W727">
            <v>190.4</v>
          </cell>
          <cell r="X727">
            <v>0.4770793650793651</v>
          </cell>
          <cell r="Y727">
            <v>800</v>
          </cell>
          <cell r="Z727">
            <v>500</v>
          </cell>
          <cell r="AA727">
            <v>53</v>
          </cell>
          <cell r="AB727">
            <v>191</v>
          </cell>
          <cell r="AC727">
            <v>212</v>
          </cell>
          <cell r="AD727">
            <v>224</v>
          </cell>
          <cell r="AE727">
            <v>235.06</v>
          </cell>
          <cell r="AF727">
            <v>0.18999404407385348</v>
          </cell>
          <cell r="AG727">
            <v>4.7051816557474695E-2</v>
          </cell>
          <cell r="AH727">
            <v>241</v>
          </cell>
          <cell r="AI727">
            <v>245</v>
          </cell>
          <cell r="AJ727">
            <v>0.22285714285714284</v>
          </cell>
          <cell r="AK727">
            <v>249.5</v>
          </cell>
          <cell r="AL727">
            <v>254</v>
          </cell>
          <cell r="AM727">
            <v>0.25039370078740153</v>
          </cell>
          <cell r="AN727">
            <v>289.67</v>
          </cell>
          <cell r="AO727">
            <v>325.33999999999997</v>
          </cell>
          <cell r="AP727">
            <v>361.01</v>
          </cell>
          <cell r="AQ727">
            <v>0</v>
          </cell>
          <cell r="AR727">
            <v>811</v>
          </cell>
          <cell r="AS727">
            <v>455</v>
          </cell>
        </row>
        <row r="728">
          <cell r="B728" t="str">
            <v>AC</v>
          </cell>
          <cell r="C728" t="str">
            <v>IMP</v>
          </cell>
          <cell r="D728" t="str">
            <v>BT</v>
          </cell>
          <cell r="E728" t="str">
            <v>P3</v>
          </cell>
          <cell r="F728">
            <v>39990</v>
          </cell>
          <cell r="G728">
            <v>40001</v>
          </cell>
          <cell r="H728" t="str">
            <v>4334612</v>
          </cell>
          <cell r="K728" t="str">
            <v>CN3101e Print Controller (Minolta)</v>
          </cell>
          <cell r="L728">
            <v>3800</v>
          </cell>
          <cell r="M728">
            <v>10260</v>
          </cell>
          <cell r="N728">
            <v>821</v>
          </cell>
          <cell r="O728">
            <v>-0.17647058823529413</v>
          </cell>
          <cell r="S728">
            <v>15050</v>
          </cell>
          <cell r="W728">
            <v>697.85</v>
          </cell>
          <cell r="AA728">
            <v>1059</v>
          </cell>
          <cell r="AB728">
            <v>698</v>
          </cell>
          <cell r="AC728">
            <v>776</v>
          </cell>
          <cell r="AD728">
            <v>819</v>
          </cell>
          <cell r="AE728">
            <v>861.54</v>
          </cell>
          <cell r="AF728">
            <v>0.18999698214824609</v>
          </cell>
          <cell r="AG728">
            <v>4.7055273115583683E-2</v>
          </cell>
          <cell r="AH728">
            <v>880</v>
          </cell>
          <cell r="AI728">
            <v>897</v>
          </cell>
          <cell r="AJ728">
            <v>0.22201783723522853</v>
          </cell>
          <cell r="AK728">
            <v>914</v>
          </cell>
          <cell r="AL728">
            <v>931</v>
          </cell>
          <cell r="AM728">
            <v>0.25042964554242747</v>
          </cell>
          <cell r="AN728">
            <v>1061.71</v>
          </cell>
          <cell r="AO728">
            <v>1192.42</v>
          </cell>
          <cell r="AP728">
            <v>1323.13</v>
          </cell>
          <cell r="AQ728">
            <v>0</v>
          </cell>
          <cell r="AS728">
            <v>3800</v>
          </cell>
        </row>
        <row r="729">
          <cell r="B729" t="str">
            <v>AC</v>
          </cell>
          <cell r="C729" t="str">
            <v>IMP</v>
          </cell>
          <cell r="D729" t="str">
            <v>BT</v>
          </cell>
          <cell r="E729" t="str">
            <v>P3</v>
          </cell>
          <cell r="F729">
            <v>39990</v>
          </cell>
          <cell r="G729">
            <v>40001</v>
          </cell>
          <cell r="H729" t="str">
            <v>4335712</v>
          </cell>
          <cell r="K729" t="str">
            <v>CN3102 Pro (Fiery S-300 External Print Controller V2.0) - CF3102 ONLY</v>
          </cell>
          <cell r="L729">
            <v>19500</v>
          </cell>
          <cell r="M729">
            <v>20760</v>
          </cell>
          <cell r="N729">
            <v>11387</v>
          </cell>
          <cell r="O729">
            <v>-0.17647058823529418</v>
          </cell>
          <cell r="S729">
            <v>32275</v>
          </cell>
          <cell r="W729">
            <v>9678.9499999999989</v>
          </cell>
          <cell r="AA729">
            <v>30</v>
          </cell>
          <cell r="AB729">
            <v>9679</v>
          </cell>
          <cell r="AC729">
            <v>10755</v>
          </cell>
          <cell r="AD729">
            <v>11353</v>
          </cell>
          <cell r="AE729">
            <v>11949.32</v>
          </cell>
          <cell r="AF729">
            <v>0.18999993305058371</v>
          </cell>
          <cell r="AG729">
            <v>4.7058744765392485E-2</v>
          </cell>
          <cell r="AH729">
            <v>12189</v>
          </cell>
          <cell r="AI729">
            <v>12428</v>
          </cell>
          <cell r="AJ729">
            <v>0.22119810106211787</v>
          </cell>
          <cell r="AK729">
            <v>12667</v>
          </cell>
          <cell r="AL729">
            <v>12906</v>
          </cell>
          <cell r="AM729">
            <v>0.25004261583759502</v>
          </cell>
          <cell r="AN729">
            <v>14554.5</v>
          </cell>
          <cell r="AO729">
            <v>16203</v>
          </cell>
          <cell r="AP729">
            <v>17851.5</v>
          </cell>
          <cell r="AQ729">
            <v>0</v>
          </cell>
          <cell r="AS729">
            <v>19500</v>
          </cell>
        </row>
        <row r="730">
          <cell r="B730" t="str">
            <v>AC</v>
          </cell>
          <cell r="C730" t="str">
            <v>IMP</v>
          </cell>
          <cell r="D730" t="str">
            <v>BT</v>
          </cell>
          <cell r="E730" t="str">
            <v>P3</v>
          </cell>
          <cell r="F730">
            <v>39990</v>
          </cell>
          <cell r="G730">
            <v>40001</v>
          </cell>
          <cell r="H730" t="str">
            <v>4336812</v>
          </cell>
          <cell r="I730" t="str">
            <v>NLA</v>
          </cell>
          <cell r="K730" t="str">
            <v>CN3102e Print Controller (EFI) x3e 2.0  MFP or P Version</v>
          </cell>
          <cell r="L730">
            <v>3950</v>
          </cell>
          <cell r="M730">
            <v>10260</v>
          </cell>
          <cell r="N730">
            <v>2232</v>
          </cell>
          <cell r="O730">
            <v>-0.17647058823529421</v>
          </cell>
          <cell r="P730">
            <v>4534.92</v>
          </cell>
          <cell r="Q730">
            <v>10875.6</v>
          </cell>
          <cell r="R730">
            <v>11745.65</v>
          </cell>
          <cell r="S730">
            <v>15050</v>
          </cell>
          <cell r="T730">
            <v>0.64550166112956808</v>
          </cell>
          <cell r="U730">
            <v>10535</v>
          </cell>
          <cell r="V730">
            <v>0.49357380161366876</v>
          </cell>
          <cell r="W730">
            <v>1897.2</v>
          </cell>
          <cell r="AA730">
            <v>198</v>
          </cell>
          <cell r="AB730">
            <v>1898</v>
          </cell>
          <cell r="AC730">
            <v>2108</v>
          </cell>
          <cell r="AD730">
            <v>2226</v>
          </cell>
          <cell r="AE730">
            <v>2342.2199999999998</v>
          </cell>
          <cell r="AF730">
            <v>0.18999923149832201</v>
          </cell>
          <cell r="AG730">
            <v>4.7057919409790629E-2</v>
          </cell>
          <cell r="AH730">
            <v>2390</v>
          </cell>
          <cell r="AI730">
            <v>2437</v>
          </cell>
          <cell r="AJ730">
            <v>0.22150184653262206</v>
          </cell>
          <cell r="AK730">
            <v>2483.5</v>
          </cell>
          <cell r="AL730">
            <v>2530</v>
          </cell>
          <cell r="AM730">
            <v>0.25011857707509877</v>
          </cell>
          <cell r="AN730">
            <v>2885</v>
          </cell>
          <cell r="AO730">
            <v>3240</v>
          </cell>
          <cell r="AP730">
            <v>3595</v>
          </cell>
          <cell r="AQ730">
            <v>0</v>
          </cell>
          <cell r="AS730">
            <v>3950</v>
          </cell>
        </row>
        <row r="731">
          <cell r="B731" t="str">
            <v>AC</v>
          </cell>
          <cell r="C731" t="str">
            <v>IMP</v>
          </cell>
          <cell r="D731" t="str">
            <v>BT</v>
          </cell>
          <cell r="E731" t="str">
            <v>P3</v>
          </cell>
          <cell r="F731">
            <v>39990</v>
          </cell>
          <cell r="G731">
            <v>40001</v>
          </cell>
          <cell r="H731" t="str">
            <v>4339611</v>
          </cell>
          <cell r="I731">
            <v>0</v>
          </cell>
          <cell r="K731" t="str">
            <v>Copier Stand CS-2 (must be included)</v>
          </cell>
          <cell r="L731">
            <v>275</v>
          </cell>
          <cell r="N731">
            <v>134</v>
          </cell>
          <cell r="O731">
            <v>-0.17647058823529416</v>
          </cell>
          <cell r="W731">
            <v>113.89999999999999</v>
          </cell>
          <cell r="AA731">
            <v>424</v>
          </cell>
          <cell r="AB731">
            <v>114</v>
          </cell>
          <cell r="AC731">
            <v>127</v>
          </cell>
          <cell r="AD731">
            <v>134</v>
          </cell>
          <cell r="AE731">
            <v>140.62</v>
          </cell>
          <cell r="AF731">
            <v>0.19001564500071122</v>
          </cell>
          <cell r="AG731">
            <v>4.7077229412601368E-2</v>
          </cell>
          <cell r="AH731">
            <v>144</v>
          </cell>
          <cell r="AI731">
            <v>147</v>
          </cell>
          <cell r="AJ731">
            <v>0.22517006802721093</v>
          </cell>
          <cell r="AK731">
            <v>149.5</v>
          </cell>
          <cell r="AL731">
            <v>152</v>
          </cell>
          <cell r="AM731">
            <v>0.25065789473684214</v>
          </cell>
          <cell r="AN731">
            <v>173.32</v>
          </cell>
          <cell r="AO731">
            <v>194.64</v>
          </cell>
          <cell r="AP731">
            <v>215.96</v>
          </cell>
          <cell r="AQ731">
            <v>0</v>
          </cell>
          <cell r="AS731">
            <v>275</v>
          </cell>
        </row>
        <row r="732">
          <cell r="B732" t="str">
            <v>AC</v>
          </cell>
          <cell r="C732" t="str">
            <v>IMP</v>
          </cell>
          <cell r="D732" t="str">
            <v>BT</v>
          </cell>
          <cell r="E732" t="str">
            <v>P3</v>
          </cell>
          <cell r="F732">
            <v>39990</v>
          </cell>
          <cell r="G732">
            <v>40001</v>
          </cell>
          <cell r="H732" t="str">
            <v>4340612</v>
          </cell>
          <cell r="K732" t="str">
            <v>Fiery Print Controller (Pi8500)</v>
          </cell>
          <cell r="L732">
            <v>6400</v>
          </cell>
          <cell r="N732">
            <v>3439</v>
          </cell>
          <cell r="O732">
            <v>-0.17647058823529416</v>
          </cell>
          <cell r="W732">
            <v>2923.15</v>
          </cell>
          <cell r="AA732">
            <v>424</v>
          </cell>
          <cell r="AB732">
            <v>2924</v>
          </cell>
          <cell r="AC732">
            <v>3248</v>
          </cell>
          <cell r="AD732">
            <v>3429</v>
          </cell>
          <cell r="AE732">
            <v>3608.83</v>
          </cell>
          <cell r="AF732">
            <v>0.1900006373256706</v>
          </cell>
          <cell r="AG732">
            <v>4.7059573324318392E-2</v>
          </cell>
          <cell r="AH732">
            <v>3682</v>
          </cell>
          <cell r="AI732">
            <v>3754</v>
          </cell>
          <cell r="AJ732">
            <v>0.22132392115077248</v>
          </cell>
          <cell r="AK732">
            <v>3826</v>
          </cell>
          <cell r="AL732">
            <v>3898</v>
          </cell>
          <cell r="AM732">
            <v>0.2500897896357106</v>
          </cell>
          <cell r="AN732">
            <v>4445.97</v>
          </cell>
          <cell r="AO732">
            <v>4993.9399999999996</v>
          </cell>
          <cell r="AP732">
            <v>5541.91</v>
          </cell>
          <cell r="AQ732">
            <v>0</v>
          </cell>
          <cell r="AS732">
            <v>6400</v>
          </cell>
        </row>
        <row r="733">
          <cell r="B733" t="str">
            <v>AC</v>
          </cell>
          <cell r="C733" t="str">
            <v>IMP</v>
          </cell>
          <cell r="D733" t="str">
            <v>BT</v>
          </cell>
          <cell r="E733" t="str">
            <v>P3</v>
          </cell>
          <cell r="F733">
            <v>39990</v>
          </cell>
          <cell r="G733">
            <v>40001</v>
          </cell>
          <cell r="H733" t="str">
            <v>4341612</v>
          </cell>
          <cell r="K733" t="str">
            <v>Pi4700e Embedded Print Controller (for Di470 only)</v>
          </cell>
          <cell r="L733">
            <v>2495</v>
          </cell>
          <cell r="N733">
            <v>870</v>
          </cell>
          <cell r="O733">
            <v>-0.17647058823529416</v>
          </cell>
          <cell r="W733">
            <v>739.5</v>
          </cell>
          <cell r="AA733">
            <v>424</v>
          </cell>
          <cell r="AB733">
            <v>740</v>
          </cell>
          <cell r="AC733">
            <v>822</v>
          </cell>
          <cell r="AD733">
            <v>868</v>
          </cell>
          <cell r="AE733">
            <v>912.96</v>
          </cell>
          <cell r="AF733">
            <v>0.18999737118822296</v>
          </cell>
          <cell r="AG733">
            <v>4.7055730809674068E-2</v>
          </cell>
          <cell r="AH733">
            <v>932</v>
          </cell>
          <cell r="AI733">
            <v>950</v>
          </cell>
          <cell r="AJ733">
            <v>0.22157894736842104</v>
          </cell>
          <cell r="AK733">
            <v>968</v>
          </cell>
          <cell r="AL733">
            <v>986</v>
          </cell>
          <cell r="AM733">
            <v>0.25</v>
          </cell>
          <cell r="AN733">
            <v>1124.6600000000001</v>
          </cell>
          <cell r="AO733">
            <v>1263.32</v>
          </cell>
          <cell r="AP733">
            <v>1401.98</v>
          </cell>
          <cell r="AQ733">
            <v>0</v>
          </cell>
          <cell r="AS733">
            <v>2495</v>
          </cell>
        </row>
        <row r="734">
          <cell r="B734" t="str">
            <v>AC</v>
          </cell>
          <cell r="C734" t="str">
            <v>IMP</v>
          </cell>
          <cell r="D734" t="str">
            <v>BT</v>
          </cell>
          <cell r="E734" t="str">
            <v>P3</v>
          </cell>
          <cell r="F734">
            <v>39990</v>
          </cell>
          <cell r="G734">
            <v>40001</v>
          </cell>
          <cell r="H734" t="str">
            <v>4342612</v>
          </cell>
          <cell r="K734" t="str">
            <v>Interface Kit P (required with CN3102e)</v>
          </cell>
          <cell r="L734">
            <v>265</v>
          </cell>
          <cell r="N734">
            <v>144</v>
          </cell>
          <cell r="O734">
            <v>-0.17647058823529405</v>
          </cell>
          <cell r="W734">
            <v>122.39999999999999</v>
          </cell>
          <cell r="AA734">
            <v>1325</v>
          </cell>
          <cell r="AB734">
            <v>123</v>
          </cell>
          <cell r="AC734">
            <v>136</v>
          </cell>
          <cell r="AD734">
            <v>144</v>
          </cell>
          <cell r="AE734">
            <v>151.11000000000001</v>
          </cell>
          <cell r="AF734">
            <v>0.18999404407385362</v>
          </cell>
          <cell r="AG734">
            <v>4.7051816557474771E-2</v>
          </cell>
          <cell r="AH734">
            <v>155</v>
          </cell>
          <cell r="AI734">
            <v>158</v>
          </cell>
          <cell r="AJ734">
            <v>0.22531645569620259</v>
          </cell>
          <cell r="AK734">
            <v>161</v>
          </cell>
          <cell r="AL734">
            <v>164</v>
          </cell>
          <cell r="AM734">
            <v>0.25365853658536591</v>
          </cell>
          <cell r="AN734">
            <v>186.75</v>
          </cell>
          <cell r="AO734">
            <v>209.5</v>
          </cell>
          <cell r="AP734">
            <v>232.25</v>
          </cell>
          <cell r="AQ734">
            <v>0</v>
          </cell>
          <cell r="AS734">
            <v>265</v>
          </cell>
        </row>
        <row r="735">
          <cell r="B735" t="str">
            <v>AC</v>
          </cell>
          <cell r="C735" t="str">
            <v>IMP</v>
          </cell>
          <cell r="D735" t="str">
            <v>BT</v>
          </cell>
          <cell r="E735" t="str">
            <v>P3</v>
          </cell>
          <cell r="F735">
            <v>39990</v>
          </cell>
          <cell r="G735">
            <v>40001</v>
          </cell>
          <cell r="H735" t="str">
            <v>4342812</v>
          </cell>
          <cell r="K735" t="str">
            <v>Interface Kit for IC-401 Image Controller</v>
          </cell>
          <cell r="L735">
            <v>265</v>
          </cell>
          <cell r="N735">
            <v>130</v>
          </cell>
          <cell r="O735">
            <v>-0.17647058823529413</v>
          </cell>
          <cell r="W735">
            <v>110.5</v>
          </cell>
          <cell r="AA735">
            <v>1153</v>
          </cell>
          <cell r="AB735">
            <v>111</v>
          </cell>
          <cell r="AC735">
            <v>123</v>
          </cell>
          <cell r="AD735">
            <v>130</v>
          </cell>
          <cell r="AE735">
            <v>136.41999999999999</v>
          </cell>
          <cell r="AF735">
            <v>0.19000146606069485</v>
          </cell>
          <cell r="AG735">
            <v>4.7060548306699812E-2</v>
          </cell>
          <cell r="AH735">
            <v>140</v>
          </cell>
          <cell r="AI735">
            <v>143</v>
          </cell>
          <cell r="AJ735">
            <v>0.22727272727272727</v>
          </cell>
          <cell r="AK735">
            <v>145.5</v>
          </cell>
          <cell r="AL735">
            <v>148</v>
          </cell>
          <cell r="AM735">
            <v>0.2533783783783784</v>
          </cell>
          <cell r="AN735">
            <v>168.55</v>
          </cell>
          <cell r="AO735">
            <v>189.1</v>
          </cell>
          <cell r="AP735">
            <v>209.65</v>
          </cell>
          <cell r="AQ735">
            <v>0</v>
          </cell>
          <cell r="AS735">
            <v>265</v>
          </cell>
        </row>
        <row r="736">
          <cell r="B736" t="str">
            <v>AC</v>
          </cell>
          <cell r="C736" t="str">
            <v>IMP</v>
          </cell>
          <cell r="D736" t="str">
            <v>BT</v>
          </cell>
          <cell r="E736" t="str">
            <v>P3</v>
          </cell>
          <cell r="F736">
            <v>39990</v>
          </cell>
          <cell r="G736">
            <v>40001</v>
          </cell>
          <cell r="H736" t="str">
            <v>4344612</v>
          </cell>
          <cell r="K736" t="str">
            <v>Duplexing Document Feeder (AFR-19 )</v>
          </cell>
          <cell r="L736">
            <v>1500</v>
          </cell>
          <cell r="N736">
            <v>572</v>
          </cell>
          <cell r="O736">
            <v>-0.17647058823529418</v>
          </cell>
          <cell r="W736">
            <v>486.2</v>
          </cell>
          <cell r="AA736">
            <v>135</v>
          </cell>
          <cell r="AB736">
            <v>487</v>
          </cell>
          <cell r="AC736">
            <v>541</v>
          </cell>
          <cell r="AD736">
            <v>571</v>
          </cell>
          <cell r="AE736">
            <v>600.25</v>
          </cell>
          <cell r="AF736">
            <v>0.19000416493127864</v>
          </cell>
          <cell r="AG736">
            <v>4.7063723448563098E-2</v>
          </cell>
          <cell r="AH736">
            <v>613</v>
          </cell>
          <cell r="AI736">
            <v>625</v>
          </cell>
          <cell r="AJ736">
            <v>0.22208000000000003</v>
          </cell>
          <cell r="AK736">
            <v>637</v>
          </cell>
          <cell r="AL736">
            <v>649</v>
          </cell>
          <cell r="AM736">
            <v>0.25084745762711869</v>
          </cell>
          <cell r="AN736">
            <v>739.98</v>
          </cell>
          <cell r="AO736">
            <v>830.96</v>
          </cell>
          <cell r="AP736">
            <v>921.94</v>
          </cell>
          <cell r="AQ736">
            <v>0</v>
          </cell>
          <cell r="AS736">
            <v>1500</v>
          </cell>
        </row>
        <row r="737">
          <cell r="B737" t="str">
            <v>AC</v>
          </cell>
          <cell r="C737" t="str">
            <v>IMP</v>
          </cell>
          <cell r="D737" t="str">
            <v>BT</v>
          </cell>
          <cell r="E737" t="str">
            <v>P3</v>
          </cell>
          <cell r="F737">
            <v>39990</v>
          </cell>
          <cell r="G737">
            <v>40001</v>
          </cell>
          <cell r="H737" t="str">
            <v>4346612</v>
          </cell>
          <cell r="K737" t="str">
            <v>Duplex Unit (AD-16)</v>
          </cell>
          <cell r="L737">
            <v>200</v>
          </cell>
          <cell r="N737">
            <v>80</v>
          </cell>
          <cell r="O737">
            <v>-0.1764705882352941</v>
          </cell>
          <cell r="W737">
            <v>68</v>
          </cell>
          <cell r="AA737">
            <v>615</v>
          </cell>
          <cell r="AB737">
            <v>68</v>
          </cell>
          <cell r="AC737">
            <v>76</v>
          </cell>
          <cell r="AD737">
            <v>80</v>
          </cell>
          <cell r="AE737">
            <v>83.95</v>
          </cell>
          <cell r="AF737">
            <v>0.18999404407385351</v>
          </cell>
          <cell r="AG737">
            <v>4.7051816557474722E-2</v>
          </cell>
          <cell r="AH737">
            <v>86</v>
          </cell>
          <cell r="AI737">
            <v>88</v>
          </cell>
          <cell r="AJ737">
            <v>0.22727272727272727</v>
          </cell>
          <cell r="AK737">
            <v>89.5</v>
          </cell>
          <cell r="AL737">
            <v>91</v>
          </cell>
          <cell r="AM737">
            <v>0.25274725274725274</v>
          </cell>
          <cell r="AN737">
            <v>103.67</v>
          </cell>
          <cell r="AO737">
            <v>116.34</v>
          </cell>
          <cell r="AP737">
            <v>129.01</v>
          </cell>
          <cell r="AQ737">
            <v>0</v>
          </cell>
          <cell r="AS737">
            <v>200</v>
          </cell>
        </row>
        <row r="738">
          <cell r="B738" t="str">
            <v>AC</v>
          </cell>
          <cell r="C738" t="str">
            <v>IMP</v>
          </cell>
          <cell r="D738" t="str">
            <v>BT</v>
          </cell>
          <cell r="E738" t="str">
            <v>P3</v>
          </cell>
          <cell r="F738">
            <v>39990</v>
          </cell>
          <cell r="G738">
            <v>40001</v>
          </cell>
          <cell r="H738" t="str">
            <v>4347612</v>
          </cell>
          <cell r="K738" t="str">
            <v>2 bin Job Separator (JS-203)</v>
          </cell>
          <cell r="L738">
            <v>150</v>
          </cell>
          <cell r="N738">
            <v>57</v>
          </cell>
          <cell r="O738">
            <v>-0.1764705882352941</v>
          </cell>
          <cell r="W738">
            <v>48.449999999999996</v>
          </cell>
          <cell r="AA738">
            <v>647</v>
          </cell>
          <cell r="AB738">
            <v>49</v>
          </cell>
          <cell r="AC738">
            <v>54</v>
          </cell>
          <cell r="AD738">
            <v>57</v>
          </cell>
          <cell r="AE738">
            <v>59.81</v>
          </cell>
          <cell r="AF738">
            <v>0.18993479351279061</v>
          </cell>
          <cell r="AG738">
            <v>4.6982110015047686E-2</v>
          </cell>
          <cell r="AH738">
            <v>62</v>
          </cell>
          <cell r="AI738">
            <v>63</v>
          </cell>
          <cell r="AJ738">
            <v>0.23095238095238102</v>
          </cell>
          <cell r="AK738">
            <v>64</v>
          </cell>
          <cell r="AL738">
            <v>65</v>
          </cell>
          <cell r="AM738">
            <v>0.25461538461538469</v>
          </cell>
          <cell r="AN738">
            <v>73.98</v>
          </cell>
          <cell r="AO738">
            <v>82.96</v>
          </cell>
          <cell r="AP738">
            <v>91.94</v>
          </cell>
          <cell r="AQ738">
            <v>0</v>
          </cell>
          <cell r="AS738">
            <v>150</v>
          </cell>
        </row>
        <row r="739">
          <cell r="B739" t="str">
            <v>AC</v>
          </cell>
          <cell r="C739" t="str">
            <v>IMP</v>
          </cell>
          <cell r="D739" t="str">
            <v>BT</v>
          </cell>
          <cell r="E739" t="str">
            <v>P3</v>
          </cell>
          <cell r="F739">
            <v>39990</v>
          </cell>
          <cell r="G739">
            <v>40001</v>
          </cell>
          <cell r="H739" t="str">
            <v>4348112</v>
          </cell>
          <cell r="K739" t="str">
            <v>PC-101 Paper Feed Cabinet - (500 sheets x 1 Universal Cassette; includes x 1 storage drawer)</v>
          </cell>
          <cell r="L739">
            <v>820</v>
          </cell>
          <cell r="N739">
            <v>320</v>
          </cell>
          <cell r="O739">
            <v>-0.1764705882352941</v>
          </cell>
          <cell r="W739">
            <v>272</v>
          </cell>
          <cell r="AA739">
            <v>647</v>
          </cell>
          <cell r="AB739">
            <v>272</v>
          </cell>
          <cell r="AC739">
            <v>303</v>
          </cell>
          <cell r="AD739">
            <v>320</v>
          </cell>
          <cell r="AE739">
            <v>335.8</v>
          </cell>
          <cell r="AF739">
            <v>0.18999404407385351</v>
          </cell>
          <cell r="AG739">
            <v>4.7051816557474722E-2</v>
          </cell>
          <cell r="AH739">
            <v>343</v>
          </cell>
          <cell r="AI739">
            <v>350</v>
          </cell>
          <cell r="AJ739">
            <v>0.22285714285714286</v>
          </cell>
          <cell r="AK739">
            <v>356.5</v>
          </cell>
          <cell r="AL739">
            <v>363</v>
          </cell>
          <cell r="AM739">
            <v>0.25068870523415976</v>
          </cell>
          <cell r="AN739">
            <v>413.92</v>
          </cell>
          <cell r="AO739">
            <v>464.84</v>
          </cell>
          <cell r="AP739">
            <v>515.76</v>
          </cell>
          <cell r="AQ739">
            <v>0</v>
          </cell>
          <cell r="AS739">
            <v>820</v>
          </cell>
        </row>
        <row r="740">
          <cell r="B740" t="str">
            <v>AC</v>
          </cell>
          <cell r="C740" t="str">
            <v>IMP</v>
          </cell>
          <cell r="D740" t="str">
            <v>BT</v>
          </cell>
          <cell r="E740" t="str">
            <v>P3</v>
          </cell>
          <cell r="F740">
            <v>39990</v>
          </cell>
          <cell r="G740">
            <v>40001</v>
          </cell>
          <cell r="H740" t="str">
            <v>4348212</v>
          </cell>
          <cell r="K740" t="str">
            <v>PC-201 Paper Feed Cabinet - (500 sheets x 2 Universal Cassette)</v>
          </cell>
          <cell r="L740">
            <v>1070</v>
          </cell>
          <cell r="N740">
            <v>458</v>
          </cell>
          <cell r="O740">
            <v>-0.17647058823529416</v>
          </cell>
          <cell r="W740">
            <v>389.3</v>
          </cell>
          <cell r="AA740">
            <v>2277</v>
          </cell>
          <cell r="AB740">
            <v>390</v>
          </cell>
          <cell r="AC740">
            <v>433</v>
          </cell>
          <cell r="AD740">
            <v>457</v>
          </cell>
          <cell r="AE740">
            <v>480.62</v>
          </cell>
          <cell r="AF740">
            <v>0.19000457742083141</v>
          </cell>
          <cell r="AG740">
            <v>4.7064208730389925E-2</v>
          </cell>
          <cell r="AH740">
            <v>491</v>
          </cell>
          <cell r="AI740">
            <v>501</v>
          </cell>
          <cell r="AJ740">
            <v>0.22295409181636724</v>
          </cell>
          <cell r="AK740">
            <v>510.5</v>
          </cell>
          <cell r="AL740">
            <v>520</v>
          </cell>
          <cell r="AM740">
            <v>0.25134615384615383</v>
          </cell>
          <cell r="AN740">
            <v>592.76</v>
          </cell>
          <cell r="AO740">
            <v>665.52</v>
          </cell>
          <cell r="AP740">
            <v>738.28</v>
          </cell>
          <cell r="AQ740">
            <v>0</v>
          </cell>
          <cell r="AS740">
            <v>1070</v>
          </cell>
        </row>
        <row r="741">
          <cell r="B741" t="str">
            <v>AC</v>
          </cell>
          <cell r="C741" t="str">
            <v>IMP</v>
          </cell>
          <cell r="D741" t="str">
            <v>BT</v>
          </cell>
          <cell r="E741" t="str">
            <v>P3</v>
          </cell>
          <cell r="F741">
            <v>39990</v>
          </cell>
          <cell r="G741">
            <v>40001</v>
          </cell>
          <cell r="H741" t="str">
            <v>4348313</v>
          </cell>
          <cell r="K741" t="str">
            <v>PC-401 Paper Feed Cabinet - (2500 - sheets LTR ONLY)</v>
          </cell>
          <cell r="L741">
            <v>1260</v>
          </cell>
          <cell r="N741">
            <v>458</v>
          </cell>
          <cell r="O741">
            <v>-0.17647058823529418</v>
          </cell>
          <cell r="W741">
            <v>389.3</v>
          </cell>
          <cell r="AA741">
            <v>86</v>
          </cell>
          <cell r="AB741">
            <v>390</v>
          </cell>
          <cell r="AC741">
            <v>433</v>
          </cell>
          <cell r="AD741">
            <v>457</v>
          </cell>
          <cell r="AE741">
            <v>480.62</v>
          </cell>
          <cell r="AF741">
            <v>0.19000457742083141</v>
          </cell>
          <cell r="AG741">
            <v>4.7064208730389925E-2</v>
          </cell>
          <cell r="AH741">
            <v>491</v>
          </cell>
          <cell r="AI741">
            <v>501</v>
          </cell>
          <cell r="AJ741">
            <v>0.22295409181636724</v>
          </cell>
          <cell r="AK741">
            <v>510.5</v>
          </cell>
          <cell r="AL741">
            <v>520</v>
          </cell>
          <cell r="AM741">
            <v>0.25134615384615383</v>
          </cell>
          <cell r="AN741">
            <v>592.76</v>
          </cell>
          <cell r="AO741">
            <v>665.52</v>
          </cell>
          <cell r="AP741">
            <v>738.28</v>
          </cell>
          <cell r="AQ741">
            <v>0</v>
          </cell>
          <cell r="AS741">
            <v>1260</v>
          </cell>
        </row>
        <row r="742">
          <cell r="B742" t="str">
            <v>AC</v>
          </cell>
          <cell r="C742" t="str">
            <v>IMP</v>
          </cell>
          <cell r="D742" t="str">
            <v>BT</v>
          </cell>
          <cell r="E742" t="str">
            <v>P3</v>
          </cell>
          <cell r="F742">
            <v>39990</v>
          </cell>
          <cell r="G742">
            <v>40001</v>
          </cell>
          <cell r="H742" t="str">
            <v>4348412</v>
          </cell>
          <cell r="K742" t="str">
            <v>2 way Paper Feed Cabinet (PF-210)</v>
          </cell>
          <cell r="L742">
            <v>1070</v>
          </cell>
          <cell r="N742">
            <v>458</v>
          </cell>
          <cell r="O742">
            <v>-0.17647058823529413</v>
          </cell>
          <cell r="W742">
            <v>389.3</v>
          </cell>
          <cell r="AA742">
            <v>2520</v>
          </cell>
          <cell r="AB742">
            <v>390</v>
          </cell>
          <cell r="AC742">
            <v>433</v>
          </cell>
          <cell r="AD742">
            <v>457</v>
          </cell>
          <cell r="AE742">
            <v>480.62</v>
          </cell>
          <cell r="AF742">
            <v>0.19000457742083141</v>
          </cell>
          <cell r="AG742">
            <v>4.7064208730389925E-2</v>
          </cell>
          <cell r="AH742">
            <v>491</v>
          </cell>
          <cell r="AI742">
            <v>501</v>
          </cell>
          <cell r="AJ742">
            <v>0.22295409181636724</v>
          </cell>
          <cell r="AK742">
            <v>510.5</v>
          </cell>
          <cell r="AL742">
            <v>520</v>
          </cell>
          <cell r="AM742">
            <v>0.25134615384615383</v>
          </cell>
          <cell r="AN742">
            <v>592.76</v>
          </cell>
          <cell r="AO742">
            <v>665.52</v>
          </cell>
          <cell r="AP742">
            <v>738.28</v>
          </cell>
          <cell r="AQ742">
            <v>0</v>
          </cell>
          <cell r="AS742">
            <v>1070</v>
          </cell>
        </row>
        <row r="743">
          <cell r="B743" t="str">
            <v>AC</v>
          </cell>
          <cell r="C743" t="str">
            <v>IMP</v>
          </cell>
          <cell r="D743" t="str">
            <v>BT</v>
          </cell>
          <cell r="E743" t="str">
            <v>P3</v>
          </cell>
          <cell r="F743">
            <v>39990</v>
          </cell>
          <cell r="G743">
            <v>40001</v>
          </cell>
          <cell r="H743" t="str">
            <v>4348512</v>
          </cell>
          <cell r="K743" t="str">
            <v>Paper Feed Cabinet (PF-124)</v>
          </cell>
          <cell r="L743">
            <v>820</v>
          </cell>
          <cell r="M743">
            <v>0</v>
          </cell>
          <cell r="N743">
            <v>320</v>
          </cell>
          <cell r="O743">
            <v>-0.17647058823529424</v>
          </cell>
          <cell r="P743">
            <v>0</v>
          </cell>
          <cell r="Q743">
            <v>0</v>
          </cell>
          <cell r="R743">
            <v>0</v>
          </cell>
          <cell r="S743">
            <v>0</v>
          </cell>
          <cell r="T743">
            <v>0</v>
          </cell>
          <cell r="W743">
            <v>272</v>
          </cell>
          <cell r="X743">
            <v>0</v>
          </cell>
          <cell r="Y743">
            <v>0</v>
          </cell>
          <cell r="AA743">
            <v>2883</v>
          </cell>
          <cell r="AB743">
            <v>272</v>
          </cell>
          <cell r="AC743">
            <v>303</v>
          </cell>
          <cell r="AD743">
            <v>320</v>
          </cell>
          <cell r="AE743">
            <v>335.8</v>
          </cell>
          <cell r="AF743">
            <v>0.18999404407385351</v>
          </cell>
          <cell r="AG743">
            <v>4.7051816557474722E-2</v>
          </cell>
          <cell r="AH743">
            <v>343</v>
          </cell>
          <cell r="AI743">
            <v>350</v>
          </cell>
          <cell r="AJ743">
            <v>0.22285714285714286</v>
          </cell>
          <cell r="AK743">
            <v>356.5</v>
          </cell>
          <cell r="AL743">
            <v>363</v>
          </cell>
          <cell r="AM743">
            <v>0.25068870523415976</v>
          </cell>
          <cell r="AN743">
            <v>413.92</v>
          </cell>
          <cell r="AO743">
            <v>464.84</v>
          </cell>
          <cell r="AP743">
            <v>515.76</v>
          </cell>
          <cell r="AQ743">
            <v>0</v>
          </cell>
          <cell r="AS743">
            <v>820</v>
          </cell>
        </row>
        <row r="744">
          <cell r="B744" t="str">
            <v>AC</v>
          </cell>
          <cell r="C744" t="str">
            <v>IMP</v>
          </cell>
          <cell r="D744" t="str">
            <v>BT</v>
          </cell>
          <cell r="E744" t="str">
            <v>P3</v>
          </cell>
          <cell r="F744">
            <v>39990</v>
          </cell>
          <cell r="G744">
            <v>40001</v>
          </cell>
          <cell r="H744" t="str">
            <v>4348713</v>
          </cell>
          <cell r="K744" t="str">
            <v>Large Capacity Cabinet (PF-122)</v>
          </cell>
          <cell r="L744">
            <v>1260</v>
          </cell>
          <cell r="M744">
            <v>0</v>
          </cell>
          <cell r="N744">
            <v>458</v>
          </cell>
          <cell r="O744">
            <v>-0.17647058823529413</v>
          </cell>
          <cell r="P744">
            <v>0</v>
          </cell>
          <cell r="Q744">
            <v>0</v>
          </cell>
          <cell r="R744">
            <v>0</v>
          </cell>
          <cell r="S744">
            <v>0</v>
          </cell>
          <cell r="T744">
            <v>0</v>
          </cell>
          <cell r="W744">
            <v>389.3</v>
          </cell>
          <cell r="X744">
            <v>0</v>
          </cell>
          <cell r="Y744">
            <v>0</v>
          </cell>
          <cell r="AA744">
            <v>3209</v>
          </cell>
          <cell r="AB744">
            <v>390</v>
          </cell>
          <cell r="AC744">
            <v>433</v>
          </cell>
          <cell r="AD744">
            <v>457</v>
          </cell>
          <cell r="AE744">
            <v>480.62</v>
          </cell>
          <cell r="AF744">
            <v>0.19000457742083141</v>
          </cell>
          <cell r="AG744">
            <v>4.7064208730389925E-2</v>
          </cell>
          <cell r="AH744">
            <v>491</v>
          </cell>
          <cell r="AI744">
            <v>501</v>
          </cell>
          <cell r="AJ744">
            <v>0.22295409181636724</v>
          </cell>
          <cell r="AK744">
            <v>510.5</v>
          </cell>
          <cell r="AL744">
            <v>520</v>
          </cell>
          <cell r="AM744">
            <v>0.25134615384615383</v>
          </cell>
          <cell r="AN744">
            <v>592.76</v>
          </cell>
          <cell r="AO744">
            <v>665.52</v>
          </cell>
          <cell r="AP744">
            <v>738.28</v>
          </cell>
          <cell r="AQ744">
            <v>0</v>
          </cell>
          <cell r="AS744">
            <v>1260</v>
          </cell>
        </row>
        <row r="745">
          <cell r="B745" t="str">
            <v>AC</v>
          </cell>
          <cell r="C745" t="str">
            <v>IMP</v>
          </cell>
          <cell r="D745" t="str">
            <v>BT</v>
          </cell>
          <cell r="E745" t="str">
            <v>P3</v>
          </cell>
          <cell r="F745">
            <v>39990</v>
          </cell>
          <cell r="G745">
            <v>40001</v>
          </cell>
          <cell r="H745" t="str">
            <v>4348811</v>
          </cell>
          <cell r="K745" t="str">
            <v>Copy Desk (CD-4M)</v>
          </cell>
          <cell r="L745">
            <v>165</v>
          </cell>
          <cell r="M745">
            <v>0</v>
          </cell>
          <cell r="N745">
            <v>72</v>
          </cell>
          <cell r="O745">
            <v>-0.17647058823529424</v>
          </cell>
          <cell r="P745">
            <v>0</v>
          </cell>
          <cell r="Q745">
            <v>0</v>
          </cell>
          <cell r="R745">
            <v>0</v>
          </cell>
          <cell r="S745">
            <v>0</v>
          </cell>
          <cell r="T745">
            <v>0</v>
          </cell>
          <cell r="W745">
            <v>61.199999999999996</v>
          </cell>
          <cell r="X745">
            <v>0</v>
          </cell>
          <cell r="Y745">
            <v>0</v>
          </cell>
          <cell r="AA745">
            <v>3861</v>
          </cell>
          <cell r="AB745">
            <v>62</v>
          </cell>
          <cell r="AC745">
            <v>68</v>
          </cell>
          <cell r="AD745">
            <v>72</v>
          </cell>
          <cell r="AE745">
            <v>75.56</v>
          </cell>
          <cell r="AF745">
            <v>0.19004764425622031</v>
          </cell>
          <cell r="AG745">
            <v>4.7114875595553232E-2</v>
          </cell>
          <cell r="AH745">
            <v>78</v>
          </cell>
          <cell r="AI745">
            <v>79</v>
          </cell>
          <cell r="AJ745">
            <v>0.22531645569620259</v>
          </cell>
          <cell r="AK745">
            <v>80.5</v>
          </cell>
          <cell r="AL745">
            <v>82</v>
          </cell>
          <cell r="AM745">
            <v>0.25365853658536591</v>
          </cell>
          <cell r="AN745">
            <v>93.38</v>
          </cell>
          <cell r="AO745">
            <v>104.76</v>
          </cell>
          <cell r="AP745">
            <v>116.14</v>
          </cell>
          <cell r="AQ745">
            <v>0</v>
          </cell>
          <cell r="AS745">
            <v>165</v>
          </cell>
        </row>
        <row r="746">
          <cell r="B746" t="str">
            <v>AC</v>
          </cell>
          <cell r="C746" t="str">
            <v>IMP</v>
          </cell>
          <cell r="D746" t="str">
            <v>BT</v>
          </cell>
          <cell r="E746" t="str">
            <v>P3</v>
          </cell>
          <cell r="F746">
            <v>39990</v>
          </cell>
          <cell r="G746">
            <v>40001</v>
          </cell>
          <cell r="H746" t="str">
            <v>4349612</v>
          </cell>
          <cell r="K746" t="str">
            <v>Built in Finisher (FN-117)</v>
          </cell>
          <cell r="L746">
            <v>1500</v>
          </cell>
          <cell r="M746">
            <v>0</v>
          </cell>
          <cell r="N746">
            <v>607</v>
          </cell>
          <cell r="O746">
            <v>-0.17647058823529424</v>
          </cell>
          <cell r="P746">
            <v>0</v>
          </cell>
          <cell r="Q746">
            <v>0</v>
          </cell>
          <cell r="R746">
            <v>0</v>
          </cell>
          <cell r="S746">
            <v>0</v>
          </cell>
          <cell r="T746">
            <v>0</v>
          </cell>
          <cell r="W746">
            <v>515.94999999999993</v>
          </cell>
          <cell r="X746">
            <v>0</v>
          </cell>
          <cell r="Y746">
            <v>0</v>
          </cell>
          <cell r="AA746">
            <v>3861</v>
          </cell>
          <cell r="AB746">
            <v>516</v>
          </cell>
          <cell r="AC746">
            <v>574</v>
          </cell>
          <cell r="AD746">
            <v>606</v>
          </cell>
          <cell r="AE746">
            <v>636.98</v>
          </cell>
          <cell r="AF746">
            <v>0.19000596565041303</v>
          </cell>
          <cell r="AG746">
            <v>4.7065841941662245E-2</v>
          </cell>
          <cell r="AH746">
            <v>650</v>
          </cell>
          <cell r="AI746">
            <v>663</v>
          </cell>
          <cell r="AJ746">
            <v>0.2217948717948719</v>
          </cell>
          <cell r="AK746">
            <v>675.5</v>
          </cell>
          <cell r="AL746">
            <v>688</v>
          </cell>
          <cell r="AM746">
            <v>0.25007267441860476</v>
          </cell>
          <cell r="AN746">
            <v>784.72</v>
          </cell>
          <cell r="AO746">
            <v>881.44</v>
          </cell>
          <cell r="AP746">
            <v>978.16</v>
          </cell>
          <cell r="AQ746">
            <v>0</v>
          </cell>
          <cell r="AS746">
            <v>1500</v>
          </cell>
        </row>
        <row r="747">
          <cell r="B747" t="str">
            <v>AC</v>
          </cell>
          <cell r="C747" t="str">
            <v>IMP</v>
          </cell>
          <cell r="D747" t="str">
            <v>BT</v>
          </cell>
          <cell r="E747" t="str">
            <v>P3</v>
          </cell>
          <cell r="F747">
            <v>39990</v>
          </cell>
          <cell r="G747">
            <v>40001</v>
          </cell>
          <cell r="H747" t="str">
            <v>4376622</v>
          </cell>
          <cell r="I747" t="str">
            <v>4KMED100DENS_N</v>
          </cell>
          <cell r="J747" t="str">
            <v>x</v>
          </cell>
          <cell r="K747" t="str">
            <v>Stapling Finisher (100 sheets) (FN-115)</v>
          </cell>
          <cell r="L747">
            <v>4420</v>
          </cell>
          <cell r="M747">
            <v>0</v>
          </cell>
          <cell r="N747">
            <v>1729</v>
          </cell>
          <cell r="O747">
            <v>-0.17647058823529405</v>
          </cell>
          <cell r="P747">
            <v>0</v>
          </cell>
          <cell r="Q747">
            <v>0</v>
          </cell>
          <cell r="R747">
            <v>0</v>
          </cell>
          <cell r="S747">
            <v>0</v>
          </cell>
          <cell r="T747">
            <v>0</v>
          </cell>
          <cell r="U747">
            <v>479.88</v>
          </cell>
          <cell r="V747">
            <v>0.14145202967408518</v>
          </cell>
          <cell r="W747">
            <v>1469.6499999999999</v>
          </cell>
          <cell r="X747">
            <v>0</v>
          </cell>
          <cell r="Y747">
            <v>0</v>
          </cell>
          <cell r="AA747">
            <v>3230</v>
          </cell>
          <cell r="AB747">
            <v>1470</v>
          </cell>
          <cell r="AC747">
            <v>1633</v>
          </cell>
          <cell r="AD747">
            <v>1724</v>
          </cell>
          <cell r="AE747">
            <v>1814.38</v>
          </cell>
          <cell r="AF747">
            <v>0.18999878746458859</v>
          </cell>
          <cell r="AG747">
            <v>4.7057397017162945E-2</v>
          </cell>
          <cell r="AH747">
            <v>1852</v>
          </cell>
          <cell r="AI747">
            <v>1888</v>
          </cell>
          <cell r="AJ747">
            <v>0.22158368644067805</v>
          </cell>
          <cell r="AK747">
            <v>1924</v>
          </cell>
          <cell r="AL747">
            <v>1960</v>
          </cell>
          <cell r="AM747">
            <v>0.25017857142857147</v>
          </cell>
          <cell r="AN747">
            <v>2235.44</v>
          </cell>
          <cell r="AO747">
            <v>2510.88</v>
          </cell>
          <cell r="AP747">
            <v>2786.32</v>
          </cell>
          <cell r="AQ747">
            <v>0</v>
          </cell>
          <cell r="AS747">
            <v>4420</v>
          </cell>
        </row>
        <row r="748">
          <cell r="B748" t="str">
            <v>AC</v>
          </cell>
          <cell r="C748" t="str">
            <v>IMP</v>
          </cell>
          <cell r="D748" t="str">
            <v>BT</v>
          </cell>
          <cell r="E748" t="str">
            <v>P3</v>
          </cell>
          <cell r="F748">
            <v>39990</v>
          </cell>
          <cell r="G748">
            <v>40001</v>
          </cell>
          <cell r="H748" t="str">
            <v>4377612</v>
          </cell>
          <cell r="K748" t="str">
            <v>Booklet/Folding Finisher (FN-7)</v>
          </cell>
          <cell r="L748">
            <v>5880</v>
          </cell>
          <cell r="M748">
            <v>24</v>
          </cell>
          <cell r="N748">
            <v>2450</v>
          </cell>
          <cell r="O748">
            <v>0</v>
          </cell>
          <cell r="P748">
            <v>24.96</v>
          </cell>
          <cell r="Q748">
            <v>25.44</v>
          </cell>
          <cell r="R748">
            <v>28.75</v>
          </cell>
          <cell r="S748">
            <v>30</v>
          </cell>
          <cell r="T748">
            <v>0.16799999999999998</v>
          </cell>
          <cell r="W748">
            <v>2082.5</v>
          </cell>
          <cell r="X748">
            <v>0.83200000000000007</v>
          </cell>
          <cell r="Y748" t="str">
            <v>Act freight</v>
          </cell>
          <cell r="AA748">
            <v>49</v>
          </cell>
          <cell r="AB748">
            <v>2083</v>
          </cell>
          <cell r="AC748">
            <v>2314</v>
          </cell>
          <cell r="AD748">
            <v>2443</v>
          </cell>
          <cell r="AE748">
            <v>2570.9899999999998</v>
          </cell>
          <cell r="AF748">
            <v>0.19000073901493192</v>
          </cell>
          <cell r="AG748">
            <v>4.7059692958743439E-2</v>
          </cell>
          <cell r="AH748">
            <v>2623</v>
          </cell>
          <cell r="AI748">
            <v>2674</v>
          </cell>
          <cell r="AJ748">
            <v>0.22120418848167539</v>
          </cell>
          <cell r="AK748">
            <v>2725.5</v>
          </cell>
          <cell r="AL748">
            <v>2777</v>
          </cell>
          <cell r="AM748">
            <v>0.25009002520705798</v>
          </cell>
          <cell r="AN748">
            <v>3167.39</v>
          </cell>
          <cell r="AO748">
            <v>3557.78</v>
          </cell>
          <cell r="AP748">
            <v>3948.17</v>
          </cell>
          <cell r="AQ748">
            <v>0</v>
          </cell>
          <cell r="AS748">
            <v>5880</v>
          </cell>
        </row>
        <row r="749">
          <cell r="B749" t="str">
            <v>AC</v>
          </cell>
          <cell r="C749" t="str">
            <v>IMP</v>
          </cell>
          <cell r="D749" t="str">
            <v>BT</v>
          </cell>
          <cell r="E749" t="str">
            <v>P3</v>
          </cell>
          <cell r="F749">
            <v>39990</v>
          </cell>
          <cell r="G749">
            <v>40001</v>
          </cell>
          <cell r="H749" t="str">
            <v>4378612</v>
          </cell>
          <cell r="K749" t="str">
            <v>Post Engine Cover Inserter C (FN-115 &amp; FN-7)</v>
          </cell>
          <cell r="L749">
            <v>950</v>
          </cell>
          <cell r="M749">
            <v>23</v>
          </cell>
          <cell r="N749">
            <v>409</v>
          </cell>
          <cell r="O749">
            <v>0.38979591836734695</v>
          </cell>
          <cell r="P749">
            <v>39.200000000000003</v>
          </cell>
          <cell r="Q749">
            <v>24.38</v>
          </cell>
          <cell r="R749">
            <v>27.55</v>
          </cell>
          <cell r="S749">
            <v>49</v>
          </cell>
          <cell r="T749">
            <v>0.51183673469387747</v>
          </cell>
          <cell r="W749">
            <v>347.65</v>
          </cell>
          <cell r="X749">
            <v>0.8</v>
          </cell>
          <cell r="Y749" t="str">
            <v>Act freight</v>
          </cell>
          <cell r="AA749">
            <v>77</v>
          </cell>
          <cell r="AB749">
            <v>348</v>
          </cell>
          <cell r="AC749">
            <v>387</v>
          </cell>
          <cell r="AD749">
            <v>409</v>
          </cell>
          <cell r="AE749">
            <v>429.2</v>
          </cell>
          <cell r="AF749">
            <v>0.19000465983224607</v>
          </cell>
          <cell r="AG749">
            <v>4.7064305684995318E-2</v>
          </cell>
          <cell r="AH749">
            <v>439</v>
          </cell>
          <cell r="AI749">
            <v>447</v>
          </cell>
          <cell r="AJ749">
            <v>0.22225950782997769</v>
          </cell>
          <cell r="AK749">
            <v>455.5</v>
          </cell>
          <cell r="AL749">
            <v>464</v>
          </cell>
          <cell r="AM749">
            <v>0.25075431034482765</v>
          </cell>
          <cell r="AN749">
            <v>529.07000000000005</v>
          </cell>
          <cell r="AO749">
            <v>594.14</v>
          </cell>
          <cell r="AP749">
            <v>659.21</v>
          </cell>
          <cell r="AQ749">
            <v>0</v>
          </cell>
          <cell r="AS749">
            <v>950</v>
          </cell>
        </row>
        <row r="750">
          <cell r="B750" t="str">
            <v>AC</v>
          </cell>
          <cell r="C750" t="str">
            <v>IMP</v>
          </cell>
          <cell r="D750" t="str">
            <v>BT</v>
          </cell>
          <cell r="E750" t="str">
            <v>P3</v>
          </cell>
          <cell r="F750">
            <v>39990</v>
          </cell>
          <cell r="G750">
            <v>40001</v>
          </cell>
          <cell r="H750" t="str">
            <v>4380612</v>
          </cell>
          <cell r="K750" t="str">
            <v>DISCONTINUED - Z-Folding Unit for FN-6, FN-7, FN-112, FN-115 (ZK-2)</v>
          </cell>
          <cell r="L750">
            <v>5050</v>
          </cell>
          <cell r="M750">
            <v>23</v>
          </cell>
          <cell r="N750">
            <v>2663</v>
          </cell>
          <cell r="O750">
            <v>0.38979591836734695</v>
          </cell>
          <cell r="P750">
            <v>39.200000000000003</v>
          </cell>
          <cell r="Q750">
            <v>24.38</v>
          </cell>
          <cell r="R750">
            <v>27.55</v>
          </cell>
          <cell r="S750">
            <v>49</v>
          </cell>
          <cell r="T750">
            <v>0.51183673469387747</v>
          </cell>
          <cell r="W750">
            <v>2263.5499999999997</v>
          </cell>
          <cell r="X750">
            <v>0.8</v>
          </cell>
          <cell r="Y750" t="str">
            <v>Act freight</v>
          </cell>
          <cell r="AA750">
            <v>77</v>
          </cell>
          <cell r="AB750">
            <v>2264</v>
          </cell>
          <cell r="AC750">
            <v>2516</v>
          </cell>
          <cell r="AD750">
            <v>2656</v>
          </cell>
          <cell r="AE750">
            <v>2794.51</v>
          </cell>
          <cell r="AF750">
            <v>0.19000110931791278</v>
          </cell>
          <cell r="AG750">
            <v>4.706012860930904E-2</v>
          </cell>
          <cell r="AH750">
            <v>2851</v>
          </cell>
          <cell r="AI750">
            <v>2907</v>
          </cell>
          <cell r="AJ750">
            <v>0.22134502923976618</v>
          </cell>
          <cell r="AK750">
            <v>2963</v>
          </cell>
          <cell r="AL750">
            <v>3019</v>
          </cell>
          <cell r="AM750">
            <v>0.25023186485591264</v>
          </cell>
          <cell r="AN750">
            <v>3443.18</v>
          </cell>
          <cell r="AO750">
            <v>3867.36</v>
          </cell>
          <cell r="AP750">
            <v>4291.54</v>
          </cell>
          <cell r="AQ750">
            <v>0</v>
          </cell>
          <cell r="AS750">
            <v>5050</v>
          </cell>
        </row>
        <row r="751">
          <cell r="B751" t="str">
            <v>AC</v>
          </cell>
          <cell r="C751" t="str">
            <v>IMP</v>
          </cell>
          <cell r="D751" t="str">
            <v>BT</v>
          </cell>
          <cell r="E751" t="str">
            <v>P3</v>
          </cell>
          <cell r="F751">
            <v>39990</v>
          </cell>
          <cell r="G751">
            <v>40001</v>
          </cell>
          <cell r="H751" t="str">
            <v>4381612</v>
          </cell>
          <cell r="K751" t="str">
            <v>Trimmer Unit for FN-7 (TMG-2)</v>
          </cell>
          <cell r="L751">
            <v>6850</v>
          </cell>
          <cell r="M751">
            <v>23</v>
          </cell>
          <cell r="N751">
            <v>3556</v>
          </cell>
          <cell r="O751">
            <v>0.38979591836734695</v>
          </cell>
          <cell r="P751">
            <v>39.200000000000003</v>
          </cell>
          <cell r="Q751">
            <v>24.38</v>
          </cell>
          <cell r="R751">
            <v>27.55</v>
          </cell>
          <cell r="S751">
            <v>49</v>
          </cell>
          <cell r="T751">
            <v>0.51183673469387747</v>
          </cell>
          <cell r="W751">
            <v>3022.6</v>
          </cell>
          <cell r="X751">
            <v>0.8</v>
          </cell>
          <cell r="Y751" t="str">
            <v>Act freight</v>
          </cell>
          <cell r="AA751">
            <v>77</v>
          </cell>
          <cell r="AB751">
            <v>3023</v>
          </cell>
          <cell r="AC751">
            <v>3359</v>
          </cell>
          <cell r="AD751">
            <v>3546</v>
          </cell>
          <cell r="AE751">
            <v>3731.6</v>
          </cell>
          <cell r="AF751">
            <v>0.18999892807374852</v>
          </cell>
          <cell r="AG751">
            <v>4.7057562439704125E-2</v>
          </cell>
          <cell r="AH751">
            <v>3807</v>
          </cell>
          <cell r="AI751">
            <v>3882</v>
          </cell>
          <cell r="AJ751">
            <v>0.22138073158165897</v>
          </cell>
          <cell r="AK751">
            <v>3956.5</v>
          </cell>
          <cell r="AL751">
            <v>4031</v>
          </cell>
          <cell r="AM751">
            <v>0.25016125031009678</v>
          </cell>
          <cell r="AN751">
            <v>4597.5200000000004</v>
          </cell>
          <cell r="AO751">
            <v>5164.04</v>
          </cell>
          <cell r="AP751">
            <v>5730.56</v>
          </cell>
          <cell r="AQ751">
            <v>0</v>
          </cell>
          <cell r="AS751">
            <v>6850</v>
          </cell>
        </row>
        <row r="752">
          <cell r="B752" t="str">
            <v>AC</v>
          </cell>
          <cell r="C752" t="str">
            <v>IMP</v>
          </cell>
          <cell r="D752" t="str">
            <v>BT</v>
          </cell>
          <cell r="E752" t="str">
            <v>P3</v>
          </cell>
          <cell r="F752">
            <v>39990</v>
          </cell>
          <cell r="G752">
            <v>40001</v>
          </cell>
          <cell r="H752" t="str">
            <v>4382612</v>
          </cell>
          <cell r="K752" t="str">
            <v>3-hole Punch Kit for FN-6/10/121 (PK-5)</v>
          </cell>
          <cell r="L752">
            <v>775</v>
          </cell>
          <cell r="M752">
            <v>11.5</v>
          </cell>
          <cell r="N752">
            <v>250</v>
          </cell>
          <cell r="O752">
            <v>0</v>
          </cell>
          <cell r="P752">
            <v>11.96</v>
          </cell>
          <cell r="Q752">
            <v>12.19</v>
          </cell>
          <cell r="R752">
            <v>13.77</v>
          </cell>
          <cell r="S752">
            <v>14</v>
          </cell>
          <cell r="T752">
            <v>0.14571428571428566</v>
          </cell>
          <cell r="W752">
            <v>212.5</v>
          </cell>
          <cell r="X752">
            <v>0.85428571428571431</v>
          </cell>
          <cell r="Y752" t="str">
            <v>Act freight</v>
          </cell>
          <cell r="AA752">
            <v>23</v>
          </cell>
          <cell r="AB752">
            <v>213</v>
          </cell>
          <cell r="AC752">
            <v>237</v>
          </cell>
          <cell r="AD752">
            <v>250</v>
          </cell>
          <cell r="AE752">
            <v>262.35000000000002</v>
          </cell>
          <cell r="AF752">
            <v>0.19001334095673725</v>
          </cell>
          <cell r="AG752">
            <v>4.7074518772632065E-2</v>
          </cell>
          <cell r="AH752">
            <v>269</v>
          </cell>
          <cell r="AI752">
            <v>274</v>
          </cell>
          <cell r="AJ752">
            <v>0.22445255474452555</v>
          </cell>
          <cell r="AK752">
            <v>279</v>
          </cell>
          <cell r="AL752">
            <v>284</v>
          </cell>
          <cell r="AM752">
            <v>0.25176056338028169</v>
          </cell>
          <cell r="AN752">
            <v>323.68</v>
          </cell>
          <cell r="AO752">
            <v>363.36</v>
          </cell>
          <cell r="AP752">
            <v>403.04</v>
          </cell>
          <cell r="AQ752">
            <v>0</v>
          </cell>
          <cell r="AS752">
            <v>775</v>
          </cell>
        </row>
        <row r="753">
          <cell r="B753" t="str">
            <v>AC</v>
          </cell>
          <cell r="C753" t="str">
            <v>IMP</v>
          </cell>
          <cell r="D753" t="str">
            <v>BT</v>
          </cell>
          <cell r="E753" t="str">
            <v>P3</v>
          </cell>
          <cell r="F753">
            <v>39990</v>
          </cell>
          <cell r="G753">
            <v>40001</v>
          </cell>
          <cell r="H753" t="str">
            <v>4382613</v>
          </cell>
          <cell r="K753" t="str">
            <v>2-hole Punch Kit for FN-10 and FN-121 (PK-5)</v>
          </cell>
          <cell r="L753">
            <v>850</v>
          </cell>
          <cell r="M753">
            <v>20</v>
          </cell>
          <cell r="N753">
            <v>294</v>
          </cell>
          <cell r="O753">
            <v>0.1333333333333333</v>
          </cell>
          <cell r="P753">
            <v>24</v>
          </cell>
          <cell r="Q753">
            <v>21.2</v>
          </cell>
          <cell r="R753">
            <v>23.96</v>
          </cell>
          <cell r="S753">
            <v>30</v>
          </cell>
          <cell r="T753">
            <v>0.30666666666666664</v>
          </cell>
          <cell r="U753">
            <v>401.7</v>
          </cell>
          <cell r="V753">
            <v>0</v>
          </cell>
          <cell r="W753">
            <v>249.9</v>
          </cell>
          <cell r="X753">
            <v>0.8</v>
          </cell>
          <cell r="Y753" t="str">
            <v>Act freight</v>
          </cell>
          <cell r="AA753">
            <v>47</v>
          </cell>
          <cell r="AB753">
            <v>250</v>
          </cell>
          <cell r="AC753">
            <v>278</v>
          </cell>
          <cell r="AD753">
            <v>294</v>
          </cell>
          <cell r="AE753">
            <v>308.52</v>
          </cell>
          <cell r="AF753">
            <v>0.190003889537145</v>
          </cell>
          <cell r="AG753">
            <v>4.7063399455464741E-2</v>
          </cell>
          <cell r="AH753">
            <v>316</v>
          </cell>
          <cell r="AI753">
            <v>322</v>
          </cell>
          <cell r="AJ753">
            <v>0.22391304347826085</v>
          </cell>
          <cell r="AK753">
            <v>328</v>
          </cell>
          <cell r="AL753">
            <v>334</v>
          </cell>
          <cell r="AM753">
            <v>0.25179640718562873</v>
          </cell>
          <cell r="AN753">
            <v>380.66</v>
          </cell>
          <cell r="AO753">
            <v>427.32</v>
          </cell>
          <cell r="AP753">
            <v>473.98</v>
          </cell>
          <cell r="AQ753">
            <v>0</v>
          </cell>
          <cell r="AS753">
            <v>850</v>
          </cell>
        </row>
        <row r="754">
          <cell r="B754" t="str">
            <v>AC</v>
          </cell>
          <cell r="C754" t="str">
            <v>IMP</v>
          </cell>
          <cell r="D754" t="str">
            <v>BT</v>
          </cell>
          <cell r="E754" t="str">
            <v>P3</v>
          </cell>
          <cell r="F754">
            <v>39990</v>
          </cell>
          <cell r="G754">
            <v>40001</v>
          </cell>
          <cell r="H754" t="str">
            <v>4382623</v>
          </cell>
          <cell r="K754" t="str">
            <v>2-Hole Punch Kit PK-5 (2 holes)</v>
          </cell>
          <cell r="L754">
            <v>850</v>
          </cell>
          <cell r="M754">
            <v>22</v>
          </cell>
          <cell r="N754">
            <v>250</v>
          </cell>
          <cell r="O754">
            <v>0.37826086956521737</v>
          </cell>
          <cell r="P754">
            <v>36.800000000000004</v>
          </cell>
          <cell r="Q754">
            <v>23.32</v>
          </cell>
          <cell r="R754">
            <v>26.35</v>
          </cell>
          <cell r="S754">
            <v>46</v>
          </cell>
          <cell r="T754">
            <v>0.50260869565217381</v>
          </cell>
          <cell r="U754">
            <v>0</v>
          </cell>
          <cell r="V754">
            <v>0</v>
          </cell>
          <cell r="W754">
            <v>212.5</v>
          </cell>
          <cell r="X754">
            <v>0.8</v>
          </cell>
          <cell r="Y754" t="str">
            <v>Act freight</v>
          </cell>
          <cell r="AA754">
            <v>72</v>
          </cell>
          <cell r="AB754">
            <v>213</v>
          </cell>
          <cell r="AC754">
            <v>237</v>
          </cell>
          <cell r="AD754">
            <v>250</v>
          </cell>
          <cell r="AE754">
            <v>262.35000000000002</v>
          </cell>
          <cell r="AF754">
            <v>0.19001334095673725</v>
          </cell>
          <cell r="AG754">
            <v>4.7074518772632065E-2</v>
          </cell>
          <cell r="AH754">
            <v>269</v>
          </cell>
          <cell r="AI754">
            <v>274</v>
          </cell>
          <cell r="AJ754">
            <v>0.22445255474452555</v>
          </cell>
          <cell r="AK754">
            <v>279</v>
          </cell>
          <cell r="AL754">
            <v>284</v>
          </cell>
          <cell r="AM754">
            <v>0.25176056338028169</v>
          </cell>
          <cell r="AN754">
            <v>323.68</v>
          </cell>
          <cell r="AO754">
            <v>363.36</v>
          </cell>
          <cell r="AP754">
            <v>403.04</v>
          </cell>
          <cell r="AQ754">
            <v>0</v>
          </cell>
          <cell r="AS754">
            <v>850</v>
          </cell>
        </row>
        <row r="755">
          <cell r="B755" t="str">
            <v>AC</v>
          </cell>
          <cell r="C755" t="str">
            <v>IMP</v>
          </cell>
          <cell r="D755" t="str">
            <v>BT</v>
          </cell>
          <cell r="E755" t="str">
            <v>P3</v>
          </cell>
          <cell r="F755">
            <v>39990</v>
          </cell>
          <cell r="G755">
            <v>40001</v>
          </cell>
          <cell r="H755" t="str">
            <v>4383611</v>
          </cell>
          <cell r="I755">
            <v>0</v>
          </cell>
          <cell r="K755" t="str">
            <v>Mount Kit for ZK-3 (required w/ FN-6/112/10/121/PZ-108/9)</v>
          </cell>
          <cell r="L755">
            <v>100</v>
          </cell>
          <cell r="M755">
            <v>22</v>
          </cell>
          <cell r="N755">
            <v>44</v>
          </cell>
          <cell r="O755">
            <v>0.37826086956521737</v>
          </cell>
          <cell r="P755">
            <v>36.800000000000004</v>
          </cell>
          <cell r="Q755">
            <v>23.32</v>
          </cell>
          <cell r="R755">
            <v>26.35</v>
          </cell>
          <cell r="S755">
            <v>46</v>
          </cell>
          <cell r="T755">
            <v>0.50260869565217381</v>
          </cell>
          <cell r="U755">
            <v>0</v>
          </cell>
          <cell r="V755">
            <v>0</v>
          </cell>
          <cell r="W755">
            <v>37.4</v>
          </cell>
          <cell r="X755">
            <v>0.8</v>
          </cell>
          <cell r="Y755" t="str">
            <v>Act freight</v>
          </cell>
          <cell r="AA755">
            <v>72</v>
          </cell>
          <cell r="AB755">
            <v>38</v>
          </cell>
          <cell r="AC755">
            <v>42</v>
          </cell>
          <cell r="AD755">
            <v>45</v>
          </cell>
          <cell r="AE755">
            <v>46.17</v>
          </cell>
          <cell r="AF755">
            <v>0.18995018410223094</v>
          </cell>
          <cell r="AG755">
            <v>4.70002165908599E-2</v>
          </cell>
          <cell r="AH755">
            <v>48</v>
          </cell>
          <cell r="AI755">
            <v>49</v>
          </cell>
          <cell r="AJ755">
            <v>0.23673469387755106</v>
          </cell>
          <cell r="AK755">
            <v>49.5</v>
          </cell>
          <cell r="AL755">
            <v>50</v>
          </cell>
          <cell r="AM755">
            <v>0.252</v>
          </cell>
          <cell r="AN755">
            <v>56.98</v>
          </cell>
          <cell r="AO755">
            <v>63.96</v>
          </cell>
          <cell r="AP755">
            <v>70.94</v>
          </cell>
          <cell r="AQ755">
            <v>0</v>
          </cell>
          <cell r="AS755">
            <v>100</v>
          </cell>
        </row>
        <row r="756">
          <cell r="B756" t="str">
            <v>AC</v>
          </cell>
          <cell r="C756" t="str">
            <v>IMP</v>
          </cell>
          <cell r="D756" t="str">
            <v>BT</v>
          </cell>
          <cell r="E756" t="str">
            <v>P3</v>
          </cell>
          <cell r="F756">
            <v>39990</v>
          </cell>
          <cell r="G756">
            <v>40001</v>
          </cell>
          <cell r="H756" t="str">
            <v>4387611</v>
          </cell>
          <cell r="I756">
            <v>0</v>
          </cell>
          <cell r="K756" t="str">
            <v>Interface Kit N (required with  Pi8500Pro Controller)</v>
          </cell>
          <cell r="L756">
            <v>800</v>
          </cell>
          <cell r="M756">
            <v>22</v>
          </cell>
          <cell r="N756">
            <v>426</v>
          </cell>
          <cell r="O756">
            <v>0.37826086956521737</v>
          </cell>
          <cell r="P756">
            <v>36.800000000000004</v>
          </cell>
          <cell r="Q756">
            <v>23.32</v>
          </cell>
          <cell r="R756">
            <v>26.35</v>
          </cell>
          <cell r="S756">
            <v>46</v>
          </cell>
          <cell r="T756">
            <v>0.50260869565217381</v>
          </cell>
          <cell r="U756">
            <v>0</v>
          </cell>
          <cell r="V756">
            <v>0</v>
          </cell>
          <cell r="W756">
            <v>362.09999999999997</v>
          </cell>
          <cell r="X756">
            <v>0.8</v>
          </cell>
          <cell r="Y756" t="str">
            <v>Act freight</v>
          </cell>
          <cell r="AA756">
            <v>72</v>
          </cell>
          <cell r="AB756">
            <v>363</v>
          </cell>
          <cell r="AC756">
            <v>403</v>
          </cell>
          <cell r="AD756">
            <v>426</v>
          </cell>
          <cell r="AE756">
            <v>447.04</v>
          </cell>
          <cell r="AF756">
            <v>0.19000536864710105</v>
          </cell>
          <cell r="AG756">
            <v>4.7065139584824667E-2</v>
          </cell>
          <cell r="AH756">
            <v>457</v>
          </cell>
          <cell r="AI756">
            <v>466</v>
          </cell>
          <cell r="AJ756">
            <v>0.22296137339055802</v>
          </cell>
          <cell r="AK756">
            <v>474.5</v>
          </cell>
          <cell r="AL756">
            <v>483</v>
          </cell>
          <cell r="AM756">
            <v>0.25031055900621124</v>
          </cell>
          <cell r="AN756">
            <v>550.84</v>
          </cell>
          <cell r="AO756">
            <v>618.67999999999995</v>
          </cell>
          <cell r="AP756">
            <v>686.52</v>
          </cell>
          <cell r="AQ756">
            <v>0</v>
          </cell>
          <cell r="AS756">
            <v>800</v>
          </cell>
        </row>
        <row r="757">
          <cell r="B757" t="str">
            <v>AC</v>
          </cell>
          <cell r="C757" t="str">
            <v>IMP</v>
          </cell>
          <cell r="D757" t="str">
            <v>BT</v>
          </cell>
          <cell r="E757" t="str">
            <v>P3</v>
          </cell>
          <cell r="F757">
            <v>39990</v>
          </cell>
          <cell r="G757">
            <v>40001</v>
          </cell>
          <cell r="H757" t="str">
            <v>4388602</v>
          </cell>
          <cell r="K757" t="str">
            <v>Internet Fax, PC Fax &amp; Network Scan Kit (SU-3)</v>
          </cell>
          <cell r="L757">
            <v>1500</v>
          </cell>
          <cell r="M757">
            <v>17.5</v>
          </cell>
          <cell r="N757">
            <v>629</v>
          </cell>
          <cell r="O757">
            <v>0.22619047619047622</v>
          </cell>
          <cell r="P757">
            <v>23.52</v>
          </cell>
          <cell r="Q757">
            <v>18.55</v>
          </cell>
          <cell r="R757">
            <v>20.96</v>
          </cell>
          <cell r="S757">
            <v>29.4</v>
          </cell>
          <cell r="T757">
            <v>0.38095238095238093</v>
          </cell>
          <cell r="W757">
            <v>534.65</v>
          </cell>
          <cell r="X757">
            <v>0.8</v>
          </cell>
          <cell r="Y757" t="str">
            <v>Act freight</v>
          </cell>
          <cell r="AA757">
            <v>46</v>
          </cell>
          <cell r="AB757">
            <v>535</v>
          </cell>
          <cell r="AC757">
            <v>595</v>
          </cell>
          <cell r="AD757">
            <v>628</v>
          </cell>
          <cell r="AE757">
            <v>660.06</v>
          </cell>
          <cell r="AF757">
            <v>0.1899978789806987</v>
          </cell>
          <cell r="AG757">
            <v>4.7056328212586658E-2</v>
          </cell>
          <cell r="AH757">
            <v>674</v>
          </cell>
          <cell r="AI757">
            <v>687</v>
          </cell>
          <cell r="AJ757">
            <v>0.22176128093158665</v>
          </cell>
          <cell r="AK757">
            <v>700</v>
          </cell>
          <cell r="AL757">
            <v>713</v>
          </cell>
          <cell r="AM757">
            <v>0.25014025245441801</v>
          </cell>
          <cell r="AN757">
            <v>813.21</v>
          </cell>
          <cell r="AO757">
            <v>913.42</v>
          </cell>
          <cell r="AP757">
            <v>1013.63</v>
          </cell>
          <cell r="AQ757">
            <v>0</v>
          </cell>
          <cell r="AS757">
            <v>1500</v>
          </cell>
        </row>
        <row r="758">
          <cell r="B758" t="str">
            <v>AC</v>
          </cell>
          <cell r="C758" t="str">
            <v>IMP</v>
          </cell>
          <cell r="D758" t="str">
            <v>BT</v>
          </cell>
          <cell r="E758" t="str">
            <v>P3</v>
          </cell>
          <cell r="F758">
            <v>39990</v>
          </cell>
          <cell r="G758">
            <v>40001</v>
          </cell>
          <cell r="H758" t="str">
            <v>4388604</v>
          </cell>
          <cell r="K758" t="str">
            <v>32MB Memory (M32-4)</v>
          </cell>
          <cell r="L758">
            <v>145</v>
          </cell>
          <cell r="M758">
            <v>0</v>
          </cell>
          <cell r="N758">
            <v>52</v>
          </cell>
          <cell r="O758">
            <v>0</v>
          </cell>
          <cell r="P758">
            <v>0</v>
          </cell>
          <cell r="Q758">
            <v>0</v>
          </cell>
          <cell r="R758">
            <v>0</v>
          </cell>
          <cell r="S758">
            <v>0</v>
          </cell>
          <cell r="T758">
            <v>0</v>
          </cell>
          <cell r="W758">
            <v>44.199999999999996</v>
          </cell>
          <cell r="X758">
            <v>0</v>
          </cell>
          <cell r="Y758">
            <v>0</v>
          </cell>
          <cell r="AA758">
            <v>0</v>
          </cell>
          <cell r="AB758">
            <v>45</v>
          </cell>
          <cell r="AC758">
            <v>50</v>
          </cell>
          <cell r="AD758">
            <v>53</v>
          </cell>
          <cell r="AE758">
            <v>54.57</v>
          </cell>
          <cell r="AF758">
            <v>0.19003115264797515</v>
          </cell>
          <cell r="AG758">
            <v>4.7095473703500097E-2</v>
          </cell>
          <cell r="AH758">
            <v>56</v>
          </cell>
          <cell r="AI758">
            <v>57</v>
          </cell>
          <cell r="AJ758">
            <v>0.22456140350877202</v>
          </cell>
          <cell r="AK758">
            <v>58</v>
          </cell>
          <cell r="AL758">
            <v>59</v>
          </cell>
          <cell r="AM758">
            <v>0.25084745762711874</v>
          </cell>
          <cell r="AN758">
            <v>67.27</v>
          </cell>
          <cell r="AO758">
            <v>75.540000000000006</v>
          </cell>
          <cell r="AP758">
            <v>83.81</v>
          </cell>
          <cell r="AQ758">
            <v>0</v>
          </cell>
          <cell r="AS758">
            <v>145</v>
          </cell>
        </row>
        <row r="759">
          <cell r="B759" t="str">
            <v>AC</v>
          </cell>
          <cell r="C759" t="str">
            <v>IMP</v>
          </cell>
          <cell r="D759" t="str">
            <v>BT</v>
          </cell>
          <cell r="E759" t="str">
            <v>P3</v>
          </cell>
          <cell r="F759">
            <v>39990</v>
          </cell>
          <cell r="G759">
            <v>40001</v>
          </cell>
          <cell r="H759" t="str">
            <v>4388605</v>
          </cell>
          <cell r="K759" t="str">
            <v>64MB Memory (M64-2)</v>
          </cell>
          <cell r="L759">
            <v>290</v>
          </cell>
          <cell r="N759">
            <v>103</v>
          </cell>
          <cell r="W759">
            <v>87.55</v>
          </cell>
          <cell r="AB759">
            <v>88</v>
          </cell>
          <cell r="AC759">
            <v>98</v>
          </cell>
          <cell r="AD759">
            <v>104</v>
          </cell>
          <cell r="AE759">
            <v>108.09</v>
          </cell>
          <cell r="AF759">
            <v>0.19002682949394029</v>
          </cell>
          <cell r="AG759">
            <v>4.7090387639929718E-2</v>
          </cell>
          <cell r="AH759">
            <v>111</v>
          </cell>
          <cell r="AI759">
            <v>113</v>
          </cell>
          <cell r="AJ759">
            <v>0.22522123893805313</v>
          </cell>
          <cell r="AK759">
            <v>115</v>
          </cell>
          <cell r="AL759">
            <v>117</v>
          </cell>
          <cell r="AM759">
            <v>0.25170940170940176</v>
          </cell>
          <cell r="AN759">
            <v>133.35</v>
          </cell>
          <cell r="AO759">
            <v>149.69999999999999</v>
          </cell>
          <cell r="AP759">
            <v>166.05</v>
          </cell>
          <cell r="AQ759">
            <v>0</v>
          </cell>
          <cell r="AS759">
            <v>290</v>
          </cell>
        </row>
        <row r="760">
          <cell r="B760" t="str">
            <v>AC</v>
          </cell>
          <cell r="C760" t="str">
            <v>IMP</v>
          </cell>
          <cell r="D760" t="str">
            <v>BT</v>
          </cell>
          <cell r="E760" t="str">
            <v>P3</v>
          </cell>
          <cell r="F760">
            <v>39990</v>
          </cell>
          <cell r="G760">
            <v>40001</v>
          </cell>
          <cell r="H760" t="str">
            <v>4388606</v>
          </cell>
          <cell r="K760" t="str">
            <v>128MB Memory (M128-3)</v>
          </cell>
          <cell r="L760">
            <v>580</v>
          </cell>
          <cell r="N760">
            <v>206</v>
          </cell>
          <cell r="W760">
            <v>175.1</v>
          </cell>
          <cell r="AB760">
            <v>176</v>
          </cell>
          <cell r="AC760">
            <v>195</v>
          </cell>
          <cell r="AD760">
            <v>206</v>
          </cell>
          <cell r="AE760">
            <v>216.17</v>
          </cell>
          <cell r="AF760">
            <v>0.18998936022574822</v>
          </cell>
          <cell r="AG760">
            <v>4.7046306147939067E-2</v>
          </cell>
          <cell r="AH760">
            <v>222</v>
          </cell>
          <cell r="AI760">
            <v>226</v>
          </cell>
          <cell r="AJ760">
            <v>0.22522123893805313</v>
          </cell>
          <cell r="AK760">
            <v>230</v>
          </cell>
          <cell r="AL760">
            <v>234</v>
          </cell>
          <cell r="AM760">
            <v>0.25170940170940176</v>
          </cell>
          <cell r="AN760">
            <v>266.7</v>
          </cell>
          <cell r="AO760">
            <v>299.39999999999998</v>
          </cell>
          <cell r="AP760">
            <v>332.1</v>
          </cell>
          <cell r="AQ760">
            <v>0</v>
          </cell>
          <cell r="AS760">
            <v>580</v>
          </cell>
        </row>
        <row r="761">
          <cell r="B761" t="str">
            <v>AC</v>
          </cell>
          <cell r="C761" t="str">
            <v>IMP</v>
          </cell>
          <cell r="D761" t="str">
            <v>BT</v>
          </cell>
          <cell r="E761" t="str">
            <v>P3</v>
          </cell>
          <cell r="F761">
            <v>39990</v>
          </cell>
          <cell r="G761">
            <v>40001</v>
          </cell>
          <cell r="H761" t="str">
            <v>4388608</v>
          </cell>
          <cell r="K761" t="str">
            <v>Network Interface Card (NC-4)</v>
          </cell>
          <cell r="L761">
            <v>360</v>
          </cell>
          <cell r="M761">
            <v>68</v>
          </cell>
          <cell r="N761">
            <v>137</v>
          </cell>
          <cell r="O761">
            <v>-0.1764705882352941</v>
          </cell>
          <cell r="S761">
            <v>88</v>
          </cell>
          <cell r="W761">
            <v>116.45</v>
          </cell>
          <cell r="AB761">
            <v>117</v>
          </cell>
          <cell r="AC761">
            <v>130</v>
          </cell>
          <cell r="AD761">
            <v>137</v>
          </cell>
          <cell r="AE761">
            <v>143.77000000000001</v>
          </cell>
          <cell r="AF761">
            <v>0.19002573554983659</v>
          </cell>
          <cell r="AG761">
            <v>4.708910064686659E-2</v>
          </cell>
          <cell r="AH761">
            <v>147</v>
          </cell>
          <cell r="AI761">
            <v>150</v>
          </cell>
          <cell r="AJ761">
            <v>0.22366666666666665</v>
          </cell>
          <cell r="AK761">
            <v>153</v>
          </cell>
          <cell r="AL761">
            <v>156</v>
          </cell>
          <cell r="AM761">
            <v>0.25352564102564101</v>
          </cell>
          <cell r="AN761">
            <v>177.65</v>
          </cell>
          <cell r="AO761">
            <v>199.3</v>
          </cell>
          <cell r="AP761">
            <v>220.95</v>
          </cell>
          <cell r="AQ761">
            <v>0</v>
          </cell>
          <cell r="AS761">
            <v>360</v>
          </cell>
        </row>
        <row r="762">
          <cell r="B762" t="str">
            <v>AC</v>
          </cell>
          <cell r="C762" t="str">
            <v>IMP</v>
          </cell>
          <cell r="D762" t="str">
            <v>BT</v>
          </cell>
          <cell r="E762" t="str">
            <v>P3</v>
          </cell>
          <cell r="F762">
            <v>39990</v>
          </cell>
          <cell r="G762">
            <v>40001</v>
          </cell>
          <cell r="H762" t="str">
            <v>4388612</v>
          </cell>
          <cell r="K762" t="str">
            <v>Multiport (MP-5)</v>
          </cell>
          <cell r="L762">
            <v>750</v>
          </cell>
          <cell r="M762">
            <v>14.87</v>
          </cell>
          <cell r="N762">
            <v>370</v>
          </cell>
          <cell r="O762">
            <v>-0.17647058823529421</v>
          </cell>
          <cell r="S762">
            <v>48.17</v>
          </cell>
          <cell r="W762">
            <v>314.5</v>
          </cell>
          <cell r="AB762">
            <v>315</v>
          </cell>
          <cell r="AC762">
            <v>350</v>
          </cell>
          <cell r="AD762">
            <v>370</v>
          </cell>
          <cell r="AE762">
            <v>388.27</v>
          </cell>
          <cell r="AF762">
            <v>0.18999665181445896</v>
          </cell>
          <cell r="AG762">
            <v>4.7054884487598793E-2</v>
          </cell>
          <cell r="AH762">
            <v>397</v>
          </cell>
          <cell r="AI762">
            <v>405</v>
          </cell>
          <cell r="AJ762">
            <v>0.22345679012345679</v>
          </cell>
          <cell r="AK762">
            <v>412.5</v>
          </cell>
          <cell r="AL762">
            <v>420</v>
          </cell>
          <cell r="AM762">
            <v>0.25119047619047619</v>
          </cell>
          <cell r="AN762">
            <v>478.8</v>
          </cell>
          <cell r="AO762">
            <v>537.6</v>
          </cell>
          <cell r="AP762">
            <v>596.4</v>
          </cell>
          <cell r="AQ762">
            <v>0</v>
          </cell>
          <cell r="AS762">
            <v>750</v>
          </cell>
        </row>
        <row r="763">
          <cell r="B763" t="str">
            <v>AC</v>
          </cell>
          <cell r="C763" t="str">
            <v>IMP</v>
          </cell>
          <cell r="D763" t="str">
            <v>BT</v>
          </cell>
          <cell r="E763" t="str">
            <v>P3</v>
          </cell>
          <cell r="F763">
            <v>39990</v>
          </cell>
          <cell r="G763">
            <v>40001</v>
          </cell>
          <cell r="H763" t="str">
            <v>4394612</v>
          </cell>
          <cell r="K763" t="str">
            <v>Z-Folding Unit + 2/3 hole punch for FN-115, FN-10, FN-121 (ZK-3)</v>
          </cell>
          <cell r="L763">
            <v>5050</v>
          </cell>
          <cell r="N763">
            <v>2345</v>
          </cell>
          <cell r="W763">
            <v>1993.25</v>
          </cell>
          <cell r="AB763">
            <v>1994</v>
          </cell>
          <cell r="AC763">
            <v>2215</v>
          </cell>
          <cell r="AD763">
            <v>2338</v>
          </cell>
          <cell r="AE763">
            <v>2460.8000000000002</v>
          </cell>
          <cell r="AF763">
            <v>0.1899991872561769</v>
          </cell>
          <cell r="AG763">
            <v>4.705786736020813E-2</v>
          </cell>
          <cell r="AH763">
            <v>2511</v>
          </cell>
          <cell r="AI763">
            <v>2560</v>
          </cell>
          <cell r="AJ763">
            <v>0.22138671874999999</v>
          </cell>
          <cell r="AK763">
            <v>2609</v>
          </cell>
          <cell r="AL763">
            <v>2658</v>
          </cell>
          <cell r="AM763">
            <v>0.25009405568096316</v>
          </cell>
          <cell r="AN763">
            <v>3031.65</v>
          </cell>
          <cell r="AO763">
            <v>3405.3</v>
          </cell>
          <cell r="AP763">
            <v>3778.95</v>
          </cell>
          <cell r="AQ763">
            <v>0</v>
          </cell>
          <cell r="AS763">
            <v>5050</v>
          </cell>
        </row>
        <row r="764">
          <cell r="B764" t="str">
            <v>AC</v>
          </cell>
          <cell r="C764" t="str">
            <v>IMP</v>
          </cell>
          <cell r="D764" t="str">
            <v>BT</v>
          </cell>
          <cell r="E764" t="str">
            <v>P3</v>
          </cell>
          <cell r="F764">
            <v>39990</v>
          </cell>
          <cell r="G764">
            <v>40001</v>
          </cell>
          <cell r="H764" t="str">
            <v>4395612</v>
          </cell>
          <cell r="K764" t="str">
            <v>Selectable 2 and 3-Hole Punch Kit (PK-7)</v>
          </cell>
          <cell r="L764">
            <v>2000</v>
          </cell>
          <cell r="N764">
            <v>897</v>
          </cell>
          <cell r="W764">
            <v>762.44999999999993</v>
          </cell>
          <cell r="AB764">
            <v>763</v>
          </cell>
          <cell r="AC764">
            <v>848</v>
          </cell>
          <cell r="AD764">
            <v>895</v>
          </cell>
          <cell r="AE764">
            <v>941.3</v>
          </cell>
          <cell r="AF764">
            <v>0.19000318708169556</v>
          </cell>
          <cell r="AG764">
            <v>4.7062573037288807E-2</v>
          </cell>
          <cell r="AH764">
            <v>961</v>
          </cell>
          <cell r="AI764">
            <v>980</v>
          </cell>
          <cell r="AJ764">
            <v>0.22198979591836743</v>
          </cell>
          <cell r="AK764">
            <v>998.5</v>
          </cell>
          <cell r="AL764">
            <v>1017</v>
          </cell>
          <cell r="AM764">
            <v>0.25029498525073751</v>
          </cell>
          <cell r="AN764">
            <v>1159.8599999999999</v>
          </cell>
          <cell r="AO764">
            <v>1302.72</v>
          </cell>
          <cell r="AP764">
            <v>1445.58</v>
          </cell>
          <cell r="AQ764">
            <v>0</v>
          </cell>
          <cell r="AS764">
            <v>2000</v>
          </cell>
        </row>
        <row r="765">
          <cell r="B765" t="str">
            <v>AC</v>
          </cell>
          <cell r="C765" t="str">
            <v>IMP</v>
          </cell>
          <cell r="D765" t="str">
            <v>BT</v>
          </cell>
          <cell r="E765" t="str">
            <v>P3</v>
          </cell>
          <cell r="F765">
            <v>39990</v>
          </cell>
          <cell r="G765">
            <v>40001</v>
          </cell>
          <cell r="H765" t="str">
            <v>4398622</v>
          </cell>
          <cell r="J765" t="str">
            <v>NLA</v>
          </cell>
          <cell r="K765" t="str">
            <v>64MB memory (M64-4)</v>
          </cell>
          <cell r="L765">
            <v>290</v>
          </cell>
          <cell r="N765">
            <v>103</v>
          </cell>
          <cell r="W765">
            <v>87.55</v>
          </cell>
          <cell r="AB765">
            <v>88</v>
          </cell>
          <cell r="AC765">
            <v>98</v>
          </cell>
          <cell r="AD765">
            <v>104</v>
          </cell>
          <cell r="AE765">
            <v>108.09</v>
          </cell>
          <cell r="AF765">
            <v>0.19002682949394029</v>
          </cell>
          <cell r="AG765">
            <v>4.7090387639929718E-2</v>
          </cell>
          <cell r="AH765">
            <v>111</v>
          </cell>
          <cell r="AI765">
            <v>113</v>
          </cell>
          <cell r="AJ765">
            <v>0.22522123893805313</v>
          </cell>
          <cell r="AK765">
            <v>115</v>
          </cell>
          <cell r="AL765">
            <v>117</v>
          </cell>
          <cell r="AM765">
            <v>0.25170940170940176</v>
          </cell>
          <cell r="AN765">
            <v>133.35</v>
          </cell>
          <cell r="AO765">
            <v>149.69999999999999</v>
          </cell>
          <cell r="AP765">
            <v>166.05</v>
          </cell>
          <cell r="AQ765">
            <v>0</v>
          </cell>
          <cell r="AS765">
            <v>290</v>
          </cell>
        </row>
        <row r="766">
          <cell r="B766" t="str">
            <v>AC</v>
          </cell>
          <cell r="C766" t="str">
            <v>IMP</v>
          </cell>
          <cell r="D766" t="str">
            <v>BT</v>
          </cell>
          <cell r="E766" t="str">
            <v>P3</v>
          </cell>
          <cell r="F766">
            <v>39990</v>
          </cell>
          <cell r="G766">
            <v>40001</v>
          </cell>
          <cell r="H766" t="str">
            <v>4398624</v>
          </cell>
          <cell r="J766">
            <v>0</v>
          </cell>
          <cell r="K766" t="str">
            <v>Pi1803e Print Controller</v>
          </cell>
          <cell r="L766">
            <v>580</v>
          </cell>
          <cell r="N766">
            <v>240</v>
          </cell>
          <cell r="W766">
            <v>204</v>
          </cell>
          <cell r="AB766">
            <v>204</v>
          </cell>
          <cell r="AC766">
            <v>227</v>
          </cell>
          <cell r="AD766">
            <v>240</v>
          </cell>
          <cell r="AE766">
            <v>251.85</v>
          </cell>
          <cell r="AF766">
            <v>0.18999404407385348</v>
          </cell>
          <cell r="AG766">
            <v>4.7051816557474667E-2</v>
          </cell>
          <cell r="AH766">
            <v>257</v>
          </cell>
          <cell r="AI766">
            <v>262</v>
          </cell>
          <cell r="AJ766">
            <v>0.22137404580152673</v>
          </cell>
          <cell r="AK766">
            <v>267</v>
          </cell>
          <cell r="AL766">
            <v>272</v>
          </cell>
          <cell r="AM766">
            <v>0.25</v>
          </cell>
          <cell r="AN766">
            <v>310.25</v>
          </cell>
          <cell r="AO766">
            <v>348.5</v>
          </cell>
          <cell r="AP766">
            <v>386.75</v>
          </cell>
          <cell r="AQ766">
            <v>0</v>
          </cell>
          <cell r="AS766">
            <v>580</v>
          </cell>
        </row>
        <row r="767">
          <cell r="B767" t="str">
            <v>AC</v>
          </cell>
          <cell r="C767" t="str">
            <v>IMP</v>
          </cell>
          <cell r="D767" t="str">
            <v>BT</v>
          </cell>
          <cell r="E767" t="str">
            <v>P3</v>
          </cell>
          <cell r="F767">
            <v>39990</v>
          </cell>
          <cell r="G767">
            <v>40001</v>
          </cell>
          <cell r="H767" t="str">
            <v>4398631</v>
          </cell>
          <cell r="K767" t="str">
            <v>NC-6 Network I/F Card</v>
          </cell>
          <cell r="L767">
            <v>400</v>
          </cell>
          <cell r="N767">
            <v>172</v>
          </cell>
          <cell r="W767">
            <v>146.19999999999999</v>
          </cell>
          <cell r="AB767">
            <v>147</v>
          </cell>
          <cell r="AC767">
            <v>163</v>
          </cell>
          <cell r="AD767">
            <v>172</v>
          </cell>
          <cell r="AE767">
            <v>180.49</v>
          </cell>
          <cell r="AF767">
            <v>0.18998282453321524</v>
          </cell>
          <cell r="AG767">
            <v>4.7038617097900207E-2</v>
          </cell>
          <cell r="AH767">
            <v>185</v>
          </cell>
          <cell r="AI767">
            <v>188</v>
          </cell>
          <cell r="AJ767">
            <v>0.22234042553191496</v>
          </cell>
          <cell r="AK767">
            <v>191.5</v>
          </cell>
          <cell r="AL767">
            <v>195</v>
          </cell>
          <cell r="AM767">
            <v>0.25025641025641032</v>
          </cell>
          <cell r="AN767">
            <v>222.4</v>
          </cell>
          <cell r="AO767">
            <v>249.8</v>
          </cell>
          <cell r="AP767">
            <v>277.2</v>
          </cell>
          <cell r="AQ767">
            <v>0</v>
          </cell>
          <cell r="AS767">
            <v>400</v>
          </cell>
        </row>
        <row r="768">
          <cell r="B768" t="str">
            <v>AC</v>
          </cell>
          <cell r="C768" t="str">
            <v>IMP</v>
          </cell>
          <cell r="D768" t="str">
            <v>BT</v>
          </cell>
          <cell r="E768" t="str">
            <v>P3</v>
          </cell>
          <cell r="F768">
            <v>39990</v>
          </cell>
          <cell r="G768">
            <v>40001</v>
          </cell>
          <cell r="H768" t="str">
            <v>4447121</v>
          </cell>
          <cell r="K768" t="str">
            <v>Copy Tray</v>
          </cell>
          <cell r="L768">
            <v>23</v>
          </cell>
          <cell r="N768">
            <v>8</v>
          </cell>
          <cell r="W768">
            <v>6.8</v>
          </cell>
          <cell r="AB768">
            <v>7</v>
          </cell>
          <cell r="AC768">
            <v>8</v>
          </cell>
          <cell r="AD768">
            <v>9</v>
          </cell>
          <cell r="AE768">
            <v>8.4</v>
          </cell>
          <cell r="AF768">
            <v>0.19047619047619052</v>
          </cell>
          <cell r="AG768">
            <v>4.7619047619047658E-2</v>
          </cell>
          <cell r="AH768">
            <v>10</v>
          </cell>
          <cell r="AI768">
            <v>10</v>
          </cell>
          <cell r="AJ768">
            <v>0.32</v>
          </cell>
          <cell r="AK768">
            <v>10</v>
          </cell>
          <cell r="AL768">
            <v>10</v>
          </cell>
          <cell r="AM768">
            <v>0.32</v>
          </cell>
          <cell r="AN768">
            <v>11.04</v>
          </cell>
          <cell r="AO768">
            <v>12.08</v>
          </cell>
          <cell r="AP768">
            <v>13.12</v>
          </cell>
          <cell r="AQ768">
            <v>0</v>
          </cell>
          <cell r="AS768">
            <v>23</v>
          </cell>
        </row>
        <row r="769">
          <cell r="B769" t="str">
            <v>AC</v>
          </cell>
          <cell r="C769" t="str">
            <v>IMP</v>
          </cell>
          <cell r="D769" t="str">
            <v>BT</v>
          </cell>
          <cell r="E769" t="str">
            <v>P3</v>
          </cell>
          <cell r="F769">
            <v>39990</v>
          </cell>
          <cell r="G769">
            <v>40001</v>
          </cell>
          <cell r="H769" t="str">
            <v>4470712</v>
          </cell>
          <cell r="K769" t="str">
            <v>Advanced Folding Finisher (55-sheet multi-position stapling, 2/3-hole punch, and folding) (FN-5)</v>
          </cell>
          <cell r="L769">
            <v>5350</v>
          </cell>
          <cell r="N769">
            <v>1974</v>
          </cell>
          <cell r="W769">
            <v>1677.8999999999999</v>
          </cell>
          <cell r="AB769">
            <v>1678</v>
          </cell>
          <cell r="AC769">
            <v>1865</v>
          </cell>
          <cell r="AD769">
            <v>1969</v>
          </cell>
          <cell r="AE769">
            <v>2071.48</v>
          </cell>
          <cell r="AF769">
            <v>0.18999942070403777</v>
          </cell>
          <cell r="AG769">
            <v>4.7058142004750232E-2</v>
          </cell>
          <cell r="AH769">
            <v>2114</v>
          </cell>
          <cell r="AI769">
            <v>2155</v>
          </cell>
          <cell r="AJ769">
            <v>0.22139211136890957</v>
          </cell>
          <cell r="AK769">
            <v>2196.5</v>
          </cell>
          <cell r="AL769">
            <v>2238</v>
          </cell>
          <cell r="AM769">
            <v>0.25026809651474535</v>
          </cell>
          <cell r="AN769">
            <v>2552.41</v>
          </cell>
          <cell r="AO769">
            <v>2866.82</v>
          </cell>
          <cell r="AP769">
            <v>3181.23</v>
          </cell>
          <cell r="AQ769">
            <v>0</v>
          </cell>
          <cell r="AS769">
            <v>5350</v>
          </cell>
        </row>
        <row r="770">
          <cell r="B770" t="str">
            <v>AC</v>
          </cell>
          <cell r="C770" t="str">
            <v>IMP</v>
          </cell>
          <cell r="D770" t="str">
            <v>BT</v>
          </cell>
          <cell r="E770" t="str">
            <v>P3</v>
          </cell>
          <cell r="F770">
            <v>39990</v>
          </cell>
          <cell r="G770">
            <v>40001</v>
          </cell>
          <cell r="H770" t="str">
            <v>4510612</v>
          </cell>
          <cell r="K770" t="str">
            <v>Mail Bin Kit (MK-1)</v>
          </cell>
          <cell r="L770">
            <v>1000</v>
          </cell>
          <cell r="N770">
            <v>401</v>
          </cell>
          <cell r="W770">
            <v>340.84999999999997</v>
          </cell>
          <cell r="AB770">
            <v>341</v>
          </cell>
          <cell r="AC770">
            <v>379</v>
          </cell>
          <cell r="AD770">
            <v>400</v>
          </cell>
          <cell r="AE770">
            <v>420.8</v>
          </cell>
          <cell r="AF770">
            <v>0.18999524714828908</v>
          </cell>
          <cell r="AG770">
            <v>4.7053231939163526E-2</v>
          </cell>
          <cell r="AH770">
            <v>430</v>
          </cell>
          <cell r="AI770">
            <v>438</v>
          </cell>
          <cell r="AJ770">
            <v>0.22180365296803661</v>
          </cell>
          <cell r="AK770">
            <v>446.5</v>
          </cell>
          <cell r="AL770">
            <v>455</v>
          </cell>
          <cell r="AM770">
            <v>0.25087912087912095</v>
          </cell>
          <cell r="AN770">
            <v>518.78</v>
          </cell>
          <cell r="AO770">
            <v>582.55999999999995</v>
          </cell>
          <cell r="AP770">
            <v>646.34</v>
          </cell>
          <cell r="AQ770">
            <v>0</v>
          </cell>
          <cell r="AS770">
            <v>1000</v>
          </cell>
        </row>
        <row r="771">
          <cell r="B771" t="str">
            <v>AC</v>
          </cell>
          <cell r="C771" t="str">
            <v>IMP</v>
          </cell>
          <cell r="D771" t="str">
            <v>BT</v>
          </cell>
          <cell r="E771" t="str">
            <v>P3</v>
          </cell>
          <cell r="F771">
            <v>39990</v>
          </cell>
          <cell r="G771">
            <v>40001</v>
          </cell>
          <cell r="H771" t="str">
            <v>4511612</v>
          </cell>
          <cell r="K771" t="str">
            <v>Saddle Stitch Kit (SK-1)</v>
          </cell>
          <cell r="L771">
            <v>1290</v>
          </cell>
          <cell r="N771">
            <v>515</v>
          </cell>
          <cell r="W771">
            <v>437.75</v>
          </cell>
          <cell r="AB771">
            <v>438</v>
          </cell>
          <cell r="AC771">
            <v>487</v>
          </cell>
          <cell r="AD771">
            <v>514</v>
          </cell>
          <cell r="AE771">
            <v>540.42999999999995</v>
          </cell>
          <cell r="AF771">
            <v>0.18999685435671587</v>
          </cell>
          <cell r="AG771">
            <v>4.7055122772606907E-2</v>
          </cell>
          <cell r="AH771">
            <v>552</v>
          </cell>
          <cell r="AI771">
            <v>563</v>
          </cell>
          <cell r="AJ771">
            <v>0.22246891651865008</v>
          </cell>
          <cell r="AK771">
            <v>573.5</v>
          </cell>
          <cell r="AL771">
            <v>584</v>
          </cell>
          <cell r="AM771">
            <v>0.25042808219178081</v>
          </cell>
          <cell r="AN771">
            <v>665.99</v>
          </cell>
          <cell r="AO771">
            <v>747.98</v>
          </cell>
          <cell r="AP771">
            <v>829.97</v>
          </cell>
          <cell r="AQ771">
            <v>0</v>
          </cell>
          <cell r="AS771">
            <v>1290</v>
          </cell>
        </row>
        <row r="772">
          <cell r="B772" t="str">
            <v>AC</v>
          </cell>
          <cell r="C772" t="str">
            <v>IMP</v>
          </cell>
          <cell r="D772" t="str">
            <v>BT</v>
          </cell>
          <cell r="E772" t="str">
            <v>P3</v>
          </cell>
          <cell r="F772">
            <v>39990</v>
          </cell>
          <cell r="G772">
            <v>40001</v>
          </cell>
          <cell r="H772" t="str">
            <v>4512612</v>
          </cell>
          <cell r="I772" t="str">
            <v>3KMBM325MEM_</v>
          </cell>
          <cell r="K772" t="str">
            <v>Punch Kit (PK-6)</v>
          </cell>
          <cell r="L772">
            <v>500</v>
          </cell>
          <cell r="M772">
            <v>32</v>
          </cell>
          <cell r="N772">
            <v>200</v>
          </cell>
          <cell r="O772">
            <v>-0.17647058823529421</v>
          </cell>
          <cell r="P772">
            <v>28.015999999999998</v>
          </cell>
          <cell r="Q772">
            <v>33.92</v>
          </cell>
          <cell r="R772">
            <v>36.630000000000003</v>
          </cell>
          <cell r="S772">
            <v>78</v>
          </cell>
          <cell r="T772">
            <v>0.57743589743589741</v>
          </cell>
          <cell r="U772">
            <v>60.403199999999998</v>
          </cell>
          <cell r="V772">
            <v>0.45433354524263614</v>
          </cell>
          <cell r="W772">
            <v>170</v>
          </cell>
          <cell r="X772">
            <v>0.35917948717948717</v>
          </cell>
          <cell r="AA772">
            <v>34</v>
          </cell>
          <cell r="AB772">
            <v>170</v>
          </cell>
          <cell r="AC772">
            <v>189</v>
          </cell>
          <cell r="AD772">
            <v>200</v>
          </cell>
          <cell r="AE772">
            <v>209.88</v>
          </cell>
          <cell r="AF772">
            <v>0.19001334095673716</v>
          </cell>
          <cell r="AG772">
            <v>4.7074518772631961E-2</v>
          </cell>
          <cell r="AH772">
            <v>215</v>
          </cell>
          <cell r="AI772">
            <v>219</v>
          </cell>
          <cell r="AJ772">
            <v>0.22374429223744291</v>
          </cell>
          <cell r="AK772">
            <v>223</v>
          </cell>
          <cell r="AL772">
            <v>227</v>
          </cell>
          <cell r="AM772">
            <v>0.25110132158590309</v>
          </cell>
          <cell r="AN772">
            <v>258.79000000000002</v>
          </cell>
          <cell r="AO772">
            <v>290.58</v>
          </cell>
          <cell r="AP772">
            <v>322.37</v>
          </cell>
          <cell r="AQ772">
            <v>0</v>
          </cell>
          <cell r="AS772">
            <v>500</v>
          </cell>
        </row>
        <row r="773">
          <cell r="B773" t="str">
            <v>AC</v>
          </cell>
          <cell r="C773" t="str">
            <v>IMP</v>
          </cell>
          <cell r="D773" t="str">
            <v>BT</v>
          </cell>
          <cell r="E773" t="str">
            <v>P3</v>
          </cell>
          <cell r="F773">
            <v>39990</v>
          </cell>
          <cell r="G773">
            <v>40001</v>
          </cell>
          <cell r="H773" t="str">
            <v>4513612</v>
          </cell>
          <cell r="I773" t="str">
            <v>3KMMEM701256MB</v>
          </cell>
          <cell r="K773" t="str">
            <v>Printer Controller (Pi3505e PCL)</v>
          </cell>
          <cell r="L773">
            <v>580</v>
          </cell>
          <cell r="M773">
            <v>44</v>
          </cell>
          <cell r="N773">
            <v>229</v>
          </cell>
          <cell r="O773">
            <v>-0.17647058823529418</v>
          </cell>
          <cell r="P773">
            <v>38.521999999999998</v>
          </cell>
          <cell r="Q773">
            <v>46.64</v>
          </cell>
          <cell r="R773">
            <v>50.37</v>
          </cell>
          <cell r="S773">
            <v>61</v>
          </cell>
          <cell r="T773">
            <v>0.25704918032786883</v>
          </cell>
          <cell r="U773">
            <v>52.46</v>
          </cell>
          <cell r="V773">
            <v>0.13610369805566147</v>
          </cell>
          <cell r="W773">
            <v>194.65</v>
          </cell>
          <cell r="X773">
            <v>0.63150819672131142</v>
          </cell>
          <cell r="AA773">
            <v>47</v>
          </cell>
          <cell r="AB773">
            <v>195</v>
          </cell>
          <cell r="AC773">
            <v>217</v>
          </cell>
          <cell r="AD773">
            <v>229</v>
          </cell>
          <cell r="AE773">
            <v>240.31</v>
          </cell>
          <cell r="AF773">
            <v>0.19000457742083141</v>
          </cell>
          <cell r="AG773">
            <v>4.7064208730389925E-2</v>
          </cell>
          <cell r="AH773">
            <v>246</v>
          </cell>
          <cell r="AI773">
            <v>251</v>
          </cell>
          <cell r="AJ773">
            <v>0.22450199203187249</v>
          </cell>
          <cell r="AK773">
            <v>255.5</v>
          </cell>
          <cell r="AL773">
            <v>260</v>
          </cell>
          <cell r="AM773">
            <v>0.25134615384615383</v>
          </cell>
          <cell r="AN773">
            <v>296.38</v>
          </cell>
          <cell r="AO773">
            <v>332.76</v>
          </cell>
          <cell r="AP773">
            <v>369.14</v>
          </cell>
          <cell r="AQ773">
            <v>0</v>
          </cell>
          <cell r="AS773">
            <v>580</v>
          </cell>
        </row>
        <row r="774">
          <cell r="B774" t="str">
            <v>AC</v>
          </cell>
          <cell r="C774" t="str">
            <v>IMP</v>
          </cell>
          <cell r="D774" t="str">
            <v>BT</v>
          </cell>
          <cell r="E774" t="str">
            <v>P3</v>
          </cell>
          <cell r="F774">
            <v>39990</v>
          </cell>
          <cell r="G774">
            <v>40001</v>
          </cell>
          <cell r="H774" t="str">
            <v>4513712</v>
          </cell>
          <cell r="K774" t="str">
            <v>Printer Controller (Pi3505e PS3+PCL)</v>
          </cell>
          <cell r="L774">
            <v>960</v>
          </cell>
          <cell r="N774">
            <v>378</v>
          </cell>
          <cell r="W774">
            <v>321.3</v>
          </cell>
          <cell r="AB774">
            <v>322</v>
          </cell>
          <cell r="AC774">
            <v>357</v>
          </cell>
          <cell r="AD774">
            <v>377</v>
          </cell>
          <cell r="AE774">
            <v>396.67</v>
          </cell>
          <cell r="AF774">
            <v>0.19000680666549022</v>
          </cell>
          <cell r="AG774">
            <v>4.7066831371164984E-2</v>
          </cell>
          <cell r="AH774">
            <v>405</v>
          </cell>
          <cell r="AI774">
            <v>413</v>
          </cell>
          <cell r="AJ774">
            <v>0.22203389830508471</v>
          </cell>
          <cell r="AK774">
            <v>421</v>
          </cell>
          <cell r="AL774">
            <v>429</v>
          </cell>
          <cell r="AM774">
            <v>0.25104895104895103</v>
          </cell>
          <cell r="AN774">
            <v>489.09</v>
          </cell>
          <cell r="AO774">
            <v>549.17999999999995</v>
          </cell>
          <cell r="AP774">
            <v>609.27</v>
          </cell>
          <cell r="AQ774">
            <v>0</v>
          </cell>
          <cell r="AS774">
            <v>960</v>
          </cell>
        </row>
        <row r="775">
          <cell r="B775" t="str">
            <v>AC</v>
          </cell>
          <cell r="C775" t="str">
            <v>IMP</v>
          </cell>
          <cell r="D775" t="str">
            <v>BT</v>
          </cell>
          <cell r="E775" t="str">
            <v>P3</v>
          </cell>
          <cell r="F775">
            <v>39990</v>
          </cell>
          <cell r="G775">
            <v>40001</v>
          </cell>
          <cell r="H775" t="str">
            <v>4514612</v>
          </cell>
          <cell r="K775" t="str">
            <v>Network Scan Kit (SU-2)</v>
          </cell>
          <cell r="L775">
            <v>480</v>
          </cell>
          <cell r="N775">
            <v>183</v>
          </cell>
          <cell r="W775">
            <v>155.54999999999998</v>
          </cell>
          <cell r="AB775">
            <v>156</v>
          </cell>
          <cell r="AC775">
            <v>173</v>
          </cell>
          <cell r="AD775">
            <v>183</v>
          </cell>
          <cell r="AE775">
            <v>192.04</v>
          </cell>
          <cell r="AF775">
            <v>0.19001249739637582</v>
          </cell>
          <cell r="AG775">
            <v>4.7073526348677321E-2</v>
          </cell>
          <cell r="AH775">
            <v>197</v>
          </cell>
          <cell r="AI775">
            <v>201</v>
          </cell>
          <cell r="AJ775">
            <v>0.22611940298507471</v>
          </cell>
          <cell r="AK775">
            <v>204.5</v>
          </cell>
          <cell r="AL775">
            <v>208</v>
          </cell>
          <cell r="AM775">
            <v>0.25216346153846164</v>
          </cell>
          <cell r="AN775">
            <v>237.02</v>
          </cell>
          <cell r="AO775">
            <v>266.04000000000002</v>
          </cell>
          <cell r="AP775">
            <v>295.06</v>
          </cell>
          <cell r="AQ775">
            <v>0</v>
          </cell>
          <cell r="AS775">
            <v>480</v>
          </cell>
        </row>
        <row r="776">
          <cell r="B776" t="str">
            <v>AC</v>
          </cell>
          <cell r="C776" t="str">
            <v>IMP</v>
          </cell>
          <cell r="D776" t="str">
            <v>BT</v>
          </cell>
          <cell r="E776" t="str">
            <v>P3</v>
          </cell>
          <cell r="F776">
            <v>39990</v>
          </cell>
          <cell r="G776">
            <v>40001</v>
          </cell>
          <cell r="H776" t="str">
            <v>4516612</v>
          </cell>
          <cell r="K776" t="str">
            <v>Paper Feed unit (PF-125)</v>
          </cell>
          <cell r="L776">
            <v>199</v>
          </cell>
          <cell r="N776">
            <v>57</v>
          </cell>
          <cell r="W776">
            <v>48.449999999999996</v>
          </cell>
          <cell r="AB776">
            <v>49</v>
          </cell>
          <cell r="AC776">
            <v>54</v>
          </cell>
          <cell r="AD776">
            <v>57</v>
          </cell>
          <cell r="AE776">
            <v>59.81</v>
          </cell>
          <cell r="AF776">
            <v>0.18993479351279061</v>
          </cell>
          <cell r="AG776">
            <v>4.6982110015047686E-2</v>
          </cell>
          <cell r="AH776">
            <v>62</v>
          </cell>
          <cell r="AI776">
            <v>63</v>
          </cell>
          <cell r="AJ776">
            <v>0.23095238095238102</v>
          </cell>
          <cell r="AK776">
            <v>64</v>
          </cell>
          <cell r="AL776">
            <v>65</v>
          </cell>
          <cell r="AM776">
            <v>0.25461538461538469</v>
          </cell>
          <cell r="AN776">
            <v>73.98</v>
          </cell>
          <cell r="AO776">
            <v>82.96</v>
          </cell>
          <cell r="AP776">
            <v>91.94</v>
          </cell>
          <cell r="AQ776">
            <v>0</v>
          </cell>
          <cell r="AS776">
            <v>199</v>
          </cell>
        </row>
        <row r="777">
          <cell r="B777" t="str">
            <v>AC</v>
          </cell>
          <cell r="C777" t="str">
            <v>IMP</v>
          </cell>
          <cell r="D777" t="str">
            <v>BT</v>
          </cell>
          <cell r="E777" t="str">
            <v>P3</v>
          </cell>
          <cell r="F777">
            <v>39990</v>
          </cell>
          <cell r="G777">
            <v>40001</v>
          </cell>
          <cell r="H777" t="str">
            <v>4526612</v>
          </cell>
          <cell r="K777" t="str">
            <v>Switchback Unit (SB-1)</v>
          </cell>
          <cell r="L777">
            <v>87</v>
          </cell>
          <cell r="N777">
            <v>34</v>
          </cell>
          <cell r="W777">
            <v>28.9</v>
          </cell>
          <cell r="AB777">
            <v>29</v>
          </cell>
          <cell r="AC777">
            <v>33</v>
          </cell>
          <cell r="AD777">
            <v>35</v>
          </cell>
          <cell r="AE777">
            <v>35.68</v>
          </cell>
          <cell r="AF777">
            <v>0.1900224215246637</v>
          </cell>
          <cell r="AG777">
            <v>4.7085201793721963E-2</v>
          </cell>
          <cell r="AH777">
            <v>37</v>
          </cell>
          <cell r="AI777">
            <v>38</v>
          </cell>
          <cell r="AJ777">
            <v>0.23947368421052637</v>
          </cell>
          <cell r="AK777">
            <v>38.5</v>
          </cell>
          <cell r="AL777">
            <v>39</v>
          </cell>
          <cell r="AM777">
            <v>0.258974358974359</v>
          </cell>
          <cell r="AN777">
            <v>44.3</v>
          </cell>
          <cell r="AO777">
            <v>49.6</v>
          </cell>
          <cell r="AP777">
            <v>54.9</v>
          </cell>
          <cell r="AQ777">
            <v>0</v>
          </cell>
          <cell r="AS777">
            <v>87</v>
          </cell>
        </row>
        <row r="778">
          <cell r="B778" t="str">
            <v>AC</v>
          </cell>
          <cell r="C778" t="str">
            <v>IMP</v>
          </cell>
          <cell r="D778" t="str">
            <v>BT</v>
          </cell>
          <cell r="E778" t="str">
            <v>P3</v>
          </cell>
          <cell r="F778">
            <v>39990</v>
          </cell>
          <cell r="G778">
            <v>40001</v>
          </cell>
          <cell r="H778" t="str">
            <v>4532602</v>
          </cell>
          <cell r="I778" t="str">
            <v>3MIHD5133NT_</v>
          </cell>
          <cell r="K778" t="str">
            <v>Duplex Unit (AD-17)</v>
          </cell>
          <cell r="L778">
            <v>200</v>
          </cell>
          <cell r="M778">
            <v>93.8</v>
          </cell>
          <cell r="N778">
            <v>80</v>
          </cell>
          <cell r="O778">
            <v>-4.1403581409842549E-5</v>
          </cell>
          <cell r="P778">
            <v>96.61</v>
          </cell>
          <cell r="Q778">
            <v>99.43</v>
          </cell>
          <cell r="R778">
            <v>107.38</v>
          </cell>
          <cell r="S778">
            <v>115</v>
          </cell>
          <cell r="T778">
            <v>0.15987826086956519</v>
          </cell>
          <cell r="U778">
            <v>98.899999999999991</v>
          </cell>
          <cell r="V778">
            <v>2.3114256825075705E-2</v>
          </cell>
          <cell r="W778">
            <v>68</v>
          </cell>
          <cell r="X778">
            <v>0.84008695652173915</v>
          </cell>
          <cell r="AA778">
            <v>117</v>
          </cell>
          <cell r="AB778">
            <v>68</v>
          </cell>
          <cell r="AC778">
            <v>76</v>
          </cell>
          <cell r="AD778">
            <v>80</v>
          </cell>
          <cell r="AE778">
            <v>83.95</v>
          </cell>
          <cell r="AF778">
            <v>0.18999404407385351</v>
          </cell>
          <cell r="AG778">
            <v>4.7051816557474722E-2</v>
          </cell>
          <cell r="AH778">
            <v>86</v>
          </cell>
          <cell r="AI778">
            <v>88</v>
          </cell>
          <cell r="AJ778">
            <v>0.22727272727272727</v>
          </cell>
          <cell r="AK778">
            <v>89.5</v>
          </cell>
          <cell r="AL778">
            <v>91</v>
          </cell>
          <cell r="AM778">
            <v>0.25274725274725274</v>
          </cell>
          <cell r="AN778">
            <v>103.67</v>
          </cell>
          <cell r="AO778">
            <v>116.34</v>
          </cell>
          <cell r="AP778">
            <v>129.01</v>
          </cell>
          <cell r="AQ778">
            <v>0</v>
          </cell>
          <cell r="AS778">
            <v>200</v>
          </cell>
        </row>
        <row r="779">
          <cell r="B779" t="str">
            <v>AC</v>
          </cell>
          <cell r="C779" t="str">
            <v>IMP</v>
          </cell>
          <cell r="D779" t="str">
            <v>BT</v>
          </cell>
          <cell r="E779" t="str">
            <v>P3</v>
          </cell>
          <cell r="F779">
            <v>39990</v>
          </cell>
          <cell r="G779">
            <v>40001</v>
          </cell>
          <cell r="H779" t="str">
            <v>4535611</v>
          </cell>
          <cell r="I779" t="str">
            <v>3MIHD5143NT_</v>
          </cell>
          <cell r="K779" t="str">
            <v>AD-501 Automatic Duplex Unit</v>
          </cell>
          <cell r="L779">
            <v>455</v>
          </cell>
          <cell r="M779">
            <v>99</v>
          </cell>
          <cell r="N779">
            <v>224</v>
          </cell>
          <cell r="O779">
            <v>0</v>
          </cell>
          <cell r="P779">
            <v>101.97</v>
          </cell>
          <cell r="Q779">
            <v>104.94</v>
          </cell>
          <cell r="R779">
            <v>113.34</v>
          </cell>
          <cell r="S779">
            <v>125</v>
          </cell>
          <cell r="T779">
            <v>0.18424000000000001</v>
          </cell>
          <cell r="U779">
            <v>107.5</v>
          </cell>
          <cell r="V779">
            <v>5.1441860465116292E-2</v>
          </cell>
          <cell r="W779">
            <v>190.4</v>
          </cell>
          <cell r="X779">
            <v>0.81576000000000004</v>
          </cell>
          <cell r="AA779">
            <v>123</v>
          </cell>
          <cell r="AB779">
            <v>191</v>
          </cell>
          <cell r="AC779">
            <v>212</v>
          </cell>
          <cell r="AD779">
            <v>224</v>
          </cell>
          <cell r="AE779">
            <v>235.06</v>
          </cell>
          <cell r="AF779">
            <v>0.18999404407385348</v>
          </cell>
          <cell r="AG779">
            <v>4.7051816557474695E-2</v>
          </cell>
          <cell r="AH779">
            <v>241</v>
          </cell>
          <cell r="AI779">
            <v>245</v>
          </cell>
          <cell r="AJ779">
            <v>0.22285714285714284</v>
          </cell>
          <cell r="AK779">
            <v>249.5</v>
          </cell>
          <cell r="AL779">
            <v>254</v>
          </cell>
          <cell r="AM779">
            <v>0.25039370078740153</v>
          </cell>
          <cell r="AN779">
            <v>289.67</v>
          </cell>
          <cell r="AO779">
            <v>325.33999999999997</v>
          </cell>
          <cell r="AP779">
            <v>361.01</v>
          </cell>
          <cell r="AQ779">
            <v>0</v>
          </cell>
          <cell r="AS779">
            <v>455</v>
          </cell>
        </row>
        <row r="780">
          <cell r="B780" t="str">
            <v>AC</v>
          </cell>
          <cell r="C780" t="str">
            <v>IMP</v>
          </cell>
          <cell r="D780" t="str">
            <v>BT</v>
          </cell>
          <cell r="E780" t="str">
            <v>P3</v>
          </cell>
          <cell r="F780">
            <v>39990</v>
          </cell>
          <cell r="G780">
            <v>40001</v>
          </cell>
          <cell r="H780" t="str">
            <v>4536612</v>
          </cell>
          <cell r="K780" t="str">
            <v>IC-401 Image Controller (EFI)</v>
          </cell>
          <cell r="L780">
            <v>3950</v>
          </cell>
          <cell r="M780">
            <v>1250</v>
          </cell>
          <cell r="N780">
            <v>2009</v>
          </cell>
          <cell r="O780">
            <v>-0.17647058823529413</v>
          </cell>
          <cell r="S780">
            <v>1625</v>
          </cell>
          <cell r="W780">
            <v>1707.6499999999999</v>
          </cell>
          <cell r="AB780">
            <v>1708</v>
          </cell>
          <cell r="AC780">
            <v>1898</v>
          </cell>
          <cell r="AD780">
            <v>2004</v>
          </cell>
          <cell r="AE780">
            <v>2108.21</v>
          </cell>
          <cell r="AF780">
            <v>0.19000004743360488</v>
          </cell>
          <cell r="AG780">
            <v>4.7058879333652735E-2</v>
          </cell>
          <cell r="AH780">
            <v>2151</v>
          </cell>
          <cell r="AI780">
            <v>2193</v>
          </cell>
          <cell r="AJ780">
            <v>0.22131782945736439</v>
          </cell>
          <cell r="AK780">
            <v>2235</v>
          </cell>
          <cell r="AL780">
            <v>2277</v>
          </cell>
          <cell r="AM780">
            <v>0.25004391743522186</v>
          </cell>
          <cell r="AN780">
            <v>2597.15</v>
          </cell>
          <cell r="AO780">
            <v>2917.3</v>
          </cell>
          <cell r="AP780">
            <v>3237.45</v>
          </cell>
          <cell r="AQ780">
            <v>0</v>
          </cell>
          <cell r="AS780">
            <v>3950</v>
          </cell>
        </row>
        <row r="781">
          <cell r="B781" t="str">
            <v>AC</v>
          </cell>
          <cell r="C781" t="str">
            <v>IMP</v>
          </cell>
          <cell r="D781" t="str">
            <v>BT</v>
          </cell>
          <cell r="E781" t="str">
            <v>P3</v>
          </cell>
          <cell r="F781">
            <v>39990</v>
          </cell>
          <cell r="G781">
            <v>40001</v>
          </cell>
          <cell r="H781" t="str">
            <v>4581311</v>
          </cell>
          <cell r="K781" t="str">
            <v>Scanner SC-1 (must be included)</v>
          </cell>
          <cell r="L781">
            <v>2080</v>
          </cell>
          <cell r="N781">
            <v>1144</v>
          </cell>
          <cell r="W781">
            <v>972.4</v>
          </cell>
          <cell r="AB781">
            <v>973</v>
          </cell>
          <cell r="AC781">
            <v>1081</v>
          </cell>
          <cell r="AD781">
            <v>1141</v>
          </cell>
          <cell r="AE781">
            <v>1200.49</v>
          </cell>
          <cell r="AF781">
            <v>0.18999741772109724</v>
          </cell>
          <cell r="AG781">
            <v>4.7055785554232031E-2</v>
          </cell>
          <cell r="AH781">
            <v>1225</v>
          </cell>
          <cell r="AI781">
            <v>1249</v>
          </cell>
          <cell r="AJ781">
            <v>0.22145716573258609</v>
          </cell>
          <cell r="AK781">
            <v>1273</v>
          </cell>
          <cell r="AL781">
            <v>1297</v>
          </cell>
          <cell r="AM781">
            <v>0.25026985350809561</v>
          </cell>
          <cell r="AN781">
            <v>1479.21</v>
          </cell>
          <cell r="AO781">
            <v>1661.42</v>
          </cell>
          <cell r="AP781">
            <v>1843.63</v>
          </cell>
          <cell r="AQ781">
            <v>0</v>
          </cell>
          <cell r="AS781">
            <v>2080</v>
          </cell>
        </row>
        <row r="782">
          <cell r="B782" t="str">
            <v>AC</v>
          </cell>
          <cell r="C782" t="str">
            <v>IMP</v>
          </cell>
          <cell r="D782" t="str">
            <v>BT</v>
          </cell>
          <cell r="E782" t="str">
            <v>P3</v>
          </cell>
          <cell r="F782">
            <v>39990</v>
          </cell>
          <cell r="G782">
            <v>40001</v>
          </cell>
          <cell r="H782" t="str">
            <v>4582612</v>
          </cell>
          <cell r="K782" t="str">
            <v>AFR-18 Duplexing Document Feeder</v>
          </cell>
          <cell r="L782">
            <v>1465</v>
          </cell>
          <cell r="N782">
            <v>687</v>
          </cell>
          <cell r="W782">
            <v>583.94999999999993</v>
          </cell>
          <cell r="AB782">
            <v>584</v>
          </cell>
          <cell r="AC782">
            <v>649</v>
          </cell>
          <cell r="AD782">
            <v>685</v>
          </cell>
          <cell r="AE782">
            <v>720.93</v>
          </cell>
          <cell r="AF782">
            <v>0.19000457742083146</v>
          </cell>
          <cell r="AG782">
            <v>4.7064208730389849E-2</v>
          </cell>
          <cell r="AH782">
            <v>736</v>
          </cell>
          <cell r="AI782">
            <v>750</v>
          </cell>
          <cell r="AJ782">
            <v>0.2214000000000001</v>
          </cell>
          <cell r="AK782">
            <v>764.5</v>
          </cell>
          <cell r="AL782">
            <v>779</v>
          </cell>
          <cell r="AM782">
            <v>0.2503851091142491</v>
          </cell>
          <cell r="AN782">
            <v>888.39</v>
          </cell>
          <cell r="AO782">
            <v>997.78</v>
          </cell>
          <cell r="AP782">
            <v>1107.17</v>
          </cell>
          <cell r="AQ782">
            <v>0</v>
          </cell>
          <cell r="AS782">
            <v>1465</v>
          </cell>
        </row>
        <row r="783">
          <cell r="B783" t="str">
            <v>AC</v>
          </cell>
          <cell r="C783" t="str">
            <v>IMP</v>
          </cell>
          <cell r="D783" t="str">
            <v>BT</v>
          </cell>
          <cell r="E783" t="str">
            <v>P3</v>
          </cell>
          <cell r="F783">
            <v>39990</v>
          </cell>
          <cell r="G783">
            <v>40001</v>
          </cell>
          <cell r="H783" t="str">
            <v>4583612</v>
          </cell>
          <cell r="K783" t="str">
            <v>FN-8 Booklet Finisher</v>
          </cell>
          <cell r="L783">
            <v>3000</v>
          </cell>
          <cell r="N783">
            <v>1230</v>
          </cell>
          <cell r="W783">
            <v>1045.5</v>
          </cell>
          <cell r="AB783">
            <v>1046</v>
          </cell>
          <cell r="AC783">
            <v>1162</v>
          </cell>
          <cell r="AD783">
            <v>1227</v>
          </cell>
          <cell r="AE783">
            <v>1290.74</v>
          </cell>
          <cell r="AF783">
            <v>0.18999953515037885</v>
          </cell>
          <cell r="AG783">
            <v>4.7058276647504539E-2</v>
          </cell>
          <cell r="AH783">
            <v>1317</v>
          </cell>
          <cell r="AI783">
            <v>1343</v>
          </cell>
          <cell r="AJ783">
            <v>0.22151898734177214</v>
          </cell>
          <cell r="AK783">
            <v>1368.5</v>
          </cell>
          <cell r="AL783">
            <v>1394</v>
          </cell>
          <cell r="AM783">
            <v>0.25</v>
          </cell>
          <cell r="AN783">
            <v>1590.03</v>
          </cell>
          <cell r="AO783">
            <v>1786.06</v>
          </cell>
          <cell r="AP783">
            <v>1982.09</v>
          </cell>
          <cell r="AQ783">
            <v>0</v>
          </cell>
          <cell r="AS783">
            <v>3000</v>
          </cell>
        </row>
        <row r="784">
          <cell r="B784" t="str">
            <v>AC</v>
          </cell>
          <cell r="C784" t="str">
            <v>IMP</v>
          </cell>
          <cell r="D784" t="str">
            <v>BT</v>
          </cell>
          <cell r="E784" t="str">
            <v>P3</v>
          </cell>
          <cell r="F784">
            <v>39990</v>
          </cell>
          <cell r="G784">
            <v>40001</v>
          </cell>
          <cell r="H784" t="str">
            <v>4583712</v>
          </cell>
          <cell r="K784" t="str">
            <v>(FS-603) Booklet Finisher</v>
          </cell>
          <cell r="L784">
            <v>3000</v>
          </cell>
          <cell r="N784">
            <v>1230</v>
          </cell>
          <cell r="O784">
            <v>-0.17647058823529418</v>
          </cell>
          <cell r="W784">
            <v>1045.5</v>
          </cell>
          <cell r="AA784">
            <v>30</v>
          </cell>
          <cell r="AB784">
            <v>1046</v>
          </cell>
          <cell r="AC784">
            <v>1162</v>
          </cell>
          <cell r="AD784">
            <v>1227</v>
          </cell>
          <cell r="AE784">
            <v>1290.74</v>
          </cell>
          <cell r="AF784">
            <v>0.18999953515037885</v>
          </cell>
          <cell r="AG784">
            <v>4.7058276647504539E-2</v>
          </cell>
          <cell r="AH784">
            <v>1317</v>
          </cell>
          <cell r="AI784">
            <v>1343</v>
          </cell>
          <cell r="AJ784">
            <v>0.22151898734177214</v>
          </cell>
          <cell r="AK784">
            <v>1368.5</v>
          </cell>
          <cell r="AL784">
            <v>1394</v>
          </cell>
          <cell r="AM784">
            <v>0.25</v>
          </cell>
          <cell r="AN784">
            <v>1590.03</v>
          </cell>
          <cell r="AO784">
            <v>1786.06</v>
          </cell>
          <cell r="AP784">
            <v>1982.09</v>
          </cell>
          <cell r="AQ784">
            <v>0</v>
          </cell>
          <cell r="AS784">
            <v>3000</v>
          </cell>
        </row>
        <row r="785">
          <cell r="B785" t="str">
            <v>AC</v>
          </cell>
          <cell r="C785" t="str">
            <v>IMP</v>
          </cell>
          <cell r="D785" t="str">
            <v>BT</v>
          </cell>
          <cell r="E785" t="str">
            <v>P3</v>
          </cell>
          <cell r="F785">
            <v>39990</v>
          </cell>
          <cell r="G785">
            <v>40001</v>
          </cell>
          <cell r="H785" t="str">
            <v>4583812</v>
          </cell>
          <cell r="K785" t="str">
            <v>FS-601 Booket Finisher</v>
          </cell>
          <cell r="L785">
            <v>3000</v>
          </cell>
          <cell r="N785">
            <v>1230</v>
          </cell>
          <cell r="W785">
            <v>1045.5</v>
          </cell>
          <cell r="AB785">
            <v>1046</v>
          </cell>
          <cell r="AC785">
            <v>1162</v>
          </cell>
          <cell r="AD785">
            <v>1227</v>
          </cell>
          <cell r="AE785">
            <v>1290.74</v>
          </cell>
          <cell r="AF785">
            <v>0.18999953515037885</v>
          </cell>
          <cell r="AG785">
            <v>4.7058276647504539E-2</v>
          </cell>
          <cell r="AH785">
            <v>1317</v>
          </cell>
          <cell r="AI785">
            <v>1343</v>
          </cell>
          <cell r="AJ785">
            <v>0.22151898734177214</v>
          </cell>
          <cell r="AK785">
            <v>1368.5</v>
          </cell>
          <cell r="AL785">
            <v>1394</v>
          </cell>
          <cell r="AM785">
            <v>0.25</v>
          </cell>
          <cell r="AN785">
            <v>1590.03</v>
          </cell>
          <cell r="AO785">
            <v>1786.06</v>
          </cell>
          <cell r="AP785">
            <v>1982.09</v>
          </cell>
          <cell r="AQ785">
            <v>0</v>
          </cell>
          <cell r="AS785">
            <v>3000</v>
          </cell>
        </row>
        <row r="786">
          <cell r="B786" t="str">
            <v>AC</v>
          </cell>
          <cell r="C786" t="str">
            <v>IMP</v>
          </cell>
          <cell r="D786" t="str">
            <v>BT</v>
          </cell>
          <cell r="E786" t="str">
            <v>P3</v>
          </cell>
          <cell r="F786">
            <v>39990</v>
          </cell>
          <cell r="G786">
            <v>40001</v>
          </cell>
          <cell r="H786" t="str">
            <v>4584612</v>
          </cell>
          <cell r="K786" t="str">
            <v>Interface Kit M (for Pi6500Pro)</v>
          </cell>
          <cell r="L786">
            <v>500</v>
          </cell>
          <cell r="N786">
            <v>252</v>
          </cell>
          <cell r="W786">
            <v>214.2</v>
          </cell>
          <cell r="AB786">
            <v>215</v>
          </cell>
          <cell r="AC786">
            <v>238</v>
          </cell>
          <cell r="AD786">
            <v>252</v>
          </cell>
          <cell r="AE786">
            <v>264.44</v>
          </cell>
          <cell r="AF786">
            <v>0.18998638632582063</v>
          </cell>
          <cell r="AG786">
            <v>4.7042807442141878E-2</v>
          </cell>
          <cell r="AH786">
            <v>271</v>
          </cell>
          <cell r="AI786">
            <v>276</v>
          </cell>
          <cell r="AJ786">
            <v>0.22391304347826091</v>
          </cell>
          <cell r="AK786">
            <v>281</v>
          </cell>
          <cell r="AL786">
            <v>286</v>
          </cell>
          <cell r="AM786">
            <v>0.25104895104895109</v>
          </cell>
          <cell r="AN786">
            <v>326.06</v>
          </cell>
          <cell r="AO786">
            <v>366.12</v>
          </cell>
          <cell r="AP786">
            <v>406.18</v>
          </cell>
          <cell r="AQ786">
            <v>0</v>
          </cell>
          <cell r="AS786">
            <v>500</v>
          </cell>
        </row>
        <row r="787">
          <cell r="B787" t="str">
            <v>AC</v>
          </cell>
          <cell r="C787" t="str">
            <v>IMP</v>
          </cell>
          <cell r="D787" t="str">
            <v>BT</v>
          </cell>
          <cell r="E787" t="str">
            <v>P3</v>
          </cell>
          <cell r="F787">
            <v>39990</v>
          </cell>
          <cell r="G787">
            <v>40001</v>
          </cell>
          <cell r="H787" t="str">
            <v>4586612</v>
          </cell>
          <cell r="K787" t="str">
            <v>Print Controller (Pi6500)</v>
          </cell>
          <cell r="L787">
            <v>5000</v>
          </cell>
          <cell r="N787">
            <v>2493</v>
          </cell>
          <cell r="W787">
            <v>2119.0499999999997</v>
          </cell>
          <cell r="AB787">
            <v>2120</v>
          </cell>
          <cell r="AC787">
            <v>2355</v>
          </cell>
          <cell r="AD787">
            <v>2486</v>
          </cell>
          <cell r="AE787">
            <v>2616.11</v>
          </cell>
          <cell r="AF787">
            <v>0.18999965597776866</v>
          </cell>
          <cell r="AG787">
            <v>4.7058418797374775E-2</v>
          </cell>
          <cell r="AH787">
            <v>2670</v>
          </cell>
          <cell r="AI787">
            <v>2722</v>
          </cell>
          <cell r="AJ787">
            <v>0.22150991917707577</v>
          </cell>
          <cell r="AK787">
            <v>2774</v>
          </cell>
          <cell r="AL787">
            <v>2826</v>
          </cell>
          <cell r="AM787">
            <v>0.25015923566878989</v>
          </cell>
          <cell r="AN787">
            <v>3223.17</v>
          </cell>
          <cell r="AO787">
            <v>3620.34</v>
          </cell>
          <cell r="AP787">
            <v>4017.51</v>
          </cell>
          <cell r="AQ787">
            <v>0</v>
          </cell>
          <cell r="AS787">
            <v>5000</v>
          </cell>
        </row>
        <row r="788">
          <cell r="B788" t="str">
            <v>AC</v>
          </cell>
          <cell r="C788" t="str">
            <v>IMP</v>
          </cell>
          <cell r="D788" t="str">
            <v>BT</v>
          </cell>
          <cell r="E788" t="str">
            <v>P3</v>
          </cell>
          <cell r="F788">
            <v>39990</v>
          </cell>
          <cell r="G788">
            <v>40001</v>
          </cell>
          <cell r="H788" t="str">
            <v>4592622</v>
          </cell>
          <cell r="K788" t="str">
            <v>Enhanced LCT (4,400-sheets 12"x18") (C-404)</v>
          </cell>
          <cell r="L788">
            <v>3185</v>
          </cell>
          <cell r="N788">
            <v>1097</v>
          </cell>
          <cell r="W788">
            <v>932.44999999999993</v>
          </cell>
          <cell r="AB788">
            <v>933</v>
          </cell>
          <cell r="AC788">
            <v>1037</v>
          </cell>
          <cell r="AD788">
            <v>1095</v>
          </cell>
          <cell r="AE788">
            <v>1151.17</v>
          </cell>
          <cell r="AF788">
            <v>0.18999800203271466</v>
          </cell>
          <cell r="AG788">
            <v>4.7056472979664227E-2</v>
          </cell>
          <cell r="AH788">
            <v>1175</v>
          </cell>
          <cell r="AI788">
            <v>1198</v>
          </cell>
          <cell r="AJ788">
            <v>0.22166110183639404</v>
          </cell>
          <cell r="AK788">
            <v>1221</v>
          </cell>
          <cell r="AL788">
            <v>1244</v>
          </cell>
          <cell r="AM788">
            <v>0.25044212218649525</v>
          </cell>
          <cell r="AN788">
            <v>1418.65</v>
          </cell>
          <cell r="AO788">
            <v>1593.3</v>
          </cell>
          <cell r="AP788">
            <v>1767.95</v>
          </cell>
          <cell r="AQ788">
            <v>0</v>
          </cell>
          <cell r="AS788">
            <v>3185</v>
          </cell>
        </row>
        <row r="789">
          <cell r="B789" t="str">
            <v>AC</v>
          </cell>
          <cell r="C789" t="str">
            <v>IMP</v>
          </cell>
          <cell r="D789" t="str">
            <v>BT</v>
          </cell>
          <cell r="E789" t="str">
            <v>P3</v>
          </cell>
          <cell r="F789">
            <v>39990</v>
          </cell>
          <cell r="G789">
            <v>40001</v>
          </cell>
          <cell r="H789" t="str">
            <v>4593622</v>
          </cell>
          <cell r="K789" t="str">
            <v>Enhanced LCT (4,400-sheets Letter) (C-403)</v>
          </cell>
          <cell r="L789">
            <v>2000</v>
          </cell>
          <cell r="M789">
            <v>3800</v>
          </cell>
          <cell r="N789">
            <v>828</v>
          </cell>
          <cell r="O789">
            <v>-0.17647058823529407</v>
          </cell>
          <cell r="S789">
            <v>5067</v>
          </cell>
          <cell r="W789">
            <v>703.8</v>
          </cell>
          <cell r="AB789">
            <v>704</v>
          </cell>
          <cell r="AC789">
            <v>782</v>
          </cell>
          <cell r="AD789">
            <v>826</v>
          </cell>
          <cell r="AE789">
            <v>868.89</v>
          </cell>
          <cell r="AF789">
            <v>0.19000103580430208</v>
          </cell>
          <cell r="AG789">
            <v>4.706004212270827E-2</v>
          </cell>
          <cell r="AH789">
            <v>887</v>
          </cell>
          <cell r="AI789">
            <v>904</v>
          </cell>
          <cell r="AJ789">
            <v>0.2214601769911505</v>
          </cell>
          <cell r="AK789">
            <v>921.5</v>
          </cell>
          <cell r="AL789">
            <v>939</v>
          </cell>
          <cell r="AM789">
            <v>0.25047923322683713</v>
          </cell>
          <cell r="AN789">
            <v>1070.81</v>
          </cell>
          <cell r="AO789">
            <v>1202.6199999999999</v>
          </cell>
          <cell r="AP789">
            <v>1334.43</v>
          </cell>
          <cell r="AQ789">
            <v>0</v>
          </cell>
          <cell r="AS789">
            <v>2000</v>
          </cell>
        </row>
        <row r="790">
          <cell r="B790" t="str">
            <v>AC</v>
          </cell>
          <cell r="C790" t="str">
            <v>IMP</v>
          </cell>
          <cell r="D790" t="str">
            <v>BT</v>
          </cell>
          <cell r="E790" t="str">
            <v>P3</v>
          </cell>
          <cell r="F790">
            <v>39990</v>
          </cell>
          <cell r="G790">
            <v>40001</v>
          </cell>
          <cell r="H790" t="str">
            <v>4594622</v>
          </cell>
          <cell r="K790" t="str">
            <v>Advanced Finisher (FN-6)</v>
          </cell>
          <cell r="L790">
            <v>4500</v>
          </cell>
          <cell r="N790">
            <v>1976</v>
          </cell>
          <cell r="W790">
            <v>1679.6</v>
          </cell>
          <cell r="AB790">
            <v>1680</v>
          </cell>
          <cell r="AC790">
            <v>1867</v>
          </cell>
          <cell r="AD790">
            <v>1971</v>
          </cell>
          <cell r="AE790">
            <v>2073.58</v>
          </cell>
          <cell r="AF790">
            <v>0.18999990354845245</v>
          </cell>
          <cell r="AG790">
            <v>4.705871005700283E-2</v>
          </cell>
          <cell r="AH790">
            <v>2116</v>
          </cell>
          <cell r="AI790">
            <v>2157</v>
          </cell>
          <cell r="AJ790">
            <v>0.22132591562355128</v>
          </cell>
          <cell r="AK790">
            <v>2198.5</v>
          </cell>
          <cell r="AL790">
            <v>2240</v>
          </cell>
          <cell r="AM790">
            <v>0.25017857142857147</v>
          </cell>
          <cell r="AN790">
            <v>2554.79</v>
          </cell>
          <cell r="AO790">
            <v>2869.58</v>
          </cell>
          <cell r="AP790">
            <v>3184.37</v>
          </cell>
          <cell r="AQ790">
            <v>0</v>
          </cell>
          <cell r="AS790">
            <v>4500</v>
          </cell>
        </row>
        <row r="791">
          <cell r="B791" t="str">
            <v>AC</v>
          </cell>
          <cell r="C791" t="str">
            <v>IMP</v>
          </cell>
          <cell r="D791" t="str">
            <v>BT</v>
          </cell>
          <cell r="E791" t="str">
            <v>P3</v>
          </cell>
          <cell r="F791">
            <v>39990</v>
          </cell>
          <cell r="G791">
            <v>40001</v>
          </cell>
          <cell r="H791" t="str">
            <v>4595611</v>
          </cell>
          <cell r="I791" t="str">
            <v>3KMB7640001445</v>
          </cell>
          <cell r="K791" t="str">
            <v>Hard Disk Drive Kit (HDD-2)</v>
          </cell>
          <cell r="L791">
            <v>850</v>
          </cell>
          <cell r="M791">
            <v>29.9</v>
          </cell>
          <cell r="N791">
            <v>378</v>
          </cell>
          <cell r="O791">
            <v>0.31623001776198933</v>
          </cell>
          <cell r="P791">
            <v>45.04</v>
          </cell>
          <cell r="Q791">
            <v>31.69</v>
          </cell>
          <cell r="R791">
            <v>34.229999999999997</v>
          </cell>
          <cell r="S791">
            <v>56.3</v>
          </cell>
          <cell r="T791">
            <v>0.45298401420959145</v>
          </cell>
          <cell r="U791">
            <v>43.598719999999993</v>
          </cell>
          <cell r="V791">
            <v>0.29362605140701364</v>
          </cell>
          <cell r="W791">
            <v>321.3</v>
          </cell>
          <cell r="X791">
            <v>0.8</v>
          </cell>
          <cell r="AA791">
            <v>54</v>
          </cell>
          <cell r="AB791">
            <v>322</v>
          </cell>
          <cell r="AC791">
            <v>357</v>
          </cell>
          <cell r="AD791">
            <v>377</v>
          </cell>
          <cell r="AE791">
            <v>396.67</v>
          </cell>
          <cell r="AF791">
            <v>0.19000680666549022</v>
          </cell>
          <cell r="AG791">
            <v>4.7066831371164984E-2</v>
          </cell>
          <cell r="AH791">
            <v>405</v>
          </cell>
          <cell r="AI791">
            <v>413</v>
          </cell>
          <cell r="AJ791">
            <v>0.22203389830508471</v>
          </cell>
          <cell r="AK791">
            <v>421</v>
          </cell>
          <cell r="AL791">
            <v>429</v>
          </cell>
          <cell r="AM791">
            <v>0.25104895104895103</v>
          </cell>
          <cell r="AN791">
            <v>489.09</v>
          </cell>
          <cell r="AO791">
            <v>549.17999999999995</v>
          </cell>
          <cell r="AP791">
            <v>609.27</v>
          </cell>
          <cell r="AQ791">
            <v>0</v>
          </cell>
          <cell r="AS791">
            <v>850</v>
          </cell>
        </row>
        <row r="792">
          <cell r="B792" t="str">
            <v>AC</v>
          </cell>
          <cell r="C792" t="str">
            <v>IMP</v>
          </cell>
          <cell r="D792" t="str">
            <v>BT</v>
          </cell>
          <cell r="E792" t="str">
            <v>P3</v>
          </cell>
          <cell r="F792">
            <v>39990</v>
          </cell>
          <cell r="G792">
            <v>40001</v>
          </cell>
          <cell r="H792" t="str">
            <v>4598622</v>
          </cell>
          <cell r="I792" t="str">
            <v>NLA</v>
          </cell>
          <cell r="K792" t="str">
            <v>Cover Inserter B for FN-10/FN-6, supports PK-5</v>
          </cell>
          <cell r="L792">
            <v>1045</v>
          </cell>
          <cell r="N792">
            <v>465</v>
          </cell>
          <cell r="O792">
            <v>-0.17647058823529421</v>
          </cell>
          <cell r="W792">
            <v>395.25</v>
          </cell>
          <cell r="AA792">
            <v>198</v>
          </cell>
          <cell r="AB792">
            <v>396</v>
          </cell>
          <cell r="AC792">
            <v>440</v>
          </cell>
          <cell r="AD792">
            <v>464</v>
          </cell>
          <cell r="AE792">
            <v>487.96</v>
          </cell>
          <cell r="AF792">
            <v>0.18999508156406258</v>
          </cell>
          <cell r="AG792">
            <v>4.7053037134191289E-2</v>
          </cell>
          <cell r="AH792">
            <v>498</v>
          </cell>
          <cell r="AI792">
            <v>508</v>
          </cell>
          <cell r="AJ792">
            <v>0.22194881889763779</v>
          </cell>
          <cell r="AK792">
            <v>517.5</v>
          </cell>
          <cell r="AL792">
            <v>527</v>
          </cell>
          <cell r="AM792">
            <v>0.25</v>
          </cell>
          <cell r="AN792">
            <v>601.11</v>
          </cell>
          <cell r="AO792">
            <v>675.22</v>
          </cell>
          <cell r="AP792">
            <v>749.33</v>
          </cell>
          <cell r="AQ792">
            <v>0</v>
          </cell>
          <cell r="AS792">
            <v>1045</v>
          </cell>
        </row>
        <row r="793">
          <cell r="B793" t="str">
            <v>AC</v>
          </cell>
          <cell r="C793" t="str">
            <v>IMP</v>
          </cell>
          <cell r="D793" t="str">
            <v>BT</v>
          </cell>
          <cell r="E793" t="str">
            <v>P3</v>
          </cell>
          <cell r="F793">
            <v>39990</v>
          </cell>
          <cell r="G793">
            <v>40001</v>
          </cell>
          <cell r="H793" t="str">
            <v>4599171</v>
          </cell>
          <cell r="I793" t="str">
            <v>3KMHHD50440GHDD</v>
          </cell>
          <cell r="K793" t="str">
            <v>Hard Disk Drive Kit (HDD-6)</v>
          </cell>
          <cell r="L793">
            <v>540</v>
          </cell>
          <cell r="M793">
            <v>214</v>
          </cell>
          <cell r="N793">
            <v>206</v>
          </cell>
          <cell r="O793">
            <v>-0.17647058823529421</v>
          </cell>
          <cell r="P793">
            <v>189.17599999999999</v>
          </cell>
          <cell r="Q793">
            <v>226.84</v>
          </cell>
          <cell r="R793">
            <v>244.99</v>
          </cell>
          <cell r="S793">
            <v>319.2</v>
          </cell>
          <cell r="T793">
            <v>0.30275689223057639</v>
          </cell>
          <cell r="U793">
            <v>247.18847999999997</v>
          </cell>
          <cell r="V793">
            <v>9.9634416620062435E-2</v>
          </cell>
          <cell r="W793">
            <v>175.1</v>
          </cell>
          <cell r="X793">
            <v>0.59265664160400999</v>
          </cell>
          <cell r="AA793">
            <v>229</v>
          </cell>
          <cell r="AB793">
            <v>176</v>
          </cell>
          <cell r="AC793">
            <v>195</v>
          </cell>
          <cell r="AD793">
            <v>206</v>
          </cell>
          <cell r="AE793">
            <v>216.17</v>
          </cell>
          <cell r="AF793">
            <v>0.18998936022574822</v>
          </cell>
          <cell r="AG793">
            <v>4.7046306147939067E-2</v>
          </cell>
          <cell r="AH793">
            <v>222</v>
          </cell>
          <cell r="AI793">
            <v>226</v>
          </cell>
          <cell r="AJ793">
            <v>0.22522123893805313</v>
          </cell>
          <cell r="AK793">
            <v>230</v>
          </cell>
          <cell r="AL793">
            <v>234</v>
          </cell>
          <cell r="AM793">
            <v>0.25170940170940176</v>
          </cell>
          <cell r="AN793">
            <v>266.7</v>
          </cell>
          <cell r="AO793">
            <v>299.39999999999998</v>
          </cell>
          <cell r="AP793">
            <v>332.1</v>
          </cell>
          <cell r="AQ793">
            <v>0</v>
          </cell>
          <cell r="AS793">
            <v>540</v>
          </cell>
        </row>
        <row r="794">
          <cell r="B794" t="str">
            <v>AC</v>
          </cell>
          <cell r="C794" t="str">
            <v>IMP</v>
          </cell>
          <cell r="D794" t="str">
            <v>BT</v>
          </cell>
          <cell r="E794" t="str">
            <v>P3</v>
          </cell>
          <cell r="F794">
            <v>39990</v>
          </cell>
          <cell r="G794">
            <v>40001</v>
          </cell>
          <cell r="H794" t="str">
            <v>4599181</v>
          </cell>
          <cell r="K794" t="str">
            <v>Parallel Interface Kit</v>
          </cell>
          <cell r="L794">
            <v>90</v>
          </cell>
          <cell r="M794">
            <v>0</v>
          </cell>
          <cell r="N794">
            <v>29</v>
          </cell>
          <cell r="O794">
            <v>0</v>
          </cell>
          <cell r="S794">
            <v>0</v>
          </cell>
          <cell r="W794">
            <v>24.65</v>
          </cell>
          <cell r="AA794">
            <v>424</v>
          </cell>
          <cell r="AB794">
            <v>25</v>
          </cell>
          <cell r="AC794">
            <v>28</v>
          </cell>
          <cell r="AD794">
            <v>30</v>
          </cell>
          <cell r="AE794">
            <v>30.43</v>
          </cell>
          <cell r="AF794">
            <v>0.18994413407821234</v>
          </cell>
          <cell r="AG794">
            <v>4.699309891554386E-2</v>
          </cell>
          <cell r="AH794">
            <v>32</v>
          </cell>
          <cell r="AI794">
            <v>32</v>
          </cell>
          <cell r="AJ794">
            <v>0.22968750000000004</v>
          </cell>
          <cell r="AK794">
            <v>32.5</v>
          </cell>
          <cell r="AL794">
            <v>33</v>
          </cell>
          <cell r="AM794">
            <v>0.25303030303030305</v>
          </cell>
          <cell r="AN794">
            <v>37.590000000000003</v>
          </cell>
          <cell r="AO794">
            <v>42.18</v>
          </cell>
          <cell r="AP794">
            <v>46.77</v>
          </cell>
          <cell r="AQ794">
            <v>0</v>
          </cell>
          <cell r="AS794">
            <v>90</v>
          </cell>
        </row>
        <row r="795">
          <cell r="B795" t="str">
            <v>AC</v>
          </cell>
          <cell r="C795" t="str">
            <v>IMP</v>
          </cell>
          <cell r="D795" t="str">
            <v>BT</v>
          </cell>
          <cell r="E795" t="str">
            <v>P3</v>
          </cell>
          <cell r="F795">
            <v>39990</v>
          </cell>
          <cell r="G795">
            <v>40001</v>
          </cell>
          <cell r="H795" t="str">
            <v>4599192</v>
          </cell>
          <cell r="J795" t="str">
            <v>NLA</v>
          </cell>
          <cell r="K795" t="str">
            <v>Printer Panel 1</v>
          </cell>
          <cell r="L795">
            <v>65</v>
          </cell>
          <cell r="N795">
            <v>37</v>
          </cell>
          <cell r="O795">
            <v>-0.17647058823529416</v>
          </cell>
          <cell r="W795">
            <v>31.45</v>
          </cell>
          <cell r="AA795">
            <v>424</v>
          </cell>
          <cell r="AB795">
            <v>32</v>
          </cell>
          <cell r="AC795">
            <v>35</v>
          </cell>
          <cell r="AD795">
            <v>37</v>
          </cell>
          <cell r="AE795">
            <v>38.83</v>
          </cell>
          <cell r="AF795">
            <v>0.19005923255215038</v>
          </cell>
          <cell r="AG795">
            <v>4.7128508884882778E-2</v>
          </cell>
          <cell r="AH795">
            <v>40</v>
          </cell>
          <cell r="AI795">
            <v>41</v>
          </cell>
          <cell r="AJ795">
            <v>0.2329268292682927</v>
          </cell>
          <cell r="AK795">
            <v>41.5</v>
          </cell>
          <cell r="AL795">
            <v>42</v>
          </cell>
          <cell r="AM795">
            <v>0.25119047619047619</v>
          </cell>
          <cell r="AN795">
            <v>47.75</v>
          </cell>
          <cell r="AO795">
            <v>53.5</v>
          </cell>
          <cell r="AP795">
            <v>59.25</v>
          </cell>
          <cell r="AQ795">
            <v>0</v>
          </cell>
          <cell r="AS795">
            <v>65</v>
          </cell>
        </row>
        <row r="796">
          <cell r="B796" t="str">
            <v>AC</v>
          </cell>
          <cell r="C796" t="str">
            <v>IMP</v>
          </cell>
          <cell r="D796" t="str">
            <v>BT</v>
          </cell>
          <cell r="E796" t="str">
            <v>P3</v>
          </cell>
          <cell r="F796">
            <v>39990</v>
          </cell>
          <cell r="G796">
            <v>40001</v>
          </cell>
          <cell r="H796" t="str">
            <v>4599211</v>
          </cell>
          <cell r="J796">
            <v>0</v>
          </cell>
          <cell r="K796" t="str">
            <v>Key Counter Kit 4</v>
          </cell>
          <cell r="L796">
            <v>110</v>
          </cell>
          <cell r="N796">
            <v>63</v>
          </cell>
          <cell r="O796">
            <v>-0.17647058823529416</v>
          </cell>
          <cell r="W796">
            <v>53.55</v>
          </cell>
          <cell r="AA796">
            <v>424</v>
          </cell>
          <cell r="AB796">
            <v>54</v>
          </cell>
          <cell r="AC796">
            <v>60</v>
          </cell>
          <cell r="AD796">
            <v>64</v>
          </cell>
          <cell r="AE796">
            <v>66.11</v>
          </cell>
          <cell r="AF796">
            <v>0.18998638632582063</v>
          </cell>
          <cell r="AG796">
            <v>4.7042807442141878E-2</v>
          </cell>
          <cell r="AH796">
            <v>69</v>
          </cell>
          <cell r="AI796">
            <v>70</v>
          </cell>
          <cell r="AJ796">
            <v>0.23500000000000004</v>
          </cell>
          <cell r="AK796">
            <v>71</v>
          </cell>
          <cell r="AL796">
            <v>72</v>
          </cell>
          <cell r="AM796">
            <v>0.25625000000000003</v>
          </cell>
          <cell r="AN796">
            <v>81.5</v>
          </cell>
          <cell r="AO796">
            <v>91</v>
          </cell>
          <cell r="AP796">
            <v>100.5</v>
          </cell>
          <cell r="AQ796">
            <v>0</v>
          </cell>
          <cell r="AS796">
            <v>110</v>
          </cell>
        </row>
        <row r="797">
          <cell r="B797" t="str">
            <v>AC</v>
          </cell>
          <cell r="C797" t="str">
            <v>IMP</v>
          </cell>
          <cell r="D797" t="str">
            <v>BT</v>
          </cell>
          <cell r="E797" t="str">
            <v>P3</v>
          </cell>
          <cell r="F797">
            <v>39990</v>
          </cell>
          <cell r="G797">
            <v>40001</v>
          </cell>
          <cell r="H797" t="str">
            <v>4599221</v>
          </cell>
          <cell r="K797" t="str">
            <v>Original Cover Kit (OC-6)</v>
          </cell>
          <cell r="L797">
            <v>90</v>
          </cell>
          <cell r="N797">
            <v>29</v>
          </cell>
          <cell r="O797">
            <v>-0.17647058823529405</v>
          </cell>
          <cell r="W797">
            <v>24.65</v>
          </cell>
          <cell r="AA797">
            <v>1325</v>
          </cell>
          <cell r="AB797">
            <v>25</v>
          </cell>
          <cell r="AC797">
            <v>28</v>
          </cell>
          <cell r="AD797">
            <v>30</v>
          </cell>
          <cell r="AE797">
            <v>30.43</v>
          </cell>
          <cell r="AF797">
            <v>0.18994413407821234</v>
          </cell>
          <cell r="AG797">
            <v>4.699309891554386E-2</v>
          </cell>
          <cell r="AH797">
            <v>32</v>
          </cell>
          <cell r="AI797">
            <v>32</v>
          </cell>
          <cell r="AJ797">
            <v>0.22968750000000004</v>
          </cell>
          <cell r="AK797">
            <v>32.5</v>
          </cell>
          <cell r="AL797">
            <v>33</v>
          </cell>
          <cell r="AM797">
            <v>0.25303030303030305</v>
          </cell>
          <cell r="AN797">
            <v>37.590000000000003</v>
          </cell>
          <cell r="AO797">
            <v>42.18</v>
          </cell>
          <cell r="AP797">
            <v>46.77</v>
          </cell>
          <cell r="AQ797">
            <v>0</v>
          </cell>
          <cell r="AS797">
            <v>90</v>
          </cell>
        </row>
        <row r="798">
          <cell r="B798" t="str">
            <v>AC</v>
          </cell>
          <cell r="C798" t="str">
            <v>IMP</v>
          </cell>
          <cell r="D798" t="str">
            <v>BT</v>
          </cell>
          <cell r="E798" t="str">
            <v>P3</v>
          </cell>
          <cell r="F798">
            <v>39990</v>
          </cell>
          <cell r="G798">
            <v>40001</v>
          </cell>
          <cell r="H798" t="str">
            <v>4599232</v>
          </cell>
          <cell r="K798" t="str">
            <v>Copy Vendor Kit</v>
          </cell>
          <cell r="L798">
            <v>40</v>
          </cell>
          <cell r="M798">
            <v>223.07599999999999</v>
          </cell>
          <cell r="N798">
            <v>19</v>
          </cell>
          <cell r="O798">
            <v>-0.17647058823529421</v>
          </cell>
          <cell r="S798">
            <v>257</v>
          </cell>
          <cell r="W798">
            <v>16.149999999999999</v>
          </cell>
          <cell r="AB798">
            <v>17</v>
          </cell>
          <cell r="AC798">
            <v>18</v>
          </cell>
          <cell r="AD798">
            <v>19</v>
          </cell>
          <cell r="AE798">
            <v>19.940000000000001</v>
          </cell>
          <cell r="AF798">
            <v>0.1900702106318958</v>
          </cell>
          <cell r="AG798">
            <v>4.7141424272818519E-2</v>
          </cell>
          <cell r="AH798">
            <v>21</v>
          </cell>
          <cell r="AI798">
            <v>21</v>
          </cell>
          <cell r="AJ798">
            <v>0.23095238095238102</v>
          </cell>
          <cell r="AK798">
            <v>21.5</v>
          </cell>
          <cell r="AL798">
            <v>22</v>
          </cell>
          <cell r="AM798">
            <v>0.26590909090909098</v>
          </cell>
          <cell r="AN798">
            <v>24.91</v>
          </cell>
          <cell r="AO798">
            <v>27.82</v>
          </cell>
          <cell r="AP798">
            <v>30.73</v>
          </cell>
          <cell r="AQ798">
            <v>0</v>
          </cell>
          <cell r="AS798">
            <v>40</v>
          </cell>
        </row>
        <row r="799">
          <cell r="B799" t="str">
            <v>AC</v>
          </cell>
          <cell r="C799" t="str">
            <v>IMP</v>
          </cell>
          <cell r="D799" t="str">
            <v>BT</v>
          </cell>
          <cell r="E799" t="str">
            <v>P3</v>
          </cell>
          <cell r="F799">
            <v>39990</v>
          </cell>
          <cell r="G799">
            <v>40001</v>
          </cell>
          <cell r="H799" t="str">
            <v>4599308</v>
          </cell>
          <cell r="K799" t="str">
            <v xml:space="preserve">HD-501 </v>
          </cell>
          <cell r="L799">
            <v>321</v>
          </cell>
          <cell r="M799">
            <v>28.2</v>
          </cell>
          <cell r="N799">
            <v>212</v>
          </cell>
          <cell r="O799">
            <v>-0.17647058823529413</v>
          </cell>
          <cell r="S799">
            <v>46</v>
          </cell>
          <cell r="W799">
            <v>180.2</v>
          </cell>
          <cell r="AB799">
            <v>181</v>
          </cell>
          <cell r="AC799">
            <v>201</v>
          </cell>
          <cell r="AD799">
            <v>212</v>
          </cell>
          <cell r="AE799">
            <v>222.47</v>
          </cell>
          <cell r="AF799">
            <v>0.19000314649166183</v>
          </cell>
          <cell r="AG799">
            <v>4.7062525284307995E-2</v>
          </cell>
          <cell r="AH799">
            <v>228</v>
          </cell>
          <cell r="AI799">
            <v>232</v>
          </cell>
          <cell r="AJ799">
            <v>0.22327586206896557</v>
          </cell>
          <cell r="AK799">
            <v>236.5</v>
          </cell>
          <cell r="AL799">
            <v>241</v>
          </cell>
          <cell r="AM799">
            <v>0.2522821576763486</v>
          </cell>
          <cell r="AN799">
            <v>261</v>
          </cell>
          <cell r="AO799">
            <v>281</v>
          </cell>
          <cell r="AP799">
            <v>301</v>
          </cell>
          <cell r="AQ799">
            <v>0</v>
          </cell>
          <cell r="AS799">
            <v>321</v>
          </cell>
        </row>
        <row r="800">
          <cell r="B800" t="str">
            <v>AC</v>
          </cell>
          <cell r="C800" t="str">
            <v>IMP</v>
          </cell>
          <cell r="D800" t="str">
            <v>BT</v>
          </cell>
          <cell r="E800" t="str">
            <v>P3</v>
          </cell>
          <cell r="F800">
            <v>39990</v>
          </cell>
          <cell r="G800">
            <v>40001</v>
          </cell>
          <cell r="H800" t="str">
            <v>4599311</v>
          </cell>
          <cell r="K800" t="str">
            <v>Parallel I/F Kit EK-501</v>
          </cell>
          <cell r="L800">
            <v>150</v>
          </cell>
          <cell r="M800">
            <v>0</v>
          </cell>
          <cell r="N800">
            <v>65</v>
          </cell>
          <cell r="O800">
            <v>0</v>
          </cell>
          <cell r="S800">
            <v>0</v>
          </cell>
          <cell r="W800">
            <v>55.25</v>
          </cell>
          <cell r="AB800">
            <v>56</v>
          </cell>
          <cell r="AC800">
            <v>62</v>
          </cell>
          <cell r="AD800">
            <v>66</v>
          </cell>
          <cell r="AE800">
            <v>68.209999999999994</v>
          </cell>
          <cell r="AF800">
            <v>0.19000146606069485</v>
          </cell>
          <cell r="AG800">
            <v>4.7060548306699812E-2</v>
          </cell>
          <cell r="AH800">
            <v>71</v>
          </cell>
          <cell r="AI800">
            <v>72</v>
          </cell>
          <cell r="AJ800">
            <v>0.2326388888888889</v>
          </cell>
          <cell r="AK800">
            <v>73</v>
          </cell>
          <cell r="AL800">
            <v>74</v>
          </cell>
          <cell r="AM800">
            <v>0.2533783783783784</v>
          </cell>
          <cell r="AN800">
            <v>84.28</v>
          </cell>
          <cell r="AO800">
            <v>94.56</v>
          </cell>
          <cell r="AP800">
            <v>104.84</v>
          </cell>
          <cell r="AQ800">
            <v>0</v>
          </cell>
          <cell r="AS800">
            <v>150</v>
          </cell>
        </row>
        <row r="801">
          <cell r="B801" t="str">
            <v>AC</v>
          </cell>
          <cell r="C801" t="str">
            <v>IMP</v>
          </cell>
          <cell r="D801" t="str">
            <v>BT</v>
          </cell>
          <cell r="E801" t="str">
            <v>P3</v>
          </cell>
          <cell r="F801">
            <v>39990</v>
          </cell>
          <cell r="G801">
            <v>40001</v>
          </cell>
          <cell r="H801" t="str">
            <v>4599362</v>
          </cell>
          <cell r="K801" t="str">
            <v>(VI-502) I/F Kit for IC-402</v>
          </cell>
          <cell r="L801">
            <v>265</v>
          </cell>
          <cell r="M801">
            <v>5474.7572</v>
          </cell>
          <cell r="N801">
            <v>131.04</v>
          </cell>
          <cell r="O801">
            <v>-0.1764705882352941</v>
          </cell>
          <cell r="S801">
            <v>7475</v>
          </cell>
          <cell r="W801">
            <v>111.38399999999999</v>
          </cell>
          <cell r="AB801">
            <v>112</v>
          </cell>
          <cell r="AC801">
            <v>124</v>
          </cell>
          <cell r="AD801">
            <v>131</v>
          </cell>
          <cell r="AE801">
            <v>137.51</v>
          </cell>
          <cell r="AF801">
            <v>0.18999345502145304</v>
          </cell>
          <cell r="AG801">
            <v>4.7051123554650569E-2</v>
          </cell>
          <cell r="AH801">
            <v>141</v>
          </cell>
          <cell r="AI801">
            <v>144</v>
          </cell>
          <cell r="AJ801">
            <v>0.22650000000000009</v>
          </cell>
          <cell r="AK801">
            <v>146.5</v>
          </cell>
          <cell r="AL801">
            <v>149</v>
          </cell>
          <cell r="AM801">
            <v>0.25245637583892627</v>
          </cell>
          <cell r="AN801">
            <v>169.76</v>
          </cell>
          <cell r="AO801">
            <v>190.52</v>
          </cell>
          <cell r="AP801">
            <v>211.28</v>
          </cell>
          <cell r="AQ801">
            <v>0</v>
          </cell>
          <cell r="AS801">
            <v>265</v>
          </cell>
        </row>
        <row r="802">
          <cell r="B802" t="str">
            <v>AC</v>
          </cell>
          <cell r="C802" t="str">
            <v>IMP</v>
          </cell>
          <cell r="D802" t="str">
            <v>BT</v>
          </cell>
          <cell r="E802" t="str">
            <v>P3</v>
          </cell>
          <cell r="F802">
            <v>39990</v>
          </cell>
          <cell r="G802">
            <v>40001</v>
          </cell>
          <cell r="H802" t="str">
            <v>4599391</v>
          </cell>
          <cell r="K802" t="str">
            <v>(MK-703) Enhanced Option Connection</v>
          </cell>
          <cell r="L802">
            <v>90</v>
          </cell>
          <cell r="M802">
            <v>4312.62</v>
          </cell>
          <cell r="N802">
            <v>41.6</v>
          </cell>
          <cell r="O802">
            <v>-0.17647058823529413</v>
          </cell>
          <cell r="S802">
            <v>5818</v>
          </cell>
          <cell r="W802">
            <v>35.36</v>
          </cell>
          <cell r="AB802">
            <v>36</v>
          </cell>
          <cell r="AC802">
            <v>40</v>
          </cell>
          <cell r="AD802">
            <v>42</v>
          </cell>
          <cell r="AE802">
            <v>43.65</v>
          </cell>
          <cell r="AF802">
            <v>0.18991981672394043</v>
          </cell>
          <cell r="AG802">
            <v>4.6964490263459273E-2</v>
          </cell>
          <cell r="AH802">
            <v>45</v>
          </cell>
          <cell r="AI802">
            <v>46</v>
          </cell>
          <cell r="AJ802">
            <v>0.23130434782608697</v>
          </cell>
          <cell r="AK802">
            <v>47</v>
          </cell>
          <cell r="AL802">
            <v>48</v>
          </cell>
          <cell r="AM802">
            <v>0.26333333333333336</v>
          </cell>
          <cell r="AN802">
            <v>54.42</v>
          </cell>
          <cell r="AO802">
            <v>60.84</v>
          </cell>
          <cell r="AP802">
            <v>67.260000000000005</v>
          </cell>
          <cell r="AQ802">
            <v>0</v>
          </cell>
          <cell r="AS802">
            <v>90</v>
          </cell>
        </row>
        <row r="803">
          <cell r="B803" t="str">
            <v>AC</v>
          </cell>
          <cell r="C803" t="str">
            <v>IMP</v>
          </cell>
          <cell r="D803" t="str">
            <v>BT</v>
          </cell>
          <cell r="E803" t="str">
            <v>P3</v>
          </cell>
          <cell r="F803">
            <v>39990</v>
          </cell>
          <cell r="G803">
            <v>40001</v>
          </cell>
          <cell r="H803" t="str">
            <v>4612712</v>
          </cell>
          <cell r="K803" t="str">
            <v>Mailbin Finisher (50-sheet single position stapling, 2 or 3-hole punch, offsetting, and mailbins) (FN-503)</v>
          </cell>
          <cell r="L803">
            <v>2850</v>
          </cell>
          <cell r="M803">
            <v>3900</v>
          </cell>
          <cell r="N803">
            <v>1163</v>
          </cell>
          <cell r="O803">
            <v>-0.17647058823529418</v>
          </cell>
          <cell r="S803">
            <v>5233</v>
          </cell>
          <cell r="W803">
            <v>988.55</v>
          </cell>
          <cell r="AB803">
            <v>989</v>
          </cell>
          <cell r="AC803">
            <v>1099</v>
          </cell>
          <cell r="AD803">
            <v>1160</v>
          </cell>
          <cell r="AE803">
            <v>1220.43</v>
          </cell>
          <cell r="AF803">
            <v>0.18999860704833552</v>
          </cell>
          <cell r="AG803">
            <v>4.7057184762747603E-2</v>
          </cell>
          <cell r="AH803">
            <v>1246</v>
          </cell>
          <cell r="AI803">
            <v>1270</v>
          </cell>
          <cell r="AJ803">
            <v>0.22161417322834651</v>
          </cell>
          <cell r="AK803">
            <v>1294.5</v>
          </cell>
          <cell r="AL803">
            <v>1319</v>
          </cell>
          <cell r="AM803">
            <v>0.25053070507960579</v>
          </cell>
          <cell r="AN803">
            <v>1504.12</v>
          </cell>
          <cell r="AO803">
            <v>1689.24</v>
          </cell>
          <cell r="AP803">
            <v>1874.36</v>
          </cell>
          <cell r="AQ803">
            <v>0</v>
          </cell>
          <cell r="AS803">
            <v>2850</v>
          </cell>
        </row>
        <row r="804">
          <cell r="B804" t="str">
            <v>AC</v>
          </cell>
          <cell r="C804" t="str">
            <v>IMP</v>
          </cell>
          <cell r="D804" t="str">
            <v>BT</v>
          </cell>
          <cell r="E804" t="str">
            <v>P3</v>
          </cell>
          <cell r="F804">
            <v>39990</v>
          </cell>
          <cell r="G804">
            <v>40001</v>
          </cell>
          <cell r="H804" t="str">
            <v>4614101</v>
          </cell>
          <cell r="K804" t="str">
            <v>Modification Kit for Letter R &amp; Legal-Size Paper in LCC (LCC Landscape Kit)</v>
          </cell>
          <cell r="L804">
            <v>194</v>
          </cell>
          <cell r="M804">
            <v>700</v>
          </cell>
          <cell r="N804">
            <v>88</v>
          </cell>
          <cell r="O804">
            <v>-0.17647058823529407</v>
          </cell>
          <cell r="P804">
            <v>612.85</v>
          </cell>
          <cell r="Q804">
            <v>742</v>
          </cell>
          <cell r="R804">
            <v>801.36</v>
          </cell>
          <cell r="S804">
            <v>878</v>
          </cell>
          <cell r="T804">
            <v>0.17881548974943051</v>
          </cell>
          <cell r="U804">
            <v>755.08</v>
          </cell>
          <cell r="V804">
            <v>4.5134290406314614E-2</v>
          </cell>
          <cell r="W804">
            <v>74.8</v>
          </cell>
          <cell r="X804">
            <v>0.69800683371298411</v>
          </cell>
          <cell r="AA804">
            <v>741</v>
          </cell>
          <cell r="AB804">
            <v>75</v>
          </cell>
          <cell r="AC804">
            <v>84</v>
          </cell>
          <cell r="AD804">
            <v>89</v>
          </cell>
          <cell r="AE804">
            <v>92.35</v>
          </cell>
          <cell r="AF804">
            <v>0.19003789929615592</v>
          </cell>
          <cell r="AG804">
            <v>4.7103410936653975E-2</v>
          </cell>
          <cell r="AH804">
            <v>95</v>
          </cell>
          <cell r="AI804">
            <v>97</v>
          </cell>
          <cell r="AJ804">
            <v>0.22886597938144332</v>
          </cell>
          <cell r="AK804">
            <v>98.5</v>
          </cell>
          <cell r="AL804">
            <v>100</v>
          </cell>
          <cell r="AM804">
            <v>0.252</v>
          </cell>
          <cell r="AN804">
            <v>113.96</v>
          </cell>
          <cell r="AO804">
            <v>127.92</v>
          </cell>
          <cell r="AP804">
            <v>141.88</v>
          </cell>
          <cell r="AQ804">
            <v>0</v>
          </cell>
          <cell r="AS804">
            <v>194</v>
          </cell>
        </row>
        <row r="805">
          <cell r="B805" t="str">
            <v>AC</v>
          </cell>
          <cell r="C805" t="str">
            <v>IMP</v>
          </cell>
          <cell r="D805" t="str">
            <v>BT</v>
          </cell>
          <cell r="E805" t="str">
            <v>P3</v>
          </cell>
          <cell r="F805">
            <v>39990</v>
          </cell>
          <cell r="G805">
            <v>40001</v>
          </cell>
          <cell r="H805" t="str">
            <v>4614211</v>
          </cell>
          <cell r="K805" t="str">
            <v>2-Hole Punch Kit for FN-100/500/503/504 (Kit C)</v>
          </cell>
          <cell r="L805">
            <v>242</v>
          </cell>
          <cell r="M805">
            <v>405.93</v>
          </cell>
          <cell r="N805">
            <v>103</v>
          </cell>
          <cell r="O805">
            <v>-0.17647058823529416</v>
          </cell>
          <cell r="S805">
            <v>627</v>
          </cell>
          <cell r="W805">
            <v>87.55</v>
          </cell>
          <cell r="AB805">
            <v>88</v>
          </cell>
          <cell r="AC805">
            <v>98</v>
          </cell>
          <cell r="AD805">
            <v>104</v>
          </cell>
          <cell r="AE805">
            <v>108.09</v>
          </cell>
          <cell r="AF805">
            <v>0.19002682949394029</v>
          </cell>
          <cell r="AG805">
            <v>4.7090387639929718E-2</v>
          </cell>
          <cell r="AH805">
            <v>111</v>
          </cell>
          <cell r="AI805">
            <v>113</v>
          </cell>
          <cell r="AJ805">
            <v>0.22522123893805313</v>
          </cell>
          <cell r="AK805">
            <v>115</v>
          </cell>
          <cell r="AL805">
            <v>117</v>
          </cell>
          <cell r="AM805">
            <v>0.25170940170940176</v>
          </cell>
          <cell r="AN805">
            <v>133.35</v>
          </cell>
          <cell r="AO805">
            <v>149.69999999999999</v>
          </cell>
          <cell r="AP805">
            <v>166.05</v>
          </cell>
          <cell r="AQ805">
            <v>0</v>
          </cell>
          <cell r="AS805">
            <v>242</v>
          </cell>
        </row>
        <row r="806">
          <cell r="B806" t="str">
            <v>AC</v>
          </cell>
          <cell r="C806" t="str">
            <v>IMP</v>
          </cell>
          <cell r="D806" t="str">
            <v>BT</v>
          </cell>
          <cell r="E806" t="str">
            <v>P3</v>
          </cell>
          <cell r="F806">
            <v>39990</v>
          </cell>
          <cell r="G806">
            <v>40001</v>
          </cell>
          <cell r="H806" t="str">
            <v>4614501</v>
          </cell>
          <cell r="K806" t="str">
            <v>TX Marker Stamp (UNIT 2)</v>
          </cell>
          <cell r="L806">
            <v>45</v>
          </cell>
          <cell r="M806">
            <v>0</v>
          </cell>
          <cell r="N806">
            <v>14</v>
          </cell>
          <cell r="O806">
            <v>0</v>
          </cell>
          <cell r="S806">
            <v>0</v>
          </cell>
          <cell r="W806">
            <v>11.9</v>
          </cell>
          <cell r="AB806">
            <v>12</v>
          </cell>
          <cell r="AC806">
            <v>14</v>
          </cell>
          <cell r="AD806">
            <v>15</v>
          </cell>
          <cell r="AE806">
            <v>14.69</v>
          </cell>
          <cell r="AF806">
            <v>0.18992511912865889</v>
          </cell>
          <cell r="AG806">
            <v>4.6970728386657556E-2</v>
          </cell>
          <cell r="AH806">
            <v>16</v>
          </cell>
          <cell r="AI806">
            <v>16</v>
          </cell>
          <cell r="AJ806">
            <v>0.25624999999999998</v>
          </cell>
          <cell r="AK806">
            <v>16</v>
          </cell>
          <cell r="AL806">
            <v>16</v>
          </cell>
          <cell r="AM806">
            <v>0.25624999999999998</v>
          </cell>
          <cell r="AN806">
            <v>18.2</v>
          </cell>
          <cell r="AO806">
            <v>20.399999999999999</v>
          </cell>
          <cell r="AP806">
            <v>22.6</v>
          </cell>
          <cell r="AQ806">
            <v>0</v>
          </cell>
          <cell r="AS806">
            <v>45</v>
          </cell>
        </row>
        <row r="807">
          <cell r="B807" t="str">
            <v>AC</v>
          </cell>
          <cell r="C807" t="str">
            <v>IMP</v>
          </cell>
          <cell r="D807" t="str">
            <v>BT</v>
          </cell>
          <cell r="E807" t="str">
            <v>P3</v>
          </cell>
          <cell r="F807">
            <v>39990</v>
          </cell>
          <cell r="G807">
            <v>40001</v>
          </cell>
          <cell r="H807" t="str">
            <v>4623242</v>
          </cell>
          <cell r="K807" t="str">
            <v>Interface Kit for Di450/Di470/Di550 connectivity (bundled with controller)</v>
          </cell>
          <cell r="L807">
            <v>400</v>
          </cell>
          <cell r="M807">
            <v>3500</v>
          </cell>
          <cell r="N807">
            <v>119</v>
          </cell>
          <cell r="O807">
            <v>-0.17647058823529413</v>
          </cell>
          <cell r="S807">
            <v>4680</v>
          </cell>
          <cell r="W807">
            <v>101.14999999999999</v>
          </cell>
          <cell r="AB807">
            <v>102</v>
          </cell>
          <cell r="AC807">
            <v>113</v>
          </cell>
          <cell r="AD807">
            <v>119</v>
          </cell>
          <cell r="AE807">
            <v>124.88</v>
          </cell>
          <cell r="AF807">
            <v>0.19002242152466373</v>
          </cell>
          <cell r="AG807">
            <v>4.7085201793721936E-2</v>
          </cell>
          <cell r="AH807">
            <v>128</v>
          </cell>
          <cell r="AI807">
            <v>130</v>
          </cell>
          <cell r="AJ807">
            <v>0.221923076923077</v>
          </cell>
          <cell r="AK807">
            <v>132.5</v>
          </cell>
          <cell r="AL807">
            <v>135</v>
          </cell>
          <cell r="AM807">
            <v>0.25074074074074082</v>
          </cell>
          <cell r="AN807">
            <v>153.93</v>
          </cell>
          <cell r="AO807">
            <v>172.86</v>
          </cell>
          <cell r="AP807">
            <v>191.79</v>
          </cell>
          <cell r="AQ807">
            <v>0</v>
          </cell>
          <cell r="AS807">
            <v>400</v>
          </cell>
        </row>
        <row r="808">
          <cell r="B808" t="str">
            <v>AC</v>
          </cell>
          <cell r="C808" t="str">
            <v>IMP</v>
          </cell>
          <cell r="D808" t="str">
            <v>BT</v>
          </cell>
          <cell r="E808" t="str">
            <v>P3</v>
          </cell>
          <cell r="F808">
            <v>39990</v>
          </cell>
          <cell r="G808">
            <v>40001</v>
          </cell>
          <cell r="H808" t="str">
            <v>4623251</v>
          </cell>
          <cell r="K808" t="str">
            <v>HDD for Copier without 32MB RAM (HDD-1)</v>
          </cell>
          <cell r="L808">
            <v>695</v>
          </cell>
          <cell r="M808">
            <v>2300</v>
          </cell>
          <cell r="N808">
            <v>237</v>
          </cell>
          <cell r="O808">
            <v>-0.17647058823529418</v>
          </cell>
          <cell r="S808">
            <v>3120</v>
          </cell>
          <cell r="W808">
            <v>201.45</v>
          </cell>
          <cell r="AB808">
            <v>202</v>
          </cell>
          <cell r="AC808">
            <v>224</v>
          </cell>
          <cell r="AD808">
            <v>237</v>
          </cell>
          <cell r="AE808">
            <v>248.7</v>
          </cell>
          <cell r="AF808">
            <v>0.1899879372738239</v>
          </cell>
          <cell r="AG808">
            <v>4.7044632086851584E-2</v>
          </cell>
          <cell r="AH808">
            <v>254</v>
          </cell>
          <cell r="AI808">
            <v>259</v>
          </cell>
          <cell r="AJ808">
            <v>0.22220077220077225</v>
          </cell>
          <cell r="AK808">
            <v>264</v>
          </cell>
          <cell r="AL808">
            <v>269</v>
          </cell>
          <cell r="AM808">
            <v>0.25111524163568777</v>
          </cell>
          <cell r="AN808">
            <v>306.67</v>
          </cell>
          <cell r="AO808">
            <v>344.34</v>
          </cell>
          <cell r="AP808">
            <v>382.01</v>
          </cell>
          <cell r="AQ808">
            <v>0</v>
          </cell>
          <cell r="AS808">
            <v>695</v>
          </cell>
        </row>
        <row r="809">
          <cell r="B809" t="str">
            <v>AC</v>
          </cell>
          <cell r="C809" t="str">
            <v>IMP</v>
          </cell>
          <cell r="D809" t="str">
            <v>BT</v>
          </cell>
          <cell r="E809" t="str">
            <v>P3</v>
          </cell>
          <cell r="F809">
            <v>39990</v>
          </cell>
          <cell r="G809">
            <v>40001</v>
          </cell>
          <cell r="H809" t="str">
            <v>4623259</v>
          </cell>
          <cell r="K809" t="str">
            <v>HDD-1 + M32-2 : Di450/550 Upgrade Kit (HDD-1 Kit)</v>
          </cell>
          <cell r="L809">
            <v>810</v>
          </cell>
          <cell r="M809">
            <v>1500</v>
          </cell>
          <cell r="N809">
            <v>284</v>
          </cell>
          <cell r="O809">
            <v>-0.17647058823529413</v>
          </cell>
          <cell r="S809">
            <v>2205</v>
          </cell>
          <cell r="W809">
            <v>241.4</v>
          </cell>
          <cell r="AB809">
            <v>242</v>
          </cell>
          <cell r="AC809">
            <v>269</v>
          </cell>
          <cell r="AD809">
            <v>284</v>
          </cell>
          <cell r="AE809">
            <v>298.02</v>
          </cell>
          <cell r="AF809">
            <v>0.18998724917790746</v>
          </cell>
          <cell r="AG809">
            <v>4.7043822562244084E-2</v>
          </cell>
          <cell r="AH809">
            <v>305</v>
          </cell>
          <cell r="AI809">
            <v>311</v>
          </cell>
          <cell r="AJ809">
            <v>0.22379421221864951</v>
          </cell>
          <cell r="AK809">
            <v>316.5</v>
          </cell>
          <cell r="AL809">
            <v>322</v>
          </cell>
          <cell r="AM809">
            <v>0.25031055900621119</v>
          </cell>
          <cell r="AN809">
            <v>367.23</v>
          </cell>
          <cell r="AO809">
            <v>412.46</v>
          </cell>
          <cell r="AP809">
            <v>457.69</v>
          </cell>
          <cell r="AQ809">
            <v>0</v>
          </cell>
          <cell r="AS809">
            <v>810</v>
          </cell>
        </row>
        <row r="810">
          <cell r="B810" t="str">
            <v>AC</v>
          </cell>
          <cell r="C810" t="str">
            <v>IMP</v>
          </cell>
          <cell r="D810" t="str">
            <v>BT</v>
          </cell>
          <cell r="E810" t="str">
            <v>P3</v>
          </cell>
          <cell r="F810">
            <v>39990</v>
          </cell>
          <cell r="G810">
            <v>40001</v>
          </cell>
          <cell r="H810" t="str">
            <v>4623261</v>
          </cell>
          <cell r="K810" t="str">
            <v>32MB Memory for Copier (M32-2)</v>
          </cell>
          <cell r="L810">
            <v>245</v>
          </cell>
          <cell r="M810">
            <v>38</v>
          </cell>
          <cell r="N810">
            <v>84</v>
          </cell>
          <cell r="O810">
            <v>0.28315018315018314</v>
          </cell>
          <cell r="P810">
            <v>54.6</v>
          </cell>
          <cell r="Q810">
            <v>40.28</v>
          </cell>
          <cell r="R810">
            <v>43.5</v>
          </cell>
          <cell r="S810">
            <v>68.25</v>
          </cell>
          <cell r="T810">
            <v>0.42652014652014653</v>
          </cell>
          <cell r="U810">
            <v>52.852800000000002</v>
          </cell>
          <cell r="V810">
            <v>0.25945266854357762</v>
          </cell>
          <cell r="W810">
            <v>71.399999999999991</v>
          </cell>
          <cell r="X810">
            <v>0.8</v>
          </cell>
          <cell r="AA810">
            <v>66</v>
          </cell>
          <cell r="AB810">
            <v>72</v>
          </cell>
          <cell r="AC810">
            <v>80</v>
          </cell>
          <cell r="AD810">
            <v>85</v>
          </cell>
          <cell r="AE810">
            <v>88.15</v>
          </cell>
          <cell r="AF810">
            <v>0.19001701644923441</v>
          </cell>
          <cell r="AG810">
            <v>4.7078842881452129E-2</v>
          </cell>
          <cell r="AH810">
            <v>91</v>
          </cell>
          <cell r="AI810">
            <v>93</v>
          </cell>
          <cell r="AJ810">
            <v>0.23225806451612913</v>
          </cell>
          <cell r="AK810">
            <v>94.5</v>
          </cell>
          <cell r="AL810">
            <v>96</v>
          </cell>
          <cell r="AM810">
            <v>0.25625000000000009</v>
          </cell>
          <cell r="AN810">
            <v>109.19</v>
          </cell>
          <cell r="AO810">
            <v>122.38</v>
          </cell>
          <cell r="AP810">
            <v>135.57</v>
          </cell>
          <cell r="AQ810">
            <v>0</v>
          </cell>
          <cell r="AS810">
            <v>245</v>
          </cell>
        </row>
        <row r="811">
          <cell r="B811" t="str">
            <v>AC</v>
          </cell>
          <cell r="C811" t="str">
            <v>IMP</v>
          </cell>
          <cell r="D811" t="str">
            <v>BT</v>
          </cell>
          <cell r="E811" t="str">
            <v>P3</v>
          </cell>
          <cell r="F811">
            <v>39990</v>
          </cell>
          <cell r="G811">
            <v>40001</v>
          </cell>
          <cell r="H811" t="str">
            <v>4623351</v>
          </cell>
          <cell r="I811" t="str">
            <v>3KMH7640002319</v>
          </cell>
          <cell r="K811" t="str">
            <v>OC-2 (Original Cover)</v>
          </cell>
          <cell r="L811">
            <v>84</v>
          </cell>
          <cell r="M811">
            <v>1500</v>
          </cell>
          <cell r="N811">
            <v>32</v>
          </cell>
          <cell r="O811">
            <v>-0.17647058823529413</v>
          </cell>
          <cell r="P811">
            <v>1313.25</v>
          </cell>
          <cell r="Q811">
            <v>1590</v>
          </cell>
          <cell r="R811">
            <v>1717.2</v>
          </cell>
          <cell r="S811">
            <v>1976</v>
          </cell>
          <cell r="T811">
            <v>0.21811740890688258</v>
          </cell>
          <cell r="U811">
            <v>1699.36</v>
          </cell>
          <cell r="V811">
            <v>9.0834196403351802E-2</v>
          </cell>
          <cell r="W811">
            <v>27.2</v>
          </cell>
          <cell r="X811">
            <v>0.66460020242914974</v>
          </cell>
          <cell r="AA811">
            <v>1589</v>
          </cell>
          <cell r="AB811">
            <v>28</v>
          </cell>
          <cell r="AC811">
            <v>31</v>
          </cell>
          <cell r="AD811">
            <v>33</v>
          </cell>
          <cell r="AE811">
            <v>33.58</v>
          </cell>
          <cell r="AF811">
            <v>0.18999404407385345</v>
          </cell>
          <cell r="AG811">
            <v>4.7051816557474639E-2</v>
          </cell>
          <cell r="AH811">
            <v>35</v>
          </cell>
          <cell r="AI811">
            <v>36</v>
          </cell>
          <cell r="AJ811">
            <v>0.24444444444444446</v>
          </cell>
          <cell r="AK811">
            <v>36.5</v>
          </cell>
          <cell r="AL811">
            <v>37</v>
          </cell>
          <cell r="AM811">
            <v>0.26486486486486488</v>
          </cell>
          <cell r="AN811">
            <v>41.92</v>
          </cell>
          <cell r="AO811">
            <v>46.84</v>
          </cell>
          <cell r="AP811">
            <v>51.76</v>
          </cell>
          <cell r="AQ811">
            <v>0</v>
          </cell>
          <cell r="AS811">
            <v>84</v>
          </cell>
        </row>
        <row r="812">
          <cell r="B812" t="str">
            <v>AC</v>
          </cell>
          <cell r="C812" t="str">
            <v>IMP</v>
          </cell>
          <cell r="D812" t="str">
            <v>BT</v>
          </cell>
          <cell r="E812" t="str">
            <v>P3</v>
          </cell>
          <cell r="F812">
            <v>39990</v>
          </cell>
          <cell r="G812">
            <v>40001</v>
          </cell>
          <cell r="H812" t="str">
            <v>4623401</v>
          </cell>
          <cell r="I812" t="str">
            <v>3KMH7640002320</v>
          </cell>
          <cell r="K812" t="str">
            <v>Mechanical Counter</v>
          </cell>
          <cell r="L812">
            <v>31</v>
          </cell>
          <cell r="M812">
            <v>3500</v>
          </cell>
          <cell r="N812">
            <v>12</v>
          </cell>
          <cell r="O812">
            <v>-0.17647058823529413</v>
          </cell>
          <cell r="P812">
            <v>3064.25</v>
          </cell>
          <cell r="Q812">
            <v>3710</v>
          </cell>
          <cell r="R812">
            <v>4006.8</v>
          </cell>
          <cell r="S812">
            <v>4539.6000000000004</v>
          </cell>
          <cell r="T812">
            <v>0.20587716979469564</v>
          </cell>
          <cell r="U812">
            <v>3904.056</v>
          </cell>
          <cell r="V812">
            <v>7.6601360226390205E-2</v>
          </cell>
          <cell r="W812">
            <v>10.199999999999999</v>
          </cell>
          <cell r="X812">
            <v>0.6750044056745087</v>
          </cell>
          <cell r="AA812">
            <v>3707</v>
          </cell>
          <cell r="AB812">
            <v>11</v>
          </cell>
          <cell r="AC812">
            <v>12</v>
          </cell>
          <cell r="AD812">
            <v>13</v>
          </cell>
          <cell r="AE812">
            <v>12.59</v>
          </cell>
          <cell r="AF812">
            <v>0.18983320095313747</v>
          </cell>
          <cell r="AG812">
            <v>4.6862589356632234E-2</v>
          </cell>
          <cell r="AH812">
            <v>14</v>
          </cell>
          <cell r="AI812">
            <v>14</v>
          </cell>
          <cell r="AJ812">
            <v>0.27142857142857146</v>
          </cell>
          <cell r="AK812">
            <v>14</v>
          </cell>
          <cell r="AL812">
            <v>14</v>
          </cell>
          <cell r="AM812">
            <v>0.27142857142857146</v>
          </cell>
          <cell r="AN812">
            <v>15.81</v>
          </cell>
          <cell r="AO812">
            <v>17.62</v>
          </cell>
          <cell r="AP812">
            <v>19.43</v>
          </cell>
          <cell r="AQ812">
            <v>0</v>
          </cell>
          <cell r="AS812">
            <v>31</v>
          </cell>
        </row>
        <row r="813">
          <cell r="B813" t="str">
            <v>AC</v>
          </cell>
          <cell r="C813" t="str">
            <v>IMP</v>
          </cell>
          <cell r="D813" t="str">
            <v>BT</v>
          </cell>
          <cell r="E813" t="str">
            <v>P3</v>
          </cell>
          <cell r="F813">
            <v>39990</v>
          </cell>
          <cell r="G813">
            <v>40001</v>
          </cell>
          <cell r="H813" t="str">
            <v>4623441</v>
          </cell>
          <cell r="I813" t="str">
            <v>3KMH7640002321</v>
          </cell>
          <cell r="K813" t="str">
            <v>HDD for Pi5501</v>
          </cell>
          <cell r="L813">
            <v>750</v>
          </cell>
          <cell r="M813">
            <v>2300</v>
          </cell>
          <cell r="N813">
            <v>215</v>
          </cell>
          <cell r="O813">
            <v>-0.17647058823529418</v>
          </cell>
          <cell r="P813">
            <v>2013.6499999999999</v>
          </cell>
          <cell r="Q813">
            <v>2438</v>
          </cell>
          <cell r="R813">
            <v>2633.04</v>
          </cell>
          <cell r="S813">
            <v>3026.4</v>
          </cell>
          <cell r="T813">
            <v>0.21722178165477138</v>
          </cell>
          <cell r="U813">
            <v>2602.7040000000002</v>
          </cell>
          <cell r="V813">
            <v>8.9792769366013256E-2</v>
          </cell>
          <cell r="W813">
            <v>182.75</v>
          </cell>
          <cell r="X813">
            <v>0.66536148559344432</v>
          </cell>
          <cell r="AA813">
            <v>2436</v>
          </cell>
          <cell r="AB813">
            <v>183</v>
          </cell>
          <cell r="AC813">
            <v>204</v>
          </cell>
          <cell r="AD813">
            <v>215</v>
          </cell>
          <cell r="AE813">
            <v>225.62</v>
          </cell>
          <cell r="AF813">
            <v>0.19000975090860742</v>
          </cell>
          <cell r="AG813">
            <v>4.7070295186596951E-2</v>
          </cell>
          <cell r="AH813">
            <v>231</v>
          </cell>
          <cell r="AI813">
            <v>235</v>
          </cell>
          <cell r="AJ813">
            <v>0.22234042553191488</v>
          </cell>
          <cell r="AK813">
            <v>239.5</v>
          </cell>
          <cell r="AL813">
            <v>244</v>
          </cell>
          <cell r="AM813">
            <v>0.25102459016393441</v>
          </cell>
          <cell r="AN813">
            <v>278.18</v>
          </cell>
          <cell r="AO813">
            <v>312.36</v>
          </cell>
          <cell r="AP813">
            <v>346.54</v>
          </cell>
          <cell r="AQ813">
            <v>0</v>
          </cell>
          <cell r="AS813">
            <v>750</v>
          </cell>
        </row>
        <row r="814">
          <cell r="B814" t="str">
            <v>AC</v>
          </cell>
          <cell r="C814" t="str">
            <v>IMP</v>
          </cell>
          <cell r="D814" t="str">
            <v>BT</v>
          </cell>
          <cell r="E814" t="str">
            <v>P3</v>
          </cell>
          <cell r="F814">
            <v>39990</v>
          </cell>
          <cell r="G814">
            <v>40001</v>
          </cell>
          <cell r="H814" t="str">
            <v>4623475</v>
          </cell>
          <cell r="I814" t="str">
            <v>3KMH7640002323</v>
          </cell>
          <cell r="K814" t="str">
            <v>Mechanical Counter</v>
          </cell>
          <cell r="L814">
            <v>40</v>
          </cell>
          <cell r="M814">
            <v>1250</v>
          </cell>
          <cell r="N814">
            <v>12</v>
          </cell>
          <cell r="O814">
            <v>9.6153846153846159E-3</v>
          </cell>
          <cell r="P814">
            <v>1300</v>
          </cell>
          <cell r="Q814">
            <v>1325</v>
          </cell>
          <cell r="R814">
            <v>1431</v>
          </cell>
          <cell r="S814">
            <v>1625</v>
          </cell>
          <cell r="T814">
            <v>0.2076923076923077</v>
          </cell>
          <cell r="U814">
            <v>1397.5</v>
          </cell>
          <cell r="V814">
            <v>7.8711985688729877E-2</v>
          </cell>
          <cell r="W814">
            <v>10.199999999999999</v>
          </cell>
          <cell r="X814">
            <v>0.8</v>
          </cell>
          <cell r="AA814">
            <v>1573</v>
          </cell>
          <cell r="AB814">
            <v>11</v>
          </cell>
          <cell r="AC814">
            <v>12</v>
          </cell>
          <cell r="AD814">
            <v>13</v>
          </cell>
          <cell r="AE814">
            <v>12.59</v>
          </cell>
          <cell r="AF814">
            <v>0.18983320095313747</v>
          </cell>
          <cell r="AG814">
            <v>4.6862589356632234E-2</v>
          </cell>
          <cell r="AH814">
            <v>14</v>
          </cell>
          <cell r="AI814">
            <v>14</v>
          </cell>
          <cell r="AJ814">
            <v>0.27142857142857146</v>
          </cell>
          <cell r="AK814">
            <v>14</v>
          </cell>
          <cell r="AL814">
            <v>14</v>
          </cell>
          <cell r="AM814">
            <v>0.27142857142857146</v>
          </cell>
          <cell r="AN814">
            <v>15.81</v>
          </cell>
          <cell r="AO814">
            <v>17.62</v>
          </cell>
          <cell r="AP814">
            <v>19.43</v>
          </cell>
          <cell r="AQ814">
            <v>0</v>
          </cell>
          <cell r="AS814">
            <v>40</v>
          </cell>
        </row>
        <row r="815">
          <cell r="B815" t="str">
            <v>AC</v>
          </cell>
          <cell r="C815" t="str">
            <v>IMP</v>
          </cell>
          <cell r="D815" t="str">
            <v>BT</v>
          </cell>
          <cell r="E815" t="str">
            <v>P3</v>
          </cell>
          <cell r="F815">
            <v>39990</v>
          </cell>
          <cell r="G815">
            <v>40001</v>
          </cell>
          <cell r="H815" t="str">
            <v>4625151</v>
          </cell>
          <cell r="K815" t="str">
            <v>Original Cover (Item number must be keyed in when shipped w/o AF-8)</v>
          </cell>
          <cell r="L815">
            <v>50</v>
          </cell>
          <cell r="M815">
            <v>700</v>
          </cell>
          <cell r="N815">
            <v>23</v>
          </cell>
          <cell r="O815">
            <v>-0.17647058823529407</v>
          </cell>
          <cell r="P815">
            <v>612.85</v>
          </cell>
          <cell r="Q815">
            <v>742</v>
          </cell>
          <cell r="R815">
            <v>801.36</v>
          </cell>
          <cell r="S815">
            <v>878</v>
          </cell>
          <cell r="T815">
            <v>0.17881548974943051</v>
          </cell>
          <cell r="U815">
            <v>755.08</v>
          </cell>
          <cell r="V815">
            <v>4.5134290406314614E-2</v>
          </cell>
          <cell r="W815">
            <v>19.55</v>
          </cell>
          <cell r="X815">
            <v>0.69800683371298411</v>
          </cell>
          <cell r="AA815">
            <v>741</v>
          </cell>
          <cell r="AB815">
            <v>20</v>
          </cell>
          <cell r="AC815">
            <v>22</v>
          </cell>
          <cell r="AD815">
            <v>24</v>
          </cell>
          <cell r="AE815">
            <v>24.14</v>
          </cell>
          <cell r="AF815">
            <v>0.19014084507042253</v>
          </cell>
          <cell r="AG815">
            <v>4.7224523612261829E-2</v>
          </cell>
          <cell r="AH815">
            <v>26</v>
          </cell>
          <cell r="AI815">
            <v>26</v>
          </cell>
          <cell r="AJ815">
            <v>0.24807692307692306</v>
          </cell>
          <cell r="AK815">
            <v>26.5</v>
          </cell>
          <cell r="AL815">
            <v>27</v>
          </cell>
          <cell r="AM815">
            <v>0.27592592592592591</v>
          </cell>
          <cell r="AN815">
            <v>30.43</v>
          </cell>
          <cell r="AO815">
            <v>33.86</v>
          </cell>
          <cell r="AP815">
            <v>37.29</v>
          </cell>
          <cell r="AQ815">
            <v>0</v>
          </cell>
          <cell r="AS815">
            <v>50</v>
          </cell>
        </row>
        <row r="816">
          <cell r="B816" t="str">
            <v>AC</v>
          </cell>
          <cell r="C816" t="str">
            <v>IMP</v>
          </cell>
          <cell r="D816" t="str">
            <v>BT</v>
          </cell>
          <cell r="E816" t="str">
            <v>P3</v>
          </cell>
          <cell r="F816">
            <v>39990</v>
          </cell>
          <cell r="G816">
            <v>40001</v>
          </cell>
          <cell r="H816" t="str">
            <v>4625171</v>
          </cell>
          <cell r="K816" t="str">
            <v>NIC 10/100 Base T</v>
          </cell>
          <cell r="L816">
            <v>520</v>
          </cell>
          <cell r="M816">
            <v>1545</v>
          </cell>
          <cell r="N816">
            <v>197</v>
          </cell>
          <cell r="O816">
            <v>-0.17647058823529418</v>
          </cell>
          <cell r="P816">
            <v>1352.6475</v>
          </cell>
          <cell r="Q816">
            <v>1637.7</v>
          </cell>
          <cell r="R816">
            <v>1768.72</v>
          </cell>
          <cell r="S816">
            <v>2205</v>
          </cell>
          <cell r="T816">
            <v>0.27829931972789107</v>
          </cell>
          <cell r="U816">
            <v>1707.5519999999999</v>
          </cell>
          <cell r="V816">
            <v>6.8051807499859313E-2</v>
          </cell>
          <cell r="W816">
            <v>167.45</v>
          </cell>
          <cell r="X816">
            <v>0.61344557823129253</v>
          </cell>
          <cell r="AA816">
            <v>1637</v>
          </cell>
          <cell r="AB816">
            <v>168</v>
          </cell>
          <cell r="AC816">
            <v>187</v>
          </cell>
          <cell r="AD816">
            <v>197</v>
          </cell>
          <cell r="AE816">
            <v>206.73</v>
          </cell>
          <cell r="AF816">
            <v>0.19000628839549172</v>
          </cell>
          <cell r="AG816">
            <v>4.7066221641754898E-2</v>
          </cell>
          <cell r="AH816">
            <v>212</v>
          </cell>
          <cell r="AI816">
            <v>216</v>
          </cell>
          <cell r="AJ816">
            <v>0.22476851851851856</v>
          </cell>
          <cell r="AK816">
            <v>220</v>
          </cell>
          <cell r="AL816">
            <v>224</v>
          </cell>
          <cell r="AM816">
            <v>0.25245535714285722</v>
          </cell>
          <cell r="AN816">
            <v>255.21</v>
          </cell>
          <cell r="AO816">
            <v>286.42</v>
          </cell>
          <cell r="AP816">
            <v>317.63</v>
          </cell>
          <cell r="AQ816">
            <v>0</v>
          </cell>
          <cell r="AS816">
            <v>520</v>
          </cell>
        </row>
        <row r="817">
          <cell r="B817" t="str">
            <v>AC</v>
          </cell>
          <cell r="C817" t="str">
            <v>IMP</v>
          </cell>
          <cell r="D817" t="str">
            <v>BT</v>
          </cell>
          <cell r="E817" t="str">
            <v>P3</v>
          </cell>
          <cell r="F817">
            <v>39990</v>
          </cell>
          <cell r="G817">
            <v>40001</v>
          </cell>
          <cell r="H817" t="str">
            <v>4625181</v>
          </cell>
          <cell r="I817" t="str">
            <v>3KMH7640002333</v>
          </cell>
          <cell r="K817" t="str">
            <v>Original Cover (must be keyed if AF-10 not ordered) (OC-5)</v>
          </cell>
          <cell r="L817">
            <v>82</v>
          </cell>
          <cell r="M817">
            <v>1500</v>
          </cell>
          <cell r="N817">
            <v>36</v>
          </cell>
          <cell r="O817">
            <v>-0.17647058823529413</v>
          </cell>
          <cell r="P817">
            <v>1313.25</v>
          </cell>
          <cell r="Q817">
            <v>1590</v>
          </cell>
          <cell r="R817">
            <v>1717.2</v>
          </cell>
          <cell r="S817">
            <v>1940</v>
          </cell>
          <cell r="T817">
            <v>0.20360824742268041</v>
          </cell>
          <cell r="U817">
            <v>1668.3999999999999</v>
          </cell>
          <cell r="V817">
            <v>7.3963078398465526E-2</v>
          </cell>
          <cell r="W817">
            <v>30.599999999999998</v>
          </cell>
          <cell r="X817">
            <v>0.67693298969072169</v>
          </cell>
          <cell r="AA817">
            <v>1589</v>
          </cell>
          <cell r="AB817">
            <v>31</v>
          </cell>
          <cell r="AC817">
            <v>34</v>
          </cell>
          <cell r="AD817">
            <v>36</v>
          </cell>
          <cell r="AE817">
            <v>37.78</v>
          </cell>
          <cell r="AF817">
            <v>0.19004764425622031</v>
          </cell>
          <cell r="AG817">
            <v>4.7114875595553232E-2</v>
          </cell>
          <cell r="AH817">
            <v>39</v>
          </cell>
          <cell r="AI817">
            <v>40</v>
          </cell>
          <cell r="AJ817">
            <v>0.23500000000000004</v>
          </cell>
          <cell r="AK817">
            <v>40.5</v>
          </cell>
          <cell r="AL817">
            <v>41</v>
          </cell>
          <cell r="AM817">
            <v>0.25365853658536591</v>
          </cell>
          <cell r="AN817">
            <v>46.69</v>
          </cell>
          <cell r="AO817">
            <v>52.38</v>
          </cell>
          <cell r="AP817">
            <v>58.07</v>
          </cell>
          <cell r="AQ817">
            <v>0</v>
          </cell>
          <cell r="AS817">
            <v>82</v>
          </cell>
        </row>
        <row r="818">
          <cell r="B818" t="str">
            <v>AC</v>
          </cell>
          <cell r="C818" t="str">
            <v>IMP</v>
          </cell>
          <cell r="D818" t="str">
            <v>BT</v>
          </cell>
          <cell r="E818" t="str">
            <v>P3</v>
          </cell>
          <cell r="F818">
            <v>39990</v>
          </cell>
          <cell r="G818">
            <v>40001</v>
          </cell>
          <cell r="H818" t="str">
            <v>4625184</v>
          </cell>
          <cell r="K818" t="str">
            <v>Original Cover (OC-8)</v>
          </cell>
          <cell r="L818">
            <v>82</v>
          </cell>
          <cell r="N818">
            <v>38</v>
          </cell>
          <cell r="W818">
            <v>32.299999999999997</v>
          </cell>
          <cell r="AB818">
            <v>33</v>
          </cell>
          <cell r="AC818">
            <v>36</v>
          </cell>
          <cell r="AD818">
            <v>38</v>
          </cell>
          <cell r="AE818">
            <v>39.880000000000003</v>
          </cell>
          <cell r="AF818">
            <v>0.1900702106318958</v>
          </cell>
          <cell r="AG818">
            <v>4.7141424272818519E-2</v>
          </cell>
          <cell r="AH818">
            <v>41</v>
          </cell>
          <cell r="AI818">
            <v>42</v>
          </cell>
          <cell r="AJ818">
            <v>0.23095238095238102</v>
          </cell>
          <cell r="AK818">
            <v>43</v>
          </cell>
          <cell r="AL818">
            <v>44</v>
          </cell>
          <cell r="AM818">
            <v>0.26590909090909098</v>
          </cell>
          <cell r="AN818">
            <v>49.82</v>
          </cell>
          <cell r="AO818">
            <v>55.64</v>
          </cell>
          <cell r="AP818">
            <v>61.46</v>
          </cell>
          <cell r="AQ818">
            <v>0</v>
          </cell>
          <cell r="AS818">
            <v>82</v>
          </cell>
        </row>
        <row r="819">
          <cell r="B819" t="str">
            <v>AC</v>
          </cell>
          <cell r="C819" t="str">
            <v>IMP</v>
          </cell>
          <cell r="D819" t="str">
            <v>BT</v>
          </cell>
          <cell r="E819" t="str">
            <v>P3</v>
          </cell>
          <cell r="F819">
            <v>39990</v>
          </cell>
          <cell r="G819">
            <v>40001</v>
          </cell>
          <cell r="H819" t="str">
            <v>4625202</v>
          </cell>
          <cell r="I819" t="str">
            <v>SPKM7640002409_</v>
          </cell>
          <cell r="K819" t="str">
            <v>Additional Bin Kit (AK-1)</v>
          </cell>
          <cell r="L819">
            <v>50</v>
          </cell>
          <cell r="M819">
            <v>34.76</v>
          </cell>
          <cell r="N819">
            <v>17</v>
          </cell>
          <cell r="O819">
            <v>0.25410833333333338</v>
          </cell>
          <cell r="P819">
            <v>48</v>
          </cell>
          <cell r="Q819">
            <v>36.85</v>
          </cell>
          <cell r="R819">
            <v>39.799999999999997</v>
          </cell>
          <cell r="S819">
            <v>60</v>
          </cell>
          <cell r="T819">
            <v>0.40328666666666668</v>
          </cell>
          <cell r="W819">
            <v>14.45</v>
          </cell>
          <cell r="X819">
            <v>0.8</v>
          </cell>
          <cell r="Y819" t="str">
            <v>Act freight</v>
          </cell>
          <cell r="AA819">
            <v>83</v>
          </cell>
          <cell r="AB819">
            <v>15</v>
          </cell>
          <cell r="AC819">
            <v>17</v>
          </cell>
          <cell r="AD819">
            <v>18</v>
          </cell>
          <cell r="AE819">
            <v>17.84</v>
          </cell>
          <cell r="AF819">
            <v>0.1900224215246637</v>
          </cell>
          <cell r="AG819">
            <v>4.7085201793721963E-2</v>
          </cell>
          <cell r="AH819">
            <v>19</v>
          </cell>
          <cell r="AI819">
            <v>19</v>
          </cell>
          <cell r="AJ819">
            <v>0.23947368421052637</v>
          </cell>
          <cell r="AK819">
            <v>19.5</v>
          </cell>
          <cell r="AL819">
            <v>20</v>
          </cell>
          <cell r="AM819">
            <v>0.27750000000000002</v>
          </cell>
          <cell r="AN819">
            <v>22.53</v>
          </cell>
          <cell r="AO819">
            <v>25.06</v>
          </cell>
          <cell r="AP819">
            <v>27.59</v>
          </cell>
          <cell r="AQ819">
            <v>0</v>
          </cell>
          <cell r="AS819">
            <v>50</v>
          </cell>
        </row>
        <row r="820">
          <cell r="B820" t="str">
            <v>AC</v>
          </cell>
          <cell r="C820" t="str">
            <v>IMP</v>
          </cell>
          <cell r="D820" t="str">
            <v>BT</v>
          </cell>
          <cell r="E820" t="str">
            <v>P3</v>
          </cell>
          <cell r="F820">
            <v>39990</v>
          </cell>
          <cell r="G820">
            <v>40001</v>
          </cell>
          <cell r="H820" t="str">
            <v>4640130</v>
          </cell>
          <cell r="K820" t="str">
            <v>Duplex Cabinet Base (PF-7D)</v>
          </cell>
          <cell r="L820">
            <v>1650</v>
          </cell>
          <cell r="M820">
            <v>6.93</v>
          </cell>
          <cell r="N820">
            <v>572</v>
          </cell>
          <cell r="O820">
            <v>-0.17647058823529413</v>
          </cell>
          <cell r="P820">
            <v>6.067215</v>
          </cell>
          <cell r="Q820">
            <v>7.35</v>
          </cell>
          <cell r="R820">
            <v>7.94</v>
          </cell>
          <cell r="S820">
            <v>535</v>
          </cell>
          <cell r="T820">
            <v>0.98665813084112164</v>
          </cell>
          <cell r="U820">
            <v>414.30399999999997</v>
          </cell>
          <cell r="V820">
            <v>0.98277134664401022</v>
          </cell>
          <cell r="W820">
            <v>486.2</v>
          </cell>
          <cell r="AB820">
            <v>487</v>
          </cell>
          <cell r="AC820">
            <v>541</v>
          </cell>
          <cell r="AD820">
            <v>571</v>
          </cell>
          <cell r="AE820">
            <v>600.25</v>
          </cell>
          <cell r="AF820">
            <v>0.19000416493127864</v>
          </cell>
          <cell r="AG820">
            <v>4.7063723448563098E-2</v>
          </cell>
          <cell r="AH820">
            <v>613</v>
          </cell>
          <cell r="AI820">
            <v>625</v>
          </cell>
          <cell r="AJ820">
            <v>0.22208000000000003</v>
          </cell>
          <cell r="AK820">
            <v>637</v>
          </cell>
          <cell r="AL820">
            <v>649</v>
          </cell>
          <cell r="AM820">
            <v>0.25084745762711869</v>
          </cell>
          <cell r="AN820">
            <v>739.98</v>
          </cell>
          <cell r="AO820">
            <v>830.96</v>
          </cell>
          <cell r="AP820">
            <v>921.94</v>
          </cell>
          <cell r="AQ820">
            <v>0</v>
          </cell>
          <cell r="AS820">
            <v>1650</v>
          </cell>
        </row>
        <row r="821">
          <cell r="B821" t="str">
            <v>AC</v>
          </cell>
          <cell r="C821" t="str">
            <v>IMP</v>
          </cell>
          <cell r="D821" t="str">
            <v>BT</v>
          </cell>
          <cell r="E821" t="str">
            <v>P3</v>
          </cell>
          <cell r="F821">
            <v>39990</v>
          </cell>
          <cell r="G821">
            <v>40001</v>
          </cell>
          <cell r="H821" t="str">
            <v>4640230</v>
          </cell>
          <cell r="I821" t="str">
            <v>3KMH7640002567</v>
          </cell>
          <cell r="K821" t="str">
            <v>2 Drawer Cabinet Base (550 sheets x 2) and Duplex Unit (PF-208)</v>
          </cell>
          <cell r="L821">
            <v>2300</v>
          </cell>
          <cell r="M821">
            <v>400</v>
          </cell>
          <cell r="N821">
            <v>744</v>
          </cell>
          <cell r="O821">
            <v>3.7383177570093455E-2</v>
          </cell>
          <cell r="P821">
            <v>428</v>
          </cell>
          <cell r="Q821">
            <v>424</v>
          </cell>
          <cell r="R821">
            <v>457.92</v>
          </cell>
          <cell r="S821">
            <v>535</v>
          </cell>
          <cell r="T821">
            <v>0.22990654205607478</v>
          </cell>
          <cell r="U821">
            <v>460.09999999999997</v>
          </cell>
          <cell r="V821">
            <v>0.10454249076287757</v>
          </cell>
          <cell r="W821">
            <v>632.4</v>
          </cell>
          <cell r="X821">
            <v>0.8</v>
          </cell>
          <cell r="AA821">
            <v>518</v>
          </cell>
          <cell r="AB821">
            <v>633</v>
          </cell>
          <cell r="AC821">
            <v>703</v>
          </cell>
          <cell r="AD821">
            <v>742</v>
          </cell>
          <cell r="AE821">
            <v>780.74</v>
          </cell>
          <cell r="AF821">
            <v>0.18999923149832215</v>
          </cell>
          <cell r="AG821">
            <v>4.7057919409790726E-2</v>
          </cell>
          <cell r="AH821">
            <v>797</v>
          </cell>
          <cell r="AI821">
            <v>813</v>
          </cell>
          <cell r="AJ821">
            <v>0.22214022140221404</v>
          </cell>
          <cell r="AK821">
            <v>828.5</v>
          </cell>
          <cell r="AL821">
            <v>844</v>
          </cell>
          <cell r="AM821">
            <v>0.25071090047393368</v>
          </cell>
          <cell r="AN821">
            <v>962.38</v>
          </cell>
          <cell r="AO821">
            <v>1080.76</v>
          </cell>
          <cell r="AP821">
            <v>1199.1400000000001</v>
          </cell>
          <cell r="AQ821">
            <v>0</v>
          </cell>
          <cell r="AS821">
            <v>2300</v>
          </cell>
        </row>
        <row r="822">
          <cell r="B822" t="str">
            <v>AC</v>
          </cell>
          <cell r="C822" t="str">
            <v>IMP</v>
          </cell>
          <cell r="D822" t="str">
            <v>BT</v>
          </cell>
          <cell r="E822" t="str">
            <v>P3</v>
          </cell>
          <cell r="F822">
            <v>39990</v>
          </cell>
          <cell r="G822">
            <v>40001</v>
          </cell>
          <cell r="H822" t="str">
            <v>4640430</v>
          </cell>
          <cell r="I822" t="str">
            <v>3KMH7640002568</v>
          </cell>
          <cell r="K822" t="str">
            <v>Tandem Drawer Base (2,700 sheets) and Duplex Unit (PF-115)</v>
          </cell>
          <cell r="L822">
            <v>2300</v>
          </cell>
          <cell r="M822">
            <v>400</v>
          </cell>
          <cell r="N822">
            <v>744</v>
          </cell>
          <cell r="O822">
            <v>3.7383177570093455E-2</v>
          </cell>
          <cell r="P822">
            <v>428</v>
          </cell>
          <cell r="Q822">
            <v>424</v>
          </cell>
          <cell r="R822">
            <v>457.92</v>
          </cell>
          <cell r="S822">
            <v>535</v>
          </cell>
          <cell r="T822">
            <v>0.22990654205607478</v>
          </cell>
          <cell r="U822">
            <v>460.09999999999997</v>
          </cell>
          <cell r="V822">
            <v>0.10454249076287757</v>
          </cell>
          <cell r="W822">
            <v>632.4</v>
          </cell>
          <cell r="X822">
            <v>0.8</v>
          </cell>
          <cell r="AA822">
            <v>518</v>
          </cell>
          <cell r="AB822">
            <v>633</v>
          </cell>
          <cell r="AC822">
            <v>703</v>
          </cell>
          <cell r="AD822">
            <v>742</v>
          </cell>
          <cell r="AE822">
            <v>780.74</v>
          </cell>
          <cell r="AF822">
            <v>0.18999923149832215</v>
          </cell>
          <cell r="AG822">
            <v>4.7057919409790726E-2</v>
          </cell>
          <cell r="AH822">
            <v>797</v>
          </cell>
          <cell r="AI822">
            <v>813</v>
          </cell>
          <cell r="AJ822">
            <v>0.22214022140221404</v>
          </cell>
          <cell r="AK822">
            <v>828.5</v>
          </cell>
          <cell r="AL822">
            <v>844</v>
          </cell>
          <cell r="AM822">
            <v>0.25071090047393368</v>
          </cell>
          <cell r="AN822">
            <v>962.38</v>
          </cell>
          <cell r="AO822">
            <v>1080.76</v>
          </cell>
          <cell r="AP822">
            <v>1199.1400000000001</v>
          </cell>
          <cell r="AQ822">
            <v>0</v>
          </cell>
          <cell r="AS822">
            <v>2300</v>
          </cell>
        </row>
        <row r="823">
          <cell r="B823" t="str">
            <v>AC</v>
          </cell>
          <cell r="C823" t="str">
            <v>IMP</v>
          </cell>
          <cell r="D823" t="str">
            <v>BT</v>
          </cell>
          <cell r="E823" t="str">
            <v>P3</v>
          </cell>
          <cell r="F823">
            <v>39990</v>
          </cell>
          <cell r="G823">
            <v>40001</v>
          </cell>
          <cell r="H823" t="str">
            <v>4641612</v>
          </cell>
          <cell r="I823" t="str">
            <v>3KMH7640002569</v>
          </cell>
          <cell r="K823" t="str">
            <v>EDH-3 (bundled with mainframe)</v>
          </cell>
          <cell r="L823">
            <v>2000</v>
          </cell>
          <cell r="M823">
            <v>400</v>
          </cell>
          <cell r="N823">
            <v>572</v>
          </cell>
          <cell r="O823">
            <v>3.7383177570093455E-2</v>
          </cell>
          <cell r="P823">
            <v>428</v>
          </cell>
          <cell r="Q823">
            <v>424</v>
          </cell>
          <cell r="R823">
            <v>457.92</v>
          </cell>
          <cell r="S823">
            <v>535</v>
          </cell>
          <cell r="T823">
            <v>0.22990654205607478</v>
          </cell>
          <cell r="U823">
            <v>460.09999999999997</v>
          </cell>
          <cell r="V823">
            <v>0.10454249076287757</v>
          </cell>
          <cell r="W823">
            <v>486.2</v>
          </cell>
          <cell r="X823">
            <v>0.8</v>
          </cell>
          <cell r="AA823">
            <v>518</v>
          </cell>
          <cell r="AB823">
            <v>487</v>
          </cell>
          <cell r="AC823">
            <v>541</v>
          </cell>
          <cell r="AD823">
            <v>571</v>
          </cell>
          <cell r="AE823">
            <v>600.25</v>
          </cell>
          <cell r="AF823">
            <v>0.19000416493127864</v>
          </cell>
          <cell r="AG823">
            <v>4.7063723448563098E-2</v>
          </cell>
          <cell r="AH823">
            <v>613</v>
          </cell>
          <cell r="AI823">
            <v>625</v>
          </cell>
          <cell r="AJ823">
            <v>0.22208000000000003</v>
          </cell>
          <cell r="AK823">
            <v>637</v>
          </cell>
          <cell r="AL823">
            <v>649</v>
          </cell>
          <cell r="AM823">
            <v>0.25084745762711869</v>
          </cell>
          <cell r="AN823">
            <v>739.98</v>
          </cell>
          <cell r="AO823">
            <v>830.96</v>
          </cell>
          <cell r="AP823">
            <v>921.94</v>
          </cell>
          <cell r="AQ823">
            <v>0</v>
          </cell>
          <cell r="AS823">
            <v>2000</v>
          </cell>
        </row>
        <row r="824">
          <cell r="B824" t="str">
            <v>AC</v>
          </cell>
          <cell r="C824" t="str">
            <v>IMP</v>
          </cell>
          <cell r="D824" t="str">
            <v>BT</v>
          </cell>
          <cell r="E824" t="str">
            <v>P3</v>
          </cell>
          <cell r="F824">
            <v>39990</v>
          </cell>
          <cell r="G824">
            <v>40001</v>
          </cell>
          <cell r="H824" t="str">
            <v>4642612</v>
          </cell>
          <cell r="I824" t="str">
            <v>3KMH7640002580</v>
          </cell>
          <cell r="J824" t="str">
            <v>KCA10354</v>
          </cell>
          <cell r="K824" t="str">
            <v>3,400 Sheet LCC (C-306)</v>
          </cell>
          <cell r="L824">
            <v>1300</v>
          </cell>
          <cell r="M824">
            <v>542.72</v>
          </cell>
          <cell r="N824">
            <v>572</v>
          </cell>
          <cell r="O824">
            <v>0</v>
          </cell>
          <cell r="P824">
            <v>559</v>
          </cell>
          <cell r="Q824">
            <v>575.28</v>
          </cell>
          <cell r="R824">
            <v>621.29999999999995</v>
          </cell>
          <cell r="T824" t="e">
            <v>#DIV/0!</v>
          </cell>
          <cell r="W824">
            <v>486.2</v>
          </cell>
          <cell r="X824" t="e">
            <v>#DIV/0!</v>
          </cell>
          <cell r="AA824">
            <v>660</v>
          </cell>
          <cell r="AB824">
            <v>487</v>
          </cell>
          <cell r="AC824">
            <v>541</v>
          </cell>
          <cell r="AD824">
            <v>571</v>
          </cell>
          <cell r="AE824">
            <v>600.25</v>
          </cell>
          <cell r="AF824">
            <v>0.19000416493127864</v>
          </cell>
          <cell r="AG824">
            <v>4.7063723448563098E-2</v>
          </cell>
          <cell r="AH824">
            <v>613</v>
          </cell>
          <cell r="AI824">
            <v>625</v>
          </cell>
          <cell r="AJ824">
            <v>0.22208000000000003</v>
          </cell>
          <cell r="AK824">
            <v>637</v>
          </cell>
          <cell r="AL824">
            <v>649</v>
          </cell>
          <cell r="AM824">
            <v>0.25084745762711869</v>
          </cell>
          <cell r="AN824">
            <v>739.98</v>
          </cell>
          <cell r="AO824">
            <v>830.96</v>
          </cell>
          <cell r="AP824">
            <v>921.94</v>
          </cell>
          <cell r="AQ824">
            <v>0</v>
          </cell>
          <cell r="AS824">
            <v>1300</v>
          </cell>
        </row>
        <row r="825">
          <cell r="B825" t="str">
            <v>AC</v>
          </cell>
          <cell r="C825" t="str">
            <v>IMP</v>
          </cell>
          <cell r="D825" t="str">
            <v>BT</v>
          </cell>
          <cell r="E825" t="str">
            <v>P3</v>
          </cell>
          <cell r="F825">
            <v>39990</v>
          </cell>
          <cell r="G825">
            <v>40001</v>
          </cell>
          <cell r="H825" t="str">
            <v>4642812</v>
          </cell>
          <cell r="I825" t="str">
            <v xml:space="preserve">3HBBKCA14735   </v>
          </cell>
          <cell r="J825" t="str">
            <v>KCA14735</v>
          </cell>
          <cell r="K825" t="str">
            <v>3,400 Sheet LCC (letter-R/Legal) (C-306L)</v>
          </cell>
          <cell r="L825">
            <v>1500</v>
          </cell>
          <cell r="M825">
            <v>3960</v>
          </cell>
          <cell r="N825">
            <v>670</v>
          </cell>
          <cell r="O825">
            <v>0</v>
          </cell>
          <cell r="P825">
            <v>4078.8</v>
          </cell>
          <cell r="Q825">
            <v>4197.6000000000004</v>
          </cell>
          <cell r="R825">
            <v>4533.41</v>
          </cell>
          <cell r="T825" t="e">
            <v>#DIV/0!</v>
          </cell>
          <cell r="W825">
            <v>569.5</v>
          </cell>
          <cell r="X825" t="e">
            <v>#DIV/0!</v>
          </cell>
          <cell r="AA825">
            <v>4816</v>
          </cell>
          <cell r="AB825">
            <v>570</v>
          </cell>
          <cell r="AC825">
            <v>633</v>
          </cell>
          <cell r="AD825">
            <v>669</v>
          </cell>
          <cell r="AE825">
            <v>703.09</v>
          </cell>
          <cell r="AF825">
            <v>0.19000412464976038</v>
          </cell>
          <cell r="AG825">
            <v>4.7063676058541622E-2</v>
          </cell>
          <cell r="AH825">
            <v>718</v>
          </cell>
          <cell r="AI825">
            <v>732</v>
          </cell>
          <cell r="AJ825">
            <v>0.22199453551912568</v>
          </cell>
          <cell r="AK825">
            <v>746</v>
          </cell>
          <cell r="AL825">
            <v>760</v>
          </cell>
          <cell r="AM825">
            <v>0.25065789473684208</v>
          </cell>
          <cell r="AN825">
            <v>866.61</v>
          </cell>
          <cell r="AO825">
            <v>973.22</v>
          </cell>
          <cell r="AP825">
            <v>1079.83</v>
          </cell>
          <cell r="AQ825">
            <v>0</v>
          </cell>
          <cell r="AS825">
            <v>1500</v>
          </cell>
        </row>
        <row r="826">
          <cell r="B826" t="str">
            <v>AC</v>
          </cell>
          <cell r="C826" t="str">
            <v>IMP</v>
          </cell>
          <cell r="D826" t="str">
            <v>BT</v>
          </cell>
          <cell r="E826" t="str">
            <v>P3</v>
          </cell>
          <cell r="F826">
            <v>39990</v>
          </cell>
          <cell r="G826">
            <v>40001</v>
          </cell>
          <cell r="H826" t="str">
            <v>4643612</v>
          </cell>
          <cell r="I826" t="str">
            <v xml:space="preserve">3HBKMICRES </v>
          </cell>
          <cell r="J826" t="str">
            <v>KN000202800</v>
          </cell>
          <cell r="K826" t="str">
            <v>Multi-Position Staple &amp; 2/3 Hole Punch Finisher (FN-105)</v>
          </cell>
          <cell r="L826">
            <v>3050</v>
          </cell>
          <cell r="M826">
            <v>3392</v>
          </cell>
          <cell r="N826">
            <v>1030</v>
          </cell>
          <cell r="O826">
            <v>0</v>
          </cell>
          <cell r="P826">
            <v>3493.76</v>
          </cell>
          <cell r="Q826">
            <v>3595.52</v>
          </cell>
          <cell r="R826">
            <v>3883.16</v>
          </cell>
          <cell r="T826" t="e">
            <v>#DIV/0!</v>
          </cell>
          <cell r="W826">
            <v>875.5</v>
          </cell>
          <cell r="X826" t="e">
            <v>#DIV/0!</v>
          </cell>
          <cell r="AA826">
            <v>4125</v>
          </cell>
          <cell r="AB826">
            <v>876</v>
          </cell>
          <cell r="AC826">
            <v>973</v>
          </cell>
          <cell r="AD826">
            <v>1027</v>
          </cell>
          <cell r="AE826">
            <v>1080.8599999999999</v>
          </cell>
          <cell r="AF826">
            <v>0.18999685435671587</v>
          </cell>
          <cell r="AG826">
            <v>4.7055122772606907E-2</v>
          </cell>
          <cell r="AH826">
            <v>1103</v>
          </cell>
          <cell r="AI826">
            <v>1125</v>
          </cell>
          <cell r="AJ826">
            <v>0.22177777777777777</v>
          </cell>
          <cell r="AK826">
            <v>1146.5</v>
          </cell>
          <cell r="AL826">
            <v>1168</v>
          </cell>
          <cell r="AM826">
            <v>0.25042808219178081</v>
          </cell>
          <cell r="AN826">
            <v>1331.99</v>
          </cell>
          <cell r="AO826">
            <v>1495.98</v>
          </cell>
          <cell r="AP826">
            <v>1659.97</v>
          </cell>
          <cell r="AQ826">
            <v>0</v>
          </cell>
          <cell r="AS826">
            <v>3050</v>
          </cell>
        </row>
        <row r="827">
          <cell r="B827" t="str">
            <v>AC</v>
          </cell>
          <cell r="C827" t="str">
            <v>IMP</v>
          </cell>
          <cell r="D827" t="str">
            <v>BT</v>
          </cell>
          <cell r="E827" t="str">
            <v>P3</v>
          </cell>
          <cell r="F827">
            <v>39990</v>
          </cell>
          <cell r="G827">
            <v>40001</v>
          </cell>
          <cell r="H827" t="str">
            <v>4644612</v>
          </cell>
          <cell r="I827" t="str">
            <v>3HBBKCA13683</v>
          </cell>
          <cell r="J827" t="str">
            <v>KCA 13683</v>
          </cell>
          <cell r="K827" t="str">
            <v>1 Position Staple Finisher (FN-106)</v>
          </cell>
          <cell r="L827">
            <v>1900</v>
          </cell>
          <cell r="M827">
            <v>3000</v>
          </cell>
          <cell r="N827">
            <v>699</v>
          </cell>
          <cell r="O827">
            <v>0</v>
          </cell>
          <cell r="P827">
            <v>3090</v>
          </cell>
          <cell r="Q827">
            <v>3180</v>
          </cell>
          <cell r="R827">
            <v>3434.4</v>
          </cell>
          <cell r="T827" t="e">
            <v>#DIV/0!</v>
          </cell>
          <cell r="W827">
            <v>594.15</v>
          </cell>
          <cell r="X827" t="e">
            <v>#DIV/0!</v>
          </cell>
          <cell r="AA827">
            <v>3332</v>
          </cell>
          <cell r="AB827">
            <v>595</v>
          </cell>
          <cell r="AC827">
            <v>661</v>
          </cell>
          <cell r="AD827">
            <v>698</v>
          </cell>
          <cell r="AE827">
            <v>733.52</v>
          </cell>
          <cell r="AF827">
            <v>0.19000163594721345</v>
          </cell>
          <cell r="AG827">
            <v>4.7060748173192252E-2</v>
          </cell>
          <cell r="AH827">
            <v>749</v>
          </cell>
          <cell r="AI827">
            <v>764</v>
          </cell>
          <cell r="AJ827">
            <v>0.22231675392670161</v>
          </cell>
          <cell r="AK827">
            <v>778.5</v>
          </cell>
          <cell r="AL827">
            <v>793</v>
          </cell>
          <cell r="AM827">
            <v>0.25075662042875163</v>
          </cell>
          <cell r="AN827">
            <v>904.2</v>
          </cell>
          <cell r="AO827">
            <v>1015.4</v>
          </cell>
          <cell r="AP827">
            <v>1126.5999999999999</v>
          </cell>
          <cell r="AQ827">
            <v>0</v>
          </cell>
          <cell r="AS827">
            <v>1900</v>
          </cell>
        </row>
        <row r="828">
          <cell r="B828" t="str">
            <v>AC</v>
          </cell>
          <cell r="C828" t="str">
            <v>IMP</v>
          </cell>
          <cell r="D828" t="str">
            <v>BT</v>
          </cell>
          <cell r="E828" t="str">
            <v>P3</v>
          </cell>
          <cell r="F828">
            <v>39990</v>
          </cell>
          <cell r="G828">
            <v>40001</v>
          </cell>
          <cell r="H828" t="str">
            <v>4645612</v>
          </cell>
          <cell r="I828" t="str">
            <v>3HBKA00122_</v>
          </cell>
          <cell r="J828" t="str">
            <v>KCA00140</v>
          </cell>
          <cell r="K828" t="str">
            <v>Print Controller (requires interface Kit K) (Pi5500)</v>
          </cell>
          <cell r="L828">
            <v>2495</v>
          </cell>
          <cell r="M828">
            <v>286.2</v>
          </cell>
          <cell r="N828">
            <v>1095</v>
          </cell>
          <cell r="O828">
            <v>0</v>
          </cell>
          <cell r="P828">
            <v>294.79000000000002</v>
          </cell>
          <cell r="Q828">
            <v>303.38</v>
          </cell>
          <cell r="R828">
            <v>327.64999999999998</v>
          </cell>
          <cell r="T828" t="e">
            <v>#DIV/0!</v>
          </cell>
          <cell r="W828">
            <v>930.75</v>
          </cell>
          <cell r="X828" t="e">
            <v>#DIV/0!</v>
          </cell>
          <cell r="AA828">
            <v>348</v>
          </cell>
          <cell r="AB828">
            <v>931</v>
          </cell>
          <cell r="AC828">
            <v>1035</v>
          </cell>
          <cell r="AD828">
            <v>1093</v>
          </cell>
          <cell r="AE828">
            <v>1149.07</v>
          </cell>
          <cell r="AF828">
            <v>0.18999712811229946</v>
          </cell>
          <cell r="AG828">
            <v>4.7055444837999373E-2</v>
          </cell>
          <cell r="AH828">
            <v>1173</v>
          </cell>
          <cell r="AI828">
            <v>1196</v>
          </cell>
          <cell r="AJ828">
            <v>0.2217809364548495</v>
          </cell>
          <cell r="AK828">
            <v>1218.5</v>
          </cell>
          <cell r="AL828">
            <v>1241</v>
          </cell>
          <cell r="AM828">
            <v>0.25</v>
          </cell>
          <cell r="AN828">
            <v>1415.52</v>
          </cell>
          <cell r="AO828">
            <v>1590.04</v>
          </cell>
          <cell r="AP828">
            <v>1764.56</v>
          </cell>
          <cell r="AQ828">
            <v>0</v>
          </cell>
          <cell r="AS828">
            <v>2495</v>
          </cell>
        </row>
        <row r="829">
          <cell r="B829" t="str">
            <v>AC</v>
          </cell>
          <cell r="C829" t="str">
            <v>IMP</v>
          </cell>
          <cell r="D829" t="str">
            <v>BT</v>
          </cell>
          <cell r="E829" t="str">
            <v>P3</v>
          </cell>
          <cell r="F829">
            <v>39990</v>
          </cell>
          <cell r="G829">
            <v>40001</v>
          </cell>
          <cell r="H829" t="str">
            <v>4646601</v>
          </cell>
          <cell r="I829" t="str">
            <v>3HBKKCA12053</v>
          </cell>
          <cell r="J829" t="str">
            <v>KCA12053</v>
          </cell>
          <cell r="K829" t="str">
            <v>Paper Feed Unit (500-sheets) (PF-116)</v>
          </cell>
          <cell r="L829">
            <v>365</v>
          </cell>
          <cell r="M829">
            <v>742</v>
          </cell>
          <cell r="N829">
            <v>136</v>
          </cell>
          <cell r="O829">
            <v>0</v>
          </cell>
          <cell r="P829">
            <v>764.26</v>
          </cell>
          <cell r="Q829">
            <v>786.52</v>
          </cell>
          <cell r="R829">
            <v>849.44</v>
          </cell>
          <cell r="T829" t="e">
            <v>#DIV/0!</v>
          </cell>
          <cell r="W829">
            <v>115.6</v>
          </cell>
          <cell r="X829" t="e">
            <v>#DIV/0!</v>
          </cell>
          <cell r="AA829">
            <v>902</v>
          </cell>
          <cell r="AB829">
            <v>116</v>
          </cell>
          <cell r="AC829">
            <v>129</v>
          </cell>
          <cell r="AD829">
            <v>136</v>
          </cell>
          <cell r="AE829">
            <v>142.72</v>
          </cell>
          <cell r="AF829">
            <v>0.1900224215246637</v>
          </cell>
          <cell r="AG829">
            <v>4.7085201793721963E-2</v>
          </cell>
          <cell r="AH829">
            <v>146</v>
          </cell>
          <cell r="AI829">
            <v>149</v>
          </cell>
          <cell r="AJ829">
            <v>0.2241610738255034</v>
          </cell>
          <cell r="AK829">
            <v>152</v>
          </cell>
          <cell r="AL829">
            <v>155</v>
          </cell>
          <cell r="AM829">
            <v>0.25419354838709679</v>
          </cell>
          <cell r="AN829">
            <v>176.46</v>
          </cell>
          <cell r="AO829">
            <v>197.92</v>
          </cell>
          <cell r="AP829">
            <v>219.38</v>
          </cell>
          <cell r="AQ829">
            <v>0</v>
          </cell>
          <cell r="AS829">
            <v>365</v>
          </cell>
        </row>
        <row r="830">
          <cell r="B830" t="str">
            <v>AC</v>
          </cell>
          <cell r="C830" t="str">
            <v>IMP</v>
          </cell>
          <cell r="D830" t="str">
            <v>BT</v>
          </cell>
          <cell r="E830" t="str">
            <v>P3</v>
          </cell>
          <cell r="F830">
            <v>39990</v>
          </cell>
          <cell r="G830">
            <v>40001</v>
          </cell>
          <cell r="H830" t="str">
            <v>4647602</v>
          </cell>
          <cell r="I830" t="str">
            <v>3HBBKCA13958</v>
          </cell>
          <cell r="J830" t="str">
            <v>KCA13958</v>
          </cell>
          <cell r="K830" t="str">
            <v>Automatic Document Feeder (AF-8)</v>
          </cell>
          <cell r="L830">
            <v>350</v>
          </cell>
          <cell r="M830">
            <v>11400</v>
          </cell>
          <cell r="N830">
            <v>153</v>
          </cell>
          <cell r="O830">
            <v>0</v>
          </cell>
          <cell r="P830">
            <v>11742</v>
          </cell>
          <cell r="Q830">
            <v>12084</v>
          </cell>
          <cell r="R830">
            <v>13050.72</v>
          </cell>
          <cell r="T830" t="e">
            <v>#DIV/0!</v>
          </cell>
          <cell r="W830">
            <v>130.04999999999998</v>
          </cell>
          <cell r="X830" t="e">
            <v>#DIV/0!</v>
          </cell>
          <cell r="AA830">
            <v>12786</v>
          </cell>
          <cell r="AB830">
            <v>131</v>
          </cell>
          <cell r="AC830">
            <v>145</v>
          </cell>
          <cell r="AD830">
            <v>153</v>
          </cell>
          <cell r="AE830">
            <v>160.56</v>
          </cell>
          <cell r="AF830">
            <v>0.19002242152466378</v>
          </cell>
          <cell r="AG830">
            <v>4.7085201793721984E-2</v>
          </cell>
          <cell r="AH830">
            <v>165</v>
          </cell>
          <cell r="AI830">
            <v>168</v>
          </cell>
          <cell r="AJ830">
            <v>0.22589285714285726</v>
          </cell>
          <cell r="AK830">
            <v>171</v>
          </cell>
          <cell r="AL830">
            <v>174</v>
          </cell>
          <cell r="AM830">
            <v>0.25258620689655181</v>
          </cell>
          <cell r="AN830">
            <v>198.23</v>
          </cell>
          <cell r="AO830">
            <v>222.46</v>
          </cell>
          <cell r="AP830">
            <v>246.69</v>
          </cell>
          <cell r="AQ830">
            <v>0</v>
          </cell>
          <cell r="AS830">
            <v>350</v>
          </cell>
        </row>
        <row r="831">
          <cell r="B831" t="str">
            <v>AC</v>
          </cell>
          <cell r="C831" t="str">
            <v>IMP</v>
          </cell>
          <cell r="D831" t="str">
            <v>BT</v>
          </cell>
          <cell r="E831" t="str">
            <v>P3</v>
          </cell>
          <cell r="F831">
            <v>39990</v>
          </cell>
          <cell r="G831">
            <v>40001</v>
          </cell>
          <cell r="H831" t="str">
            <v>4648111</v>
          </cell>
          <cell r="I831" t="str">
            <v>3HBHDM9150IFBP</v>
          </cell>
          <cell r="J831" t="str">
            <v>MU220001500</v>
          </cell>
          <cell r="K831" t="str">
            <v>Fax Unit (33.6 Kbps w/ JBIG)</v>
          </cell>
          <cell r="L831">
            <v>840</v>
          </cell>
          <cell r="M831">
            <v>1168.1199999999999</v>
          </cell>
          <cell r="N831">
            <v>341</v>
          </cell>
          <cell r="O831">
            <v>0</v>
          </cell>
          <cell r="P831">
            <v>1203.1600000000001</v>
          </cell>
          <cell r="Q831">
            <v>1238.2</v>
          </cell>
          <cell r="R831">
            <v>1337.26</v>
          </cell>
          <cell r="T831" t="e">
            <v>#DIV/0!</v>
          </cell>
          <cell r="W831">
            <v>289.84999999999997</v>
          </cell>
          <cell r="X831" t="e">
            <v>#DIV/0!</v>
          </cell>
          <cell r="AA831">
            <v>1421</v>
          </cell>
          <cell r="AB831">
            <v>290</v>
          </cell>
          <cell r="AC831">
            <v>323</v>
          </cell>
          <cell r="AD831">
            <v>341</v>
          </cell>
          <cell r="AE831">
            <v>357.84</v>
          </cell>
          <cell r="AF831">
            <v>0.19000111781801926</v>
          </cell>
          <cell r="AG831">
            <v>4.7060138609434317E-2</v>
          </cell>
          <cell r="AH831">
            <v>366</v>
          </cell>
          <cell r="AI831">
            <v>373</v>
          </cell>
          <cell r="AJ831">
            <v>0.22292225201072396</v>
          </cell>
          <cell r="AK831">
            <v>380</v>
          </cell>
          <cell r="AL831">
            <v>387</v>
          </cell>
          <cell r="AM831">
            <v>0.25103359173126621</v>
          </cell>
          <cell r="AN831">
            <v>441.21</v>
          </cell>
          <cell r="AO831">
            <v>495.42</v>
          </cell>
          <cell r="AP831">
            <v>549.63</v>
          </cell>
          <cell r="AQ831">
            <v>0</v>
          </cell>
          <cell r="AS831">
            <v>840</v>
          </cell>
        </row>
        <row r="832">
          <cell r="B832" t="str">
            <v>AC</v>
          </cell>
          <cell r="C832" t="str">
            <v>IMP</v>
          </cell>
          <cell r="D832" t="str">
            <v>BT</v>
          </cell>
          <cell r="E832" t="str">
            <v>P3</v>
          </cell>
          <cell r="F832">
            <v>39990</v>
          </cell>
          <cell r="G832">
            <v>40001</v>
          </cell>
          <cell r="H832" t="str">
            <v>4649602</v>
          </cell>
          <cell r="I832" t="str">
            <v>3HBKAUXPSMBPG</v>
          </cell>
          <cell r="J832" t="str">
            <v>KHB694158A00</v>
          </cell>
          <cell r="K832" t="str">
            <v>Print Controller (Pi1501)</v>
          </cell>
          <cell r="L832">
            <v>550</v>
          </cell>
          <cell r="M832">
            <v>2332</v>
          </cell>
          <cell r="N832">
            <v>228</v>
          </cell>
          <cell r="O832">
            <v>0</v>
          </cell>
          <cell r="P832">
            <v>2401.96</v>
          </cell>
          <cell r="Q832">
            <v>2471.92</v>
          </cell>
          <cell r="R832">
            <v>2669.67</v>
          </cell>
          <cell r="T832" t="e">
            <v>#DIV/0!</v>
          </cell>
          <cell r="W832">
            <v>193.79999999999998</v>
          </cell>
          <cell r="X832" t="e">
            <v>#DIV/0!</v>
          </cell>
          <cell r="AA832">
            <v>2836</v>
          </cell>
          <cell r="AB832">
            <v>194</v>
          </cell>
          <cell r="AC832">
            <v>216</v>
          </cell>
          <cell r="AD832">
            <v>228</v>
          </cell>
          <cell r="AE832">
            <v>239.26</v>
          </cell>
          <cell r="AF832">
            <v>0.19000250773217425</v>
          </cell>
          <cell r="AG832">
            <v>4.7061773802557848E-2</v>
          </cell>
          <cell r="AH832">
            <v>245</v>
          </cell>
          <cell r="AI832">
            <v>250</v>
          </cell>
          <cell r="AJ832">
            <v>0.22480000000000006</v>
          </cell>
          <cell r="AK832">
            <v>254.5</v>
          </cell>
          <cell r="AL832">
            <v>259</v>
          </cell>
          <cell r="AM832">
            <v>0.25173745173745182</v>
          </cell>
          <cell r="AN832">
            <v>295.19</v>
          </cell>
          <cell r="AO832">
            <v>331.38</v>
          </cell>
          <cell r="AP832">
            <v>367.57</v>
          </cell>
          <cell r="AQ832">
            <v>0</v>
          </cell>
          <cell r="AS832">
            <v>550</v>
          </cell>
        </row>
        <row r="833">
          <cell r="B833" t="str">
            <v>AC</v>
          </cell>
          <cell r="C833" t="str">
            <v>IMP</v>
          </cell>
          <cell r="D833" t="str">
            <v>BT</v>
          </cell>
          <cell r="E833" t="str">
            <v>P3</v>
          </cell>
          <cell r="F833">
            <v>39990</v>
          </cell>
          <cell r="G833">
            <v>40001</v>
          </cell>
          <cell r="H833" t="str">
            <v>4655612</v>
          </cell>
          <cell r="I833" t="str">
            <v>KHB694154A00</v>
          </cell>
          <cell r="J833" t="str">
            <v>KN000490000</v>
          </cell>
          <cell r="K833" t="str">
            <v>JS-100 Option Tray for FN-116</v>
          </cell>
          <cell r="L833">
            <v>220</v>
          </cell>
          <cell r="M833">
            <v>16536</v>
          </cell>
          <cell r="N833">
            <v>88</v>
          </cell>
          <cell r="O833">
            <v>0</v>
          </cell>
          <cell r="P833">
            <v>17032.080000000002</v>
          </cell>
          <cell r="Q833">
            <v>17528.16</v>
          </cell>
          <cell r="R833">
            <v>18930.41</v>
          </cell>
          <cell r="T833" t="e">
            <v>#DIV/0!</v>
          </cell>
          <cell r="W833">
            <v>74.8</v>
          </cell>
          <cell r="X833" t="e">
            <v>#DIV/0!</v>
          </cell>
          <cell r="Z833">
            <v>300</v>
          </cell>
          <cell r="AA833">
            <v>17864</v>
          </cell>
          <cell r="AB833">
            <v>75</v>
          </cell>
          <cell r="AC833">
            <v>84</v>
          </cell>
          <cell r="AD833">
            <v>89</v>
          </cell>
          <cell r="AE833">
            <v>92.35</v>
          </cell>
          <cell r="AF833">
            <v>0.19003789929615592</v>
          </cell>
          <cell r="AG833">
            <v>4.7103410936653975E-2</v>
          </cell>
          <cell r="AH833">
            <v>95</v>
          </cell>
          <cell r="AI833">
            <v>97</v>
          </cell>
          <cell r="AJ833">
            <v>0.22886597938144332</v>
          </cell>
          <cell r="AK833">
            <v>98.5</v>
          </cell>
          <cell r="AL833">
            <v>100</v>
          </cell>
          <cell r="AM833">
            <v>0.252</v>
          </cell>
          <cell r="AN833">
            <v>113.96</v>
          </cell>
          <cell r="AO833">
            <v>127.92</v>
          </cell>
          <cell r="AP833">
            <v>141.88</v>
          </cell>
          <cell r="AQ833">
            <v>0</v>
          </cell>
          <cell r="AS833">
            <v>220</v>
          </cell>
        </row>
        <row r="834">
          <cell r="B834" t="str">
            <v>AC</v>
          </cell>
          <cell r="C834" t="str">
            <v>IMP</v>
          </cell>
          <cell r="D834" t="str">
            <v>BT</v>
          </cell>
          <cell r="E834" t="str">
            <v>P3</v>
          </cell>
          <cell r="F834">
            <v>39990</v>
          </cell>
          <cell r="G834">
            <v>40001</v>
          </cell>
          <cell r="H834" t="str">
            <v>4655712</v>
          </cell>
          <cell r="I834" t="str">
            <v>3EKKDS9110V</v>
          </cell>
          <cell r="J834" t="str">
            <v>KC8711418</v>
          </cell>
          <cell r="K834" t="str">
            <v>JS-601 Job Separator Tray - (Option for FS-501)</v>
          </cell>
          <cell r="L834">
            <v>220</v>
          </cell>
          <cell r="M834">
            <v>579.82000000000005</v>
          </cell>
          <cell r="N834">
            <v>88</v>
          </cell>
          <cell r="O834">
            <v>0</v>
          </cell>
          <cell r="P834">
            <v>597.21</v>
          </cell>
          <cell r="Q834">
            <v>614.6</v>
          </cell>
          <cell r="R834">
            <v>663.77</v>
          </cell>
          <cell r="T834" t="e">
            <v>#DIV/0!</v>
          </cell>
          <cell r="W834">
            <v>74.8</v>
          </cell>
          <cell r="X834" t="e">
            <v>#DIV/0!</v>
          </cell>
          <cell r="AA834">
            <v>616</v>
          </cell>
          <cell r="AB834">
            <v>75</v>
          </cell>
          <cell r="AC834">
            <v>84</v>
          </cell>
          <cell r="AD834">
            <v>89</v>
          </cell>
          <cell r="AE834">
            <v>92.35</v>
          </cell>
          <cell r="AF834">
            <v>0.19003789929615592</v>
          </cell>
          <cell r="AG834">
            <v>4.7103410936653975E-2</v>
          </cell>
          <cell r="AH834">
            <v>95</v>
          </cell>
          <cell r="AI834">
            <v>97</v>
          </cell>
          <cell r="AJ834">
            <v>0.22886597938144332</v>
          </cell>
          <cell r="AK834">
            <v>98.5</v>
          </cell>
          <cell r="AL834">
            <v>100</v>
          </cell>
          <cell r="AM834">
            <v>0.252</v>
          </cell>
          <cell r="AN834">
            <v>113.96</v>
          </cell>
          <cell r="AO834">
            <v>127.92</v>
          </cell>
          <cell r="AP834">
            <v>141.88</v>
          </cell>
          <cell r="AQ834">
            <v>0</v>
          </cell>
          <cell r="AS834">
            <v>220</v>
          </cell>
        </row>
        <row r="835">
          <cell r="B835" t="str">
            <v>AC</v>
          </cell>
          <cell r="C835" t="str">
            <v>IMP</v>
          </cell>
          <cell r="D835" t="str">
            <v>BT</v>
          </cell>
          <cell r="E835" t="str">
            <v>P3</v>
          </cell>
          <cell r="F835">
            <v>39990</v>
          </cell>
          <cell r="G835">
            <v>40001</v>
          </cell>
          <cell r="H835" t="str">
            <v>4657612</v>
          </cell>
          <cell r="I835" t="str">
            <v>3HBKKC3E3867</v>
          </cell>
          <cell r="J835" t="str">
            <v>KC3E3864</v>
          </cell>
          <cell r="K835" t="str">
            <v>AD-14 Duplex Unit</v>
          </cell>
          <cell r="L835">
            <v>455</v>
          </cell>
          <cell r="M835">
            <v>530</v>
          </cell>
          <cell r="N835">
            <v>225</v>
          </cell>
          <cell r="O835">
            <v>0</v>
          </cell>
          <cell r="P835">
            <v>545.9</v>
          </cell>
          <cell r="Q835">
            <v>561.79999999999995</v>
          </cell>
          <cell r="R835">
            <v>606.74</v>
          </cell>
          <cell r="T835" t="e">
            <v>#DIV/0!</v>
          </cell>
          <cell r="W835">
            <v>191.25</v>
          </cell>
          <cell r="X835" t="e">
            <v>#DIV/0!</v>
          </cell>
          <cell r="AA835">
            <v>645</v>
          </cell>
          <cell r="AB835">
            <v>192</v>
          </cell>
          <cell r="AC835">
            <v>213</v>
          </cell>
          <cell r="AD835">
            <v>225</v>
          </cell>
          <cell r="AE835">
            <v>236.11</v>
          </cell>
          <cell r="AF835">
            <v>0.18999618821735637</v>
          </cell>
          <cell r="AG835">
            <v>4.705433907924278E-2</v>
          </cell>
          <cell r="AH835">
            <v>242</v>
          </cell>
          <cell r="AI835">
            <v>246</v>
          </cell>
          <cell r="AJ835">
            <v>0.2225609756097561</v>
          </cell>
          <cell r="AK835">
            <v>250.5</v>
          </cell>
          <cell r="AL835">
            <v>255</v>
          </cell>
          <cell r="AM835">
            <v>0.25</v>
          </cell>
          <cell r="AN835">
            <v>290.86</v>
          </cell>
          <cell r="AO835">
            <v>326.72000000000003</v>
          </cell>
          <cell r="AP835">
            <v>362.58</v>
          </cell>
          <cell r="AQ835">
            <v>0</v>
          </cell>
          <cell r="AS835">
            <v>455</v>
          </cell>
        </row>
        <row r="836">
          <cell r="B836" t="str">
            <v>AC</v>
          </cell>
          <cell r="C836" t="str">
            <v>IMP</v>
          </cell>
          <cell r="D836" t="str">
            <v>BT</v>
          </cell>
          <cell r="E836" t="str">
            <v>P3</v>
          </cell>
          <cell r="F836">
            <v>39990</v>
          </cell>
          <cell r="G836">
            <v>40001</v>
          </cell>
          <cell r="H836" t="str">
            <v>4658612</v>
          </cell>
          <cell r="I836" t="str">
            <v>3HBHDM9110MTC</v>
          </cell>
          <cell r="J836" t="str">
            <v>KCA11788</v>
          </cell>
          <cell r="K836" t="str">
            <v>PF-118 (500-sheet Universal) (2 required with CT-2)</v>
          </cell>
          <cell r="L836">
            <v>525</v>
          </cell>
          <cell r="M836">
            <v>1098.1600000000001</v>
          </cell>
          <cell r="N836">
            <v>205</v>
          </cell>
          <cell r="O836">
            <v>0</v>
          </cell>
          <cell r="P836">
            <v>1131.0999999999999</v>
          </cell>
          <cell r="Q836">
            <v>1164.04</v>
          </cell>
          <cell r="R836">
            <v>1257.1600000000001</v>
          </cell>
          <cell r="T836" t="e">
            <v>#DIV/0!</v>
          </cell>
          <cell r="W836">
            <v>174.25</v>
          </cell>
          <cell r="X836" t="e">
            <v>#DIV/0!</v>
          </cell>
          <cell r="AA836">
            <v>1336</v>
          </cell>
          <cell r="AB836">
            <v>175</v>
          </cell>
          <cell r="AC836">
            <v>194</v>
          </cell>
          <cell r="AD836">
            <v>205</v>
          </cell>
          <cell r="AE836">
            <v>215.12</v>
          </cell>
          <cell r="AF836">
            <v>0.18998698400892527</v>
          </cell>
          <cell r="AG836">
            <v>4.7043510598735606E-2</v>
          </cell>
          <cell r="AH836">
            <v>221</v>
          </cell>
          <cell r="AI836">
            <v>225</v>
          </cell>
          <cell r="AJ836">
            <v>0.22555555555555556</v>
          </cell>
          <cell r="AK836">
            <v>229</v>
          </cell>
          <cell r="AL836">
            <v>233</v>
          </cell>
          <cell r="AM836">
            <v>0.2521459227467811</v>
          </cell>
          <cell r="AN836">
            <v>265.51</v>
          </cell>
          <cell r="AO836">
            <v>298.02</v>
          </cell>
          <cell r="AP836">
            <v>330.53</v>
          </cell>
          <cell r="AQ836">
            <v>0</v>
          </cell>
          <cell r="AS836">
            <v>525</v>
          </cell>
        </row>
        <row r="837">
          <cell r="B837" t="str">
            <v>AC</v>
          </cell>
          <cell r="C837" t="str">
            <v>IMP</v>
          </cell>
          <cell r="D837" t="str">
            <v>BT</v>
          </cell>
          <cell r="E837" t="str">
            <v>P3</v>
          </cell>
          <cell r="F837">
            <v>39990</v>
          </cell>
          <cell r="G837">
            <v>40001</v>
          </cell>
          <cell r="H837" t="str">
            <v>4683712</v>
          </cell>
          <cell r="I837" t="str">
            <v>3HBEKC3E3849</v>
          </cell>
          <cell r="J837" t="str">
            <v>KC3E3849</v>
          </cell>
          <cell r="K837" t="str">
            <v>(FS-507) Staple Finisher (tray capacity is 3,000 sheets, 50 sheet staple capacity) - 2/3 hole punch included</v>
          </cell>
          <cell r="L837">
            <v>2115</v>
          </cell>
          <cell r="M837">
            <v>220.48</v>
          </cell>
          <cell r="N837">
            <v>1030</v>
          </cell>
          <cell r="O837">
            <v>0</v>
          </cell>
          <cell r="P837">
            <v>227.09</v>
          </cell>
          <cell r="Q837">
            <v>233.7</v>
          </cell>
          <cell r="R837">
            <v>252.4</v>
          </cell>
          <cell r="T837" t="e">
            <v>#DIV/0!</v>
          </cell>
          <cell r="W837">
            <v>875.5</v>
          </cell>
          <cell r="X837" t="e">
            <v>#DIV/0!</v>
          </cell>
          <cell r="AA837">
            <v>268</v>
          </cell>
          <cell r="AB837">
            <v>876</v>
          </cell>
          <cell r="AC837">
            <v>973</v>
          </cell>
          <cell r="AD837">
            <v>1027</v>
          </cell>
          <cell r="AE837">
            <v>1080.8599999999999</v>
          </cell>
          <cell r="AF837">
            <v>0.18999685435671587</v>
          </cell>
          <cell r="AG837">
            <v>4.7055122772606907E-2</v>
          </cell>
          <cell r="AH837">
            <v>1103</v>
          </cell>
          <cell r="AI837">
            <v>1125</v>
          </cell>
          <cell r="AJ837">
            <v>0.22177777777777777</v>
          </cell>
          <cell r="AK837">
            <v>1146.5</v>
          </cell>
          <cell r="AL837">
            <v>1168</v>
          </cell>
          <cell r="AM837">
            <v>0.25042808219178081</v>
          </cell>
          <cell r="AN837">
            <v>1331.99</v>
          </cell>
          <cell r="AO837">
            <v>1495.98</v>
          </cell>
          <cell r="AP837">
            <v>1659.97</v>
          </cell>
          <cell r="AQ837">
            <v>0</v>
          </cell>
          <cell r="AS837">
            <v>2115</v>
          </cell>
        </row>
        <row r="838">
          <cell r="B838" t="str">
            <v>AC</v>
          </cell>
          <cell r="C838" t="str">
            <v>IMP</v>
          </cell>
          <cell r="D838" t="str">
            <v>BT</v>
          </cell>
          <cell r="E838" t="str">
            <v>P3</v>
          </cell>
          <cell r="F838">
            <v>39990</v>
          </cell>
          <cell r="G838">
            <v>40001</v>
          </cell>
          <cell r="H838" t="str">
            <v>4684712</v>
          </cell>
          <cell r="I838" t="str">
            <v>3HBHKN000336400</v>
          </cell>
          <cell r="J838" t="str">
            <v>KN0003364/00</v>
          </cell>
          <cell r="K838" t="str">
            <v>FS-501 Staple Finisher</v>
          </cell>
          <cell r="L838">
            <v>1580</v>
          </cell>
          <cell r="M838">
            <v>10000</v>
          </cell>
          <cell r="N838">
            <v>774</v>
          </cell>
          <cell r="O838">
            <v>0</v>
          </cell>
          <cell r="P838">
            <v>10300</v>
          </cell>
          <cell r="Q838">
            <v>10600</v>
          </cell>
          <cell r="R838">
            <v>11448</v>
          </cell>
          <cell r="T838" t="e">
            <v>#DIV/0!</v>
          </cell>
          <cell r="W838">
            <v>657.9</v>
          </cell>
          <cell r="X838" t="e">
            <v>#DIV/0!</v>
          </cell>
          <cell r="AA838">
            <v>11216</v>
          </cell>
          <cell r="AB838">
            <v>658</v>
          </cell>
          <cell r="AC838">
            <v>731</v>
          </cell>
          <cell r="AD838">
            <v>772</v>
          </cell>
          <cell r="AE838">
            <v>812.22</v>
          </cell>
          <cell r="AF838">
            <v>0.18999778385166585</v>
          </cell>
          <cell r="AG838">
            <v>4.7056216296077452E-2</v>
          </cell>
          <cell r="AH838">
            <v>830</v>
          </cell>
          <cell r="AI838">
            <v>846</v>
          </cell>
          <cell r="AJ838">
            <v>0.22234042553191491</v>
          </cell>
          <cell r="AK838">
            <v>862</v>
          </cell>
          <cell r="AL838">
            <v>878</v>
          </cell>
          <cell r="AM838">
            <v>0.25068337129840551</v>
          </cell>
          <cell r="AN838">
            <v>1001.16</v>
          </cell>
          <cell r="AO838">
            <v>1124.32</v>
          </cell>
          <cell r="AP838">
            <v>1247.48</v>
          </cell>
          <cell r="AQ838">
            <v>0</v>
          </cell>
          <cell r="AS838">
            <v>1580</v>
          </cell>
        </row>
        <row r="839">
          <cell r="B839" t="str">
            <v>AC</v>
          </cell>
          <cell r="C839" t="str">
            <v>IMP</v>
          </cell>
          <cell r="D839" t="str">
            <v>BT</v>
          </cell>
          <cell r="E839" t="str">
            <v>P3</v>
          </cell>
          <cell r="F839">
            <v>39990</v>
          </cell>
          <cell r="G839">
            <v>40001</v>
          </cell>
          <cell r="H839" t="str">
            <v>4684812</v>
          </cell>
          <cell r="I839" t="str">
            <v>3HBHP11</v>
          </cell>
          <cell r="J839" t="str">
            <v>MU2041206/00</v>
          </cell>
          <cell r="K839" t="str">
            <v>FN-116 Staple Finisher</v>
          </cell>
          <cell r="L839">
            <v>1580</v>
          </cell>
          <cell r="M839">
            <v>8930</v>
          </cell>
          <cell r="N839">
            <v>774</v>
          </cell>
          <cell r="O839">
            <v>0</v>
          </cell>
          <cell r="P839">
            <v>9197.9</v>
          </cell>
          <cell r="Q839">
            <v>9465.7999999999993</v>
          </cell>
          <cell r="R839">
            <v>10223.06</v>
          </cell>
          <cell r="T839" t="e">
            <v>#DIV/0!</v>
          </cell>
          <cell r="W839">
            <v>657.9</v>
          </cell>
          <cell r="X839" t="e">
            <v>#DIV/0!</v>
          </cell>
          <cell r="AA839">
            <v>9488</v>
          </cell>
          <cell r="AB839">
            <v>658</v>
          </cell>
          <cell r="AC839">
            <v>731</v>
          </cell>
          <cell r="AD839">
            <v>772</v>
          </cell>
          <cell r="AE839">
            <v>812.22</v>
          </cell>
          <cell r="AF839">
            <v>0.18999778385166585</v>
          </cell>
          <cell r="AG839">
            <v>4.7056216296077452E-2</v>
          </cell>
          <cell r="AH839">
            <v>830</v>
          </cell>
          <cell r="AI839">
            <v>846</v>
          </cell>
          <cell r="AJ839">
            <v>0.22234042553191491</v>
          </cell>
          <cell r="AK839">
            <v>862</v>
          </cell>
          <cell r="AL839">
            <v>878</v>
          </cell>
          <cell r="AM839">
            <v>0.25068337129840551</v>
          </cell>
          <cell r="AN839">
            <v>1001.16</v>
          </cell>
          <cell r="AO839">
            <v>1124.32</v>
          </cell>
          <cell r="AP839">
            <v>1247.48</v>
          </cell>
          <cell r="AQ839">
            <v>0</v>
          </cell>
          <cell r="AS839">
            <v>1580</v>
          </cell>
        </row>
        <row r="840">
          <cell r="B840" t="str">
            <v>AC</v>
          </cell>
          <cell r="C840" t="str">
            <v>IMP</v>
          </cell>
          <cell r="D840" t="str">
            <v>BT</v>
          </cell>
          <cell r="E840" t="str">
            <v>P3</v>
          </cell>
          <cell r="F840">
            <v>39990</v>
          </cell>
          <cell r="G840">
            <v>40001</v>
          </cell>
          <cell r="H840" t="str">
            <v>4686602</v>
          </cell>
          <cell r="I840" t="str">
            <v>3HBHMU204120700</v>
          </cell>
          <cell r="J840" t="str">
            <v>MU2041207/00</v>
          </cell>
          <cell r="K840" t="str">
            <v>275-sheet Paper Feed Unit (PF-120)</v>
          </cell>
          <cell r="L840">
            <v>335</v>
          </cell>
          <cell r="M840">
            <v>10300</v>
          </cell>
          <cell r="N840">
            <v>143</v>
          </cell>
          <cell r="O840">
            <v>0</v>
          </cell>
          <cell r="P840">
            <v>10609</v>
          </cell>
          <cell r="Q840">
            <v>10918</v>
          </cell>
          <cell r="R840">
            <v>11791.44</v>
          </cell>
          <cell r="T840" t="e">
            <v>#DIV/0!</v>
          </cell>
          <cell r="W840">
            <v>121.55</v>
          </cell>
          <cell r="X840" t="e">
            <v>#DIV/0!</v>
          </cell>
          <cell r="AA840">
            <v>10944</v>
          </cell>
          <cell r="AB840">
            <v>122</v>
          </cell>
          <cell r="AC840">
            <v>136</v>
          </cell>
          <cell r="AD840">
            <v>144</v>
          </cell>
          <cell r="AE840">
            <v>150.06</v>
          </cell>
          <cell r="AF840">
            <v>0.18999067039850728</v>
          </cell>
          <cell r="AG840">
            <v>4.7047847527655617E-2</v>
          </cell>
          <cell r="AH840">
            <v>154</v>
          </cell>
          <cell r="AI840">
            <v>157</v>
          </cell>
          <cell r="AJ840">
            <v>0.22579617834394905</v>
          </cell>
          <cell r="AK840">
            <v>160</v>
          </cell>
          <cell r="AL840">
            <v>163</v>
          </cell>
          <cell r="AM840">
            <v>0.25429447852760739</v>
          </cell>
          <cell r="AN840">
            <v>185.56</v>
          </cell>
          <cell r="AO840">
            <v>208.12</v>
          </cell>
          <cell r="AP840">
            <v>230.68</v>
          </cell>
          <cell r="AQ840">
            <v>0</v>
          </cell>
          <cell r="AS840">
            <v>335</v>
          </cell>
        </row>
        <row r="841">
          <cell r="B841" t="str">
            <v>AC</v>
          </cell>
          <cell r="C841" t="str">
            <v>IMP</v>
          </cell>
          <cell r="D841" t="str">
            <v>BT</v>
          </cell>
          <cell r="E841" t="str">
            <v>P3</v>
          </cell>
          <cell r="F841">
            <v>39990</v>
          </cell>
          <cell r="G841">
            <v>40001</v>
          </cell>
          <cell r="H841" t="str">
            <v>4686612</v>
          </cell>
          <cell r="I841" t="str">
            <v>3HBHW1211RD</v>
          </cell>
          <cell r="J841" t="str">
            <v>MU2041209/00</v>
          </cell>
          <cell r="K841" t="str">
            <v>Paper Feed Unit (PF-126)</v>
          </cell>
          <cell r="L841">
            <v>335</v>
          </cell>
          <cell r="M841">
            <v>8930</v>
          </cell>
          <cell r="N841">
            <v>92</v>
          </cell>
          <cell r="O841">
            <v>0</v>
          </cell>
          <cell r="P841">
            <v>9197.9</v>
          </cell>
          <cell r="Q841">
            <v>9465.7999999999993</v>
          </cell>
          <cell r="R841">
            <v>10223.06</v>
          </cell>
          <cell r="T841" t="e">
            <v>#DIV/0!</v>
          </cell>
          <cell r="W841">
            <v>78.2</v>
          </cell>
          <cell r="X841" t="e">
            <v>#DIV/0!</v>
          </cell>
          <cell r="AA841">
            <v>9488</v>
          </cell>
          <cell r="AB841">
            <v>79</v>
          </cell>
          <cell r="AC841">
            <v>87</v>
          </cell>
          <cell r="AD841">
            <v>92</v>
          </cell>
          <cell r="AE841">
            <v>96.54</v>
          </cell>
          <cell r="AF841">
            <v>0.18997306815827639</v>
          </cell>
          <cell r="AG841">
            <v>4.7027139009736957E-2</v>
          </cell>
          <cell r="AH841">
            <v>99</v>
          </cell>
          <cell r="AI841">
            <v>101</v>
          </cell>
          <cell r="AJ841">
            <v>0.22574257425742572</v>
          </cell>
          <cell r="AK841">
            <v>103</v>
          </cell>
          <cell r="AL841">
            <v>105</v>
          </cell>
          <cell r="AM841">
            <v>0.25523809523809521</v>
          </cell>
          <cell r="AN841">
            <v>119.48</v>
          </cell>
          <cell r="AO841">
            <v>133.96</v>
          </cell>
          <cell r="AP841">
            <v>148.44</v>
          </cell>
          <cell r="AQ841">
            <v>0</v>
          </cell>
          <cell r="AS841">
            <v>335</v>
          </cell>
        </row>
        <row r="842">
          <cell r="B842" t="str">
            <v>AC</v>
          </cell>
          <cell r="C842" t="str">
            <v>IMP</v>
          </cell>
          <cell r="D842" t="str">
            <v>BT</v>
          </cell>
          <cell r="E842" t="str">
            <v>P3</v>
          </cell>
          <cell r="F842">
            <v>39990</v>
          </cell>
          <cell r="G842">
            <v>40001</v>
          </cell>
          <cell r="H842" t="str">
            <v>4687602</v>
          </cell>
          <cell r="I842" t="str">
            <v>3HBHP1169</v>
          </cell>
          <cell r="J842" t="str">
            <v>MU2041201/00</v>
          </cell>
          <cell r="K842" t="str">
            <v>50-sheet Multi-Bypass Tray (MB-5)</v>
          </cell>
          <cell r="L842">
            <v>197</v>
          </cell>
          <cell r="M842">
            <v>8930</v>
          </cell>
          <cell r="N842">
            <v>104</v>
          </cell>
          <cell r="O842">
            <v>0</v>
          </cell>
          <cell r="P842">
            <v>9197.9</v>
          </cell>
          <cell r="Q842">
            <v>9465.7999999999993</v>
          </cell>
          <cell r="R842">
            <v>10223.06</v>
          </cell>
          <cell r="T842" t="e">
            <v>#DIV/0!</v>
          </cell>
          <cell r="W842">
            <v>88.399999999999991</v>
          </cell>
          <cell r="X842" t="e">
            <v>#DIV/0!</v>
          </cell>
          <cell r="AA842">
            <v>9488</v>
          </cell>
          <cell r="AB842">
            <v>89</v>
          </cell>
          <cell r="AC842">
            <v>99</v>
          </cell>
          <cell r="AD842">
            <v>105</v>
          </cell>
          <cell r="AE842">
            <v>109.14</v>
          </cell>
          <cell r="AF842">
            <v>0.19003115264797515</v>
          </cell>
          <cell r="AG842">
            <v>4.7095473703500097E-2</v>
          </cell>
          <cell r="AH842">
            <v>112</v>
          </cell>
          <cell r="AI842">
            <v>114</v>
          </cell>
          <cell r="AJ842">
            <v>0.22456140350877202</v>
          </cell>
          <cell r="AK842">
            <v>116</v>
          </cell>
          <cell r="AL842">
            <v>118</v>
          </cell>
          <cell r="AM842">
            <v>0.25084745762711874</v>
          </cell>
          <cell r="AN842">
            <v>134.54</v>
          </cell>
          <cell r="AO842">
            <v>151.08000000000001</v>
          </cell>
          <cell r="AP842">
            <v>167.62</v>
          </cell>
          <cell r="AQ842">
            <v>0</v>
          </cell>
          <cell r="AS842">
            <v>197</v>
          </cell>
        </row>
        <row r="843">
          <cell r="B843" t="str">
            <v>AC</v>
          </cell>
          <cell r="C843" t="str">
            <v>IMP</v>
          </cell>
          <cell r="D843" t="str">
            <v>BT</v>
          </cell>
          <cell r="E843" t="str">
            <v>P3</v>
          </cell>
          <cell r="F843">
            <v>39990</v>
          </cell>
          <cell r="G843">
            <v>40001</v>
          </cell>
          <cell r="H843" t="str">
            <v>4687612</v>
          </cell>
          <cell r="I843" t="str">
            <v>3HBHDM2HP</v>
          </cell>
          <cell r="J843" t="str">
            <v>MU2041070/00</v>
          </cell>
          <cell r="K843" t="str">
            <v>Multi Bypass Tray (MB-6)</v>
          </cell>
          <cell r="L843">
            <v>145</v>
          </cell>
          <cell r="M843">
            <v>5600</v>
          </cell>
          <cell r="N843">
            <v>57</v>
          </cell>
          <cell r="O843">
            <v>0</v>
          </cell>
          <cell r="P843">
            <v>5768</v>
          </cell>
          <cell r="Q843">
            <v>5936</v>
          </cell>
          <cell r="R843">
            <v>6410.88</v>
          </cell>
          <cell r="T843" t="e">
            <v>#DIV/0!</v>
          </cell>
          <cell r="W843">
            <v>48.449999999999996</v>
          </cell>
          <cell r="X843" t="e">
            <v>#DIV/0!</v>
          </cell>
          <cell r="AA843">
            <v>5950</v>
          </cell>
          <cell r="AB843">
            <v>49</v>
          </cell>
          <cell r="AC843">
            <v>54</v>
          </cell>
          <cell r="AD843">
            <v>57</v>
          </cell>
          <cell r="AE843">
            <v>59.81</v>
          </cell>
          <cell r="AF843">
            <v>0.18993479351279061</v>
          </cell>
          <cell r="AG843">
            <v>4.6982110015047686E-2</v>
          </cell>
          <cell r="AH843">
            <v>62</v>
          </cell>
          <cell r="AI843">
            <v>63</v>
          </cell>
          <cell r="AJ843">
            <v>0.23095238095238102</v>
          </cell>
          <cell r="AK843">
            <v>64</v>
          </cell>
          <cell r="AL843">
            <v>65</v>
          </cell>
          <cell r="AM843">
            <v>0.25461538461538469</v>
          </cell>
          <cell r="AN843">
            <v>73.98</v>
          </cell>
          <cell r="AO843">
            <v>82.96</v>
          </cell>
          <cell r="AP843">
            <v>91.94</v>
          </cell>
          <cell r="AQ843">
            <v>0</v>
          </cell>
          <cell r="AS843">
            <v>145</v>
          </cell>
        </row>
        <row r="844">
          <cell r="B844" t="str">
            <v>AC</v>
          </cell>
          <cell r="C844" t="str">
            <v>IMP</v>
          </cell>
          <cell r="D844" t="str">
            <v>BT</v>
          </cell>
          <cell r="E844" t="str">
            <v>P3</v>
          </cell>
          <cell r="F844">
            <v>39990</v>
          </cell>
          <cell r="G844">
            <v>40001</v>
          </cell>
          <cell r="H844" t="str">
            <v>4688602</v>
          </cell>
          <cell r="I844" t="str">
            <v>3HBHW1311RD</v>
          </cell>
          <cell r="J844" t="str">
            <v>MU2041210/00</v>
          </cell>
          <cell r="K844" t="str">
            <v>Automatic Document Feeder (AF-10)</v>
          </cell>
          <cell r="L844">
            <v>600</v>
          </cell>
          <cell r="M844">
            <v>8930</v>
          </cell>
          <cell r="N844">
            <v>247</v>
          </cell>
          <cell r="O844">
            <v>0</v>
          </cell>
          <cell r="P844">
            <v>9197.9</v>
          </cell>
          <cell r="Q844">
            <v>9465.7999999999993</v>
          </cell>
          <cell r="R844">
            <v>10223.06</v>
          </cell>
          <cell r="T844" t="e">
            <v>#DIV/0!</v>
          </cell>
          <cell r="W844">
            <v>209.95</v>
          </cell>
          <cell r="X844" t="e">
            <v>#DIV/0!</v>
          </cell>
          <cell r="AA844">
            <v>9488</v>
          </cell>
          <cell r="AB844">
            <v>210</v>
          </cell>
          <cell r="AC844">
            <v>234</v>
          </cell>
          <cell r="AD844">
            <v>247</v>
          </cell>
          <cell r="AE844">
            <v>259.2</v>
          </cell>
          <cell r="AF844">
            <v>0.19000771604938271</v>
          </cell>
          <cell r="AG844">
            <v>4.706790123456786E-2</v>
          </cell>
          <cell r="AH844">
            <v>265</v>
          </cell>
          <cell r="AI844">
            <v>270</v>
          </cell>
          <cell r="AJ844">
            <v>0.22240740740740744</v>
          </cell>
          <cell r="AK844">
            <v>275</v>
          </cell>
          <cell r="AL844">
            <v>280</v>
          </cell>
          <cell r="AM844">
            <v>0.25017857142857147</v>
          </cell>
          <cell r="AN844">
            <v>319.35000000000002</v>
          </cell>
          <cell r="AO844">
            <v>358.7</v>
          </cell>
          <cell r="AP844">
            <v>398.05</v>
          </cell>
          <cell r="AQ844">
            <v>0</v>
          </cell>
          <cell r="AS844">
            <v>600</v>
          </cell>
        </row>
        <row r="845">
          <cell r="B845" t="str">
            <v>AC</v>
          </cell>
          <cell r="C845" t="str">
            <v>IMP</v>
          </cell>
          <cell r="D845" t="str">
            <v>BT</v>
          </cell>
          <cell r="E845" t="str">
            <v>P3</v>
          </cell>
          <cell r="F845">
            <v>39990</v>
          </cell>
          <cell r="G845">
            <v>40001</v>
          </cell>
          <cell r="H845" t="str">
            <v>4688612</v>
          </cell>
          <cell r="I845" t="str">
            <v>3HBHMU204120800</v>
          </cell>
          <cell r="J845" t="str">
            <v>MU2041208/00</v>
          </cell>
          <cell r="K845" t="str">
            <v>Automatic Document Feeder (AF-12)</v>
          </cell>
          <cell r="L845">
            <v>500</v>
          </cell>
          <cell r="M845">
            <v>8930</v>
          </cell>
          <cell r="N845">
            <v>189</v>
          </cell>
          <cell r="O845">
            <v>0</v>
          </cell>
          <cell r="P845">
            <v>9197.9</v>
          </cell>
          <cell r="Q845">
            <v>9465.7999999999993</v>
          </cell>
          <cell r="R845">
            <v>10223.06</v>
          </cell>
          <cell r="T845" t="e">
            <v>#DIV/0!</v>
          </cell>
          <cell r="W845">
            <v>160.65</v>
          </cell>
          <cell r="X845" t="e">
            <v>#DIV/0!</v>
          </cell>
          <cell r="AA845">
            <v>9488</v>
          </cell>
          <cell r="AB845">
            <v>161</v>
          </cell>
          <cell r="AC845">
            <v>179</v>
          </cell>
          <cell r="AD845">
            <v>189</v>
          </cell>
          <cell r="AE845">
            <v>198.33</v>
          </cell>
          <cell r="AF845">
            <v>0.18998638632582063</v>
          </cell>
          <cell r="AG845">
            <v>4.7042807442141947E-2</v>
          </cell>
          <cell r="AH845">
            <v>203</v>
          </cell>
          <cell r="AI845">
            <v>207</v>
          </cell>
          <cell r="AJ845">
            <v>0.22391304347826085</v>
          </cell>
          <cell r="AK845">
            <v>211</v>
          </cell>
          <cell r="AL845">
            <v>215</v>
          </cell>
          <cell r="AM845">
            <v>0.25279069767441859</v>
          </cell>
          <cell r="AN845">
            <v>244.92</v>
          </cell>
          <cell r="AO845">
            <v>274.83999999999997</v>
          </cell>
          <cell r="AP845">
            <v>304.76</v>
          </cell>
          <cell r="AQ845">
            <v>0</v>
          </cell>
          <cell r="AS845">
            <v>500</v>
          </cell>
        </row>
        <row r="846">
          <cell r="B846" t="str">
            <v>AC</v>
          </cell>
          <cell r="C846" t="str">
            <v>IMP</v>
          </cell>
          <cell r="D846" t="str">
            <v>BT</v>
          </cell>
          <cell r="E846" t="str">
            <v>P3</v>
          </cell>
          <cell r="F846">
            <v>39990</v>
          </cell>
          <cell r="G846">
            <v>40001</v>
          </cell>
          <cell r="H846" t="str">
            <v>4689602</v>
          </cell>
          <cell r="I846" t="str">
            <v>3HBHMU204160100</v>
          </cell>
          <cell r="J846" t="str">
            <v>MU2041601/00</v>
          </cell>
          <cell r="K846" t="str">
            <v>2-bin Job Tray (JS-202)</v>
          </cell>
          <cell r="L846">
            <v>200</v>
          </cell>
          <cell r="M846">
            <v>7229.2</v>
          </cell>
          <cell r="N846">
            <v>84</v>
          </cell>
          <cell r="O846">
            <v>0</v>
          </cell>
          <cell r="P846">
            <v>7446.08</v>
          </cell>
          <cell r="Q846">
            <v>7662.96</v>
          </cell>
          <cell r="R846">
            <v>8276</v>
          </cell>
          <cell r="T846" t="e">
            <v>#DIV/0!</v>
          </cell>
          <cell r="W846">
            <v>71.399999999999991</v>
          </cell>
          <cell r="X846" t="e">
            <v>#DIV/0!</v>
          </cell>
          <cell r="AA846">
            <v>8792</v>
          </cell>
          <cell r="AB846">
            <v>72</v>
          </cell>
          <cell r="AC846">
            <v>80</v>
          </cell>
          <cell r="AD846">
            <v>85</v>
          </cell>
          <cell r="AE846">
            <v>88.15</v>
          </cell>
          <cell r="AF846">
            <v>0.19001701644923441</v>
          </cell>
          <cell r="AG846">
            <v>4.7078842881452129E-2</v>
          </cell>
          <cell r="AH846">
            <v>91</v>
          </cell>
          <cell r="AI846">
            <v>93</v>
          </cell>
          <cell r="AJ846">
            <v>0.23225806451612913</v>
          </cell>
          <cell r="AK846">
            <v>94.5</v>
          </cell>
          <cell r="AL846">
            <v>96</v>
          </cell>
          <cell r="AM846">
            <v>0.25625000000000009</v>
          </cell>
          <cell r="AN846">
            <v>109.19</v>
          </cell>
          <cell r="AO846">
            <v>122.38</v>
          </cell>
          <cell r="AP846">
            <v>135.57</v>
          </cell>
          <cell r="AQ846">
            <v>0</v>
          </cell>
          <cell r="AS846">
            <v>200</v>
          </cell>
        </row>
        <row r="847">
          <cell r="B847" t="str">
            <v>AC</v>
          </cell>
          <cell r="C847" t="str">
            <v>IMP</v>
          </cell>
          <cell r="D847" t="str">
            <v>BT</v>
          </cell>
          <cell r="E847" t="str">
            <v>P3</v>
          </cell>
          <cell r="F847">
            <v>39990</v>
          </cell>
          <cell r="G847">
            <v>40001</v>
          </cell>
          <cell r="H847" t="str">
            <v>4689612</v>
          </cell>
          <cell r="I847" t="str">
            <v>3HBHDM3HP</v>
          </cell>
          <cell r="J847" t="str">
            <v>MU2041078/00</v>
          </cell>
          <cell r="K847" t="str">
            <v>Job Tray (JS-204)</v>
          </cell>
          <cell r="L847">
            <v>160</v>
          </cell>
          <cell r="M847">
            <v>5600</v>
          </cell>
          <cell r="N847">
            <v>57</v>
          </cell>
          <cell r="O847">
            <v>0</v>
          </cell>
          <cell r="P847">
            <v>5768</v>
          </cell>
          <cell r="Q847">
            <v>5936</v>
          </cell>
          <cell r="R847">
            <v>6410.88</v>
          </cell>
          <cell r="T847" t="e">
            <v>#DIV/0!</v>
          </cell>
          <cell r="W847">
            <v>48.449999999999996</v>
          </cell>
          <cell r="X847" t="e">
            <v>#DIV/0!</v>
          </cell>
          <cell r="AA847">
            <v>5950</v>
          </cell>
          <cell r="AB847">
            <v>49</v>
          </cell>
          <cell r="AC847">
            <v>54</v>
          </cell>
          <cell r="AD847">
            <v>57</v>
          </cell>
          <cell r="AE847">
            <v>59.81</v>
          </cell>
          <cell r="AF847">
            <v>0.18993479351279061</v>
          </cell>
          <cell r="AG847">
            <v>4.6982110015047686E-2</v>
          </cell>
          <cell r="AH847">
            <v>62</v>
          </cell>
          <cell r="AI847">
            <v>63</v>
          </cell>
          <cell r="AJ847">
            <v>0.23095238095238102</v>
          </cell>
          <cell r="AK847">
            <v>64</v>
          </cell>
          <cell r="AL847">
            <v>65</v>
          </cell>
          <cell r="AM847">
            <v>0.25461538461538469</v>
          </cell>
          <cell r="AN847">
            <v>73.98</v>
          </cell>
          <cell r="AO847">
            <v>82.96</v>
          </cell>
          <cell r="AP847">
            <v>91.94</v>
          </cell>
          <cell r="AQ847">
            <v>0</v>
          </cell>
          <cell r="AS847">
            <v>160</v>
          </cell>
        </row>
        <row r="848">
          <cell r="B848" t="str">
            <v>AC</v>
          </cell>
          <cell r="C848" t="str">
            <v>IMP</v>
          </cell>
          <cell r="D848" t="str">
            <v>BT</v>
          </cell>
          <cell r="E848" t="str">
            <v>P3</v>
          </cell>
          <cell r="F848">
            <v>39990</v>
          </cell>
          <cell r="G848">
            <v>40001</v>
          </cell>
          <cell r="H848" t="str">
            <v>4690602</v>
          </cell>
          <cell r="I848" t="str">
            <v>3HBHMU204141200</v>
          </cell>
          <cell r="J848" t="str">
            <v>MU2041412/00</v>
          </cell>
          <cell r="K848" t="str">
            <v>Shifting Unit (OT-103)</v>
          </cell>
          <cell r="L848">
            <v>240</v>
          </cell>
          <cell r="M848">
            <v>14900</v>
          </cell>
          <cell r="N848">
            <v>120</v>
          </cell>
          <cell r="O848">
            <v>0</v>
          </cell>
          <cell r="P848">
            <v>15347</v>
          </cell>
          <cell r="Q848">
            <v>15794</v>
          </cell>
          <cell r="R848">
            <v>17057.52</v>
          </cell>
          <cell r="T848" t="e">
            <v>#DIV/0!</v>
          </cell>
          <cell r="W848">
            <v>102</v>
          </cell>
          <cell r="X848" t="e">
            <v>#DIV/0!</v>
          </cell>
          <cell r="AA848">
            <v>15832</v>
          </cell>
          <cell r="AB848">
            <v>102</v>
          </cell>
          <cell r="AC848">
            <v>114</v>
          </cell>
          <cell r="AD848">
            <v>120</v>
          </cell>
          <cell r="AE848">
            <v>125.93</v>
          </cell>
          <cell r="AF848">
            <v>0.19002620503454304</v>
          </cell>
          <cell r="AG848">
            <v>4.7089652981815347E-2</v>
          </cell>
          <cell r="AH848">
            <v>129</v>
          </cell>
          <cell r="AI848">
            <v>131</v>
          </cell>
          <cell r="AJ848">
            <v>0.22137404580152673</v>
          </cell>
          <cell r="AK848">
            <v>133.5</v>
          </cell>
          <cell r="AL848">
            <v>136</v>
          </cell>
          <cell r="AM848">
            <v>0.25</v>
          </cell>
          <cell r="AN848">
            <v>155.13</v>
          </cell>
          <cell r="AO848">
            <v>174.26</v>
          </cell>
          <cell r="AP848">
            <v>193.39</v>
          </cell>
          <cell r="AQ848">
            <v>0</v>
          </cell>
          <cell r="AS848">
            <v>240</v>
          </cell>
        </row>
        <row r="849">
          <cell r="B849" t="str">
            <v>AC</v>
          </cell>
          <cell r="C849" t="str">
            <v>IMP</v>
          </cell>
          <cell r="D849" t="str">
            <v>BT</v>
          </cell>
          <cell r="E849" t="str">
            <v>P3</v>
          </cell>
          <cell r="F849">
            <v>39990</v>
          </cell>
          <cell r="G849">
            <v>40001</v>
          </cell>
          <cell r="H849" t="str">
            <v>4698612</v>
          </cell>
          <cell r="I849" t="str">
            <v>3HBHDM4HP</v>
          </cell>
          <cell r="J849" t="str">
            <v>MU2041086/00</v>
          </cell>
          <cell r="K849" t="str">
            <v>Stapling Finisher w/ 2 &amp; 3-hole punch (FN-113)</v>
          </cell>
          <cell r="L849">
            <v>3050</v>
          </cell>
          <cell r="M849">
            <v>5600</v>
          </cell>
          <cell r="N849">
            <v>1228</v>
          </cell>
          <cell r="O849">
            <v>0</v>
          </cell>
          <cell r="P849">
            <v>5768</v>
          </cell>
          <cell r="Q849">
            <v>5936</v>
          </cell>
          <cell r="R849">
            <v>6410.88</v>
          </cell>
          <cell r="T849" t="e">
            <v>#DIV/0!</v>
          </cell>
          <cell r="W849">
            <v>1043.8</v>
          </cell>
          <cell r="X849" t="e">
            <v>#DIV/0!</v>
          </cell>
          <cell r="AA849">
            <v>5950</v>
          </cell>
          <cell r="AB849">
            <v>1044</v>
          </cell>
          <cell r="AC849">
            <v>1160</v>
          </cell>
          <cell r="AD849">
            <v>1225</v>
          </cell>
          <cell r="AE849">
            <v>1288.6400000000001</v>
          </cell>
          <cell r="AF849">
            <v>0.18999875838092883</v>
          </cell>
          <cell r="AG849">
            <v>4.7057362801092698E-2</v>
          </cell>
          <cell r="AH849">
            <v>1315</v>
          </cell>
          <cell r="AI849">
            <v>1341</v>
          </cell>
          <cell r="AJ849">
            <v>0.22162565249813576</v>
          </cell>
          <cell r="AK849">
            <v>1366.5</v>
          </cell>
          <cell r="AL849">
            <v>1392</v>
          </cell>
          <cell r="AM849">
            <v>0.25014367816091959</v>
          </cell>
          <cell r="AN849">
            <v>1587.65</v>
          </cell>
          <cell r="AO849">
            <v>1783.3</v>
          </cell>
          <cell r="AP849">
            <v>1978.95</v>
          </cell>
          <cell r="AQ849">
            <v>0</v>
          </cell>
          <cell r="AS849">
            <v>3050</v>
          </cell>
        </row>
        <row r="850">
          <cell r="B850" t="str">
            <v>AC</v>
          </cell>
          <cell r="C850" t="str">
            <v>IMP</v>
          </cell>
          <cell r="D850" t="str">
            <v>BT</v>
          </cell>
          <cell r="E850" t="str">
            <v>P3</v>
          </cell>
          <cell r="F850">
            <v>39990</v>
          </cell>
          <cell r="G850">
            <v>40001</v>
          </cell>
          <cell r="H850" t="str">
            <v>4698712</v>
          </cell>
          <cell r="I850" t="str">
            <v>3HBHMU204143400</v>
          </cell>
          <cell r="J850" t="str">
            <v>MU2041434/00</v>
          </cell>
          <cell r="K850" t="str">
            <v>Multi Stapling Finisher w/ 2 &amp; 3-hole punch (for Di5510 only) (FN-122)</v>
          </cell>
          <cell r="L850">
            <v>3050</v>
          </cell>
          <cell r="M850">
            <v>10000</v>
          </cell>
          <cell r="N850">
            <v>1299</v>
          </cell>
          <cell r="O850">
            <v>0</v>
          </cell>
          <cell r="P850">
            <v>10300</v>
          </cell>
          <cell r="Q850">
            <v>10600</v>
          </cell>
          <cell r="R850">
            <v>11448</v>
          </cell>
          <cell r="T850" t="e">
            <v>#DIV/0!</v>
          </cell>
          <cell r="W850">
            <v>1104.1499999999999</v>
          </cell>
          <cell r="X850" t="e">
            <v>#DIV/0!</v>
          </cell>
          <cell r="AA850">
            <v>10625</v>
          </cell>
          <cell r="AB850">
            <v>1105</v>
          </cell>
          <cell r="AC850">
            <v>1227</v>
          </cell>
          <cell r="AD850">
            <v>1296</v>
          </cell>
          <cell r="AE850">
            <v>1363.15</v>
          </cell>
          <cell r="AF850">
            <v>0.19000110039247348</v>
          </cell>
          <cell r="AG850">
            <v>4.7060118108792202E-2</v>
          </cell>
          <cell r="AH850">
            <v>1392</v>
          </cell>
          <cell r="AI850">
            <v>1419</v>
          </cell>
          <cell r="AJ850">
            <v>0.22188160676532778</v>
          </cell>
          <cell r="AK850">
            <v>1446</v>
          </cell>
          <cell r="AL850">
            <v>1473</v>
          </cell>
          <cell r="AM850">
            <v>0.2504073319755602</v>
          </cell>
          <cell r="AN850">
            <v>1679.83</v>
          </cell>
          <cell r="AO850">
            <v>1886.66</v>
          </cell>
          <cell r="AP850">
            <v>2093.4899999999998</v>
          </cell>
          <cell r="AQ850">
            <v>0</v>
          </cell>
          <cell r="AS850">
            <v>3050</v>
          </cell>
        </row>
        <row r="851">
          <cell r="B851" t="str">
            <v>AC</v>
          </cell>
          <cell r="C851" t="str">
            <v>IMP</v>
          </cell>
          <cell r="D851" t="str">
            <v>BT</v>
          </cell>
          <cell r="E851" t="str">
            <v>P3</v>
          </cell>
          <cell r="F851">
            <v>39990</v>
          </cell>
          <cell r="G851">
            <v>40001</v>
          </cell>
          <cell r="H851" t="str">
            <v>4699612</v>
          </cell>
          <cell r="I851" t="str">
            <v>3HBHMU204162000</v>
          </cell>
          <cell r="J851" t="str">
            <v>MU2041620/00</v>
          </cell>
          <cell r="K851" t="str">
            <v>Embedded Print Controller (Pi6500e)</v>
          </cell>
          <cell r="L851">
            <v>2450</v>
          </cell>
          <cell r="M851">
            <v>14900</v>
          </cell>
          <cell r="N851">
            <v>1308</v>
          </cell>
          <cell r="O851">
            <v>0</v>
          </cell>
          <cell r="P851">
            <v>15347</v>
          </cell>
          <cell r="Q851">
            <v>15794</v>
          </cell>
          <cell r="R851">
            <v>17057.52</v>
          </cell>
          <cell r="T851" t="e">
            <v>#DIV/0!</v>
          </cell>
          <cell r="W851">
            <v>1111.8</v>
          </cell>
          <cell r="X851" t="e">
            <v>#DIV/0!</v>
          </cell>
          <cell r="AA851">
            <v>15832</v>
          </cell>
          <cell r="AB851">
            <v>1112</v>
          </cell>
          <cell r="AC851">
            <v>1236</v>
          </cell>
          <cell r="AD851">
            <v>1305</v>
          </cell>
          <cell r="AE851">
            <v>1372.59</v>
          </cell>
          <cell r="AF851">
            <v>0.18999847004568005</v>
          </cell>
          <cell r="AG851">
            <v>4.705702358315296E-2</v>
          </cell>
          <cell r="AH851">
            <v>1401</v>
          </cell>
          <cell r="AI851">
            <v>1428</v>
          </cell>
          <cell r="AJ851">
            <v>0.22142857142857145</v>
          </cell>
          <cell r="AK851">
            <v>1455.5</v>
          </cell>
          <cell r="AL851">
            <v>1483</v>
          </cell>
          <cell r="AM851">
            <v>0.25030343897505059</v>
          </cell>
          <cell r="AN851">
            <v>1691.31</v>
          </cell>
          <cell r="AO851">
            <v>1899.62</v>
          </cell>
          <cell r="AP851">
            <v>2107.9299999999998</v>
          </cell>
          <cell r="AQ851">
            <v>0</v>
          </cell>
          <cell r="AS851">
            <v>2450</v>
          </cell>
        </row>
        <row r="852">
          <cell r="B852" t="str">
            <v>AC</v>
          </cell>
          <cell r="C852" t="str">
            <v>IMP</v>
          </cell>
          <cell r="D852" t="str">
            <v>BT</v>
          </cell>
          <cell r="E852" t="str">
            <v>P3</v>
          </cell>
          <cell r="F852">
            <v>39990</v>
          </cell>
          <cell r="G852">
            <v>40001</v>
          </cell>
          <cell r="H852" t="str">
            <v>4968220</v>
          </cell>
          <cell r="I852" t="str">
            <v xml:space="preserve">3HBBKCA14740  </v>
          </cell>
          <cell r="J852" t="str">
            <v>KCA14740</v>
          </cell>
          <cell r="K852" t="str">
            <v>Network Interface Card - 10/100 BaseT</v>
          </cell>
          <cell r="L852">
            <v>400</v>
          </cell>
          <cell r="M852">
            <v>2640</v>
          </cell>
          <cell r="N852">
            <v>171</v>
          </cell>
          <cell r="O852">
            <v>0</v>
          </cell>
          <cell r="P852">
            <v>2719.2</v>
          </cell>
          <cell r="Q852">
            <v>2798.4</v>
          </cell>
          <cell r="R852">
            <v>3022.27</v>
          </cell>
          <cell r="T852" t="e">
            <v>#DIV/0!</v>
          </cell>
          <cell r="W852">
            <v>145.35</v>
          </cell>
          <cell r="X852" t="e">
            <v>#DIV/0!</v>
          </cell>
          <cell r="AA852">
            <v>3211</v>
          </cell>
          <cell r="AB852">
            <v>146</v>
          </cell>
          <cell r="AC852">
            <v>162</v>
          </cell>
          <cell r="AD852">
            <v>171</v>
          </cell>
          <cell r="AE852">
            <v>179.44</v>
          </cell>
          <cell r="AF852">
            <v>0.18997993758359341</v>
          </cell>
          <cell r="AG852">
            <v>4.7035220686580462E-2</v>
          </cell>
          <cell r="AH852">
            <v>184</v>
          </cell>
          <cell r="AI852">
            <v>187</v>
          </cell>
          <cell r="AJ852">
            <v>0.22272727272727275</v>
          </cell>
          <cell r="AK852">
            <v>190.5</v>
          </cell>
          <cell r="AL852">
            <v>194</v>
          </cell>
          <cell r="AM852">
            <v>0.25077319587628871</v>
          </cell>
          <cell r="AN852">
            <v>221.2</v>
          </cell>
          <cell r="AO852">
            <v>248.4</v>
          </cell>
          <cell r="AP852">
            <v>275.60000000000002</v>
          </cell>
          <cell r="AQ852">
            <v>0</v>
          </cell>
          <cell r="AS852">
            <v>400</v>
          </cell>
        </row>
        <row r="853">
          <cell r="B853" t="str">
            <v>AC</v>
          </cell>
          <cell r="C853" t="str">
            <v>IMP</v>
          </cell>
          <cell r="D853" t="str">
            <v>BT</v>
          </cell>
          <cell r="E853" t="str">
            <v>P3</v>
          </cell>
          <cell r="F853">
            <v>39990</v>
          </cell>
          <cell r="G853">
            <v>40001</v>
          </cell>
          <cell r="H853" t="str">
            <v>4968240</v>
          </cell>
          <cell r="I853" t="str">
            <v>3HBBKCA14736</v>
          </cell>
          <cell r="J853" t="str">
            <v>KCA14736</v>
          </cell>
          <cell r="K853" t="str">
            <v>TWAIN Driver</v>
          </cell>
          <cell r="L853">
            <v>30</v>
          </cell>
          <cell r="M853">
            <v>5280</v>
          </cell>
          <cell r="N853">
            <v>13</v>
          </cell>
          <cell r="O853">
            <v>0</v>
          </cell>
          <cell r="P853">
            <v>5438.4</v>
          </cell>
          <cell r="Q853">
            <v>5596.8</v>
          </cell>
          <cell r="R853">
            <v>6044.54</v>
          </cell>
          <cell r="T853" t="e">
            <v>#DIV/0!</v>
          </cell>
          <cell r="W853">
            <v>11.049999999999999</v>
          </cell>
          <cell r="X853" t="e">
            <v>#DIV/0!</v>
          </cell>
          <cell r="AA853">
            <v>6421</v>
          </cell>
          <cell r="AB853">
            <v>12</v>
          </cell>
          <cell r="AC853">
            <v>13</v>
          </cell>
          <cell r="AD853">
            <v>14</v>
          </cell>
          <cell r="AE853">
            <v>13.64</v>
          </cell>
          <cell r="AF853">
            <v>0.18988269794721419</v>
          </cell>
          <cell r="AG853">
            <v>4.6920821114369543E-2</v>
          </cell>
          <cell r="AH853">
            <v>15</v>
          </cell>
          <cell r="AI853">
            <v>15</v>
          </cell>
          <cell r="AJ853">
            <v>0.26333333333333342</v>
          </cell>
          <cell r="AK853">
            <v>15</v>
          </cell>
          <cell r="AL853">
            <v>15</v>
          </cell>
          <cell r="AM853">
            <v>0.26333333333333342</v>
          </cell>
          <cell r="AN853">
            <v>17.010000000000002</v>
          </cell>
          <cell r="AO853">
            <v>19.02</v>
          </cell>
          <cell r="AP853">
            <v>21.03</v>
          </cell>
          <cell r="AQ853">
            <v>0</v>
          </cell>
          <cell r="AS853">
            <v>30</v>
          </cell>
        </row>
        <row r="854">
          <cell r="B854" t="str">
            <v>AC</v>
          </cell>
          <cell r="C854" t="str">
            <v>IMP</v>
          </cell>
          <cell r="D854" t="str">
            <v>BT</v>
          </cell>
          <cell r="E854" t="str">
            <v>P3</v>
          </cell>
          <cell r="F854">
            <v>39990</v>
          </cell>
          <cell r="G854">
            <v>40001</v>
          </cell>
          <cell r="H854" t="str">
            <v>4968250</v>
          </cell>
          <cell r="I854" t="str">
            <v>3HBBKCA14737</v>
          </cell>
          <cell r="J854" t="str">
            <v>KCA14737</v>
          </cell>
          <cell r="K854" t="str">
            <v>Copier Memory (32MB)</v>
          </cell>
          <cell r="L854">
            <v>300</v>
          </cell>
          <cell r="M854">
            <v>6600</v>
          </cell>
          <cell r="N854">
            <v>128</v>
          </cell>
          <cell r="O854">
            <v>0</v>
          </cell>
          <cell r="P854">
            <v>6798</v>
          </cell>
          <cell r="Q854">
            <v>6996</v>
          </cell>
          <cell r="R854">
            <v>7555.68</v>
          </cell>
          <cell r="T854" t="e">
            <v>#DIV/0!</v>
          </cell>
          <cell r="W854">
            <v>108.8</v>
          </cell>
          <cell r="X854" t="e">
            <v>#DIV/0!</v>
          </cell>
          <cell r="AA854">
            <v>8027</v>
          </cell>
          <cell r="AB854">
            <v>109</v>
          </cell>
          <cell r="AC854">
            <v>121</v>
          </cell>
          <cell r="AD854">
            <v>128</v>
          </cell>
          <cell r="AE854">
            <v>134.32</v>
          </cell>
          <cell r="AF854">
            <v>0.18999404407385345</v>
          </cell>
          <cell r="AG854">
            <v>4.7051816557474639E-2</v>
          </cell>
          <cell r="AH854">
            <v>138</v>
          </cell>
          <cell r="AI854">
            <v>141</v>
          </cell>
          <cell r="AJ854">
            <v>0.22836879432624116</v>
          </cell>
          <cell r="AK854">
            <v>143.5</v>
          </cell>
          <cell r="AL854">
            <v>146</v>
          </cell>
          <cell r="AM854">
            <v>0.25479452054794521</v>
          </cell>
          <cell r="AN854">
            <v>166.17</v>
          </cell>
          <cell r="AO854">
            <v>186.34</v>
          </cell>
          <cell r="AP854">
            <v>206.51</v>
          </cell>
          <cell r="AQ854">
            <v>0</v>
          </cell>
          <cell r="AS854">
            <v>300</v>
          </cell>
        </row>
        <row r="855">
          <cell r="B855" t="str">
            <v>AC</v>
          </cell>
          <cell r="C855" t="str">
            <v>IMP</v>
          </cell>
          <cell r="D855" t="str">
            <v>BT</v>
          </cell>
          <cell r="E855" t="str">
            <v>P3</v>
          </cell>
          <cell r="F855">
            <v>39990</v>
          </cell>
          <cell r="G855">
            <v>40001</v>
          </cell>
          <cell r="H855" t="str">
            <v>4968260</v>
          </cell>
          <cell r="I855" t="str">
            <v>3HBBKCA14738</v>
          </cell>
          <cell r="J855" t="str">
            <v>KCA14738</v>
          </cell>
          <cell r="K855" t="str">
            <v>16MB Print Memory Upgrade (for printing PCL5e only)</v>
          </cell>
          <cell r="L855">
            <v>200</v>
          </cell>
          <cell r="M855">
            <v>7920</v>
          </cell>
          <cell r="N855">
            <v>93</v>
          </cell>
          <cell r="O855">
            <v>0</v>
          </cell>
          <cell r="P855">
            <v>8157.6</v>
          </cell>
          <cell r="Q855">
            <v>8395.2000000000007</v>
          </cell>
          <cell r="R855">
            <v>9066.82</v>
          </cell>
          <cell r="T855" t="e">
            <v>#DIV/0!</v>
          </cell>
          <cell r="W855">
            <v>79.05</v>
          </cell>
          <cell r="X855" t="e">
            <v>#DIV/0!</v>
          </cell>
          <cell r="AA855">
            <v>9632</v>
          </cell>
          <cell r="AB855">
            <v>80</v>
          </cell>
          <cell r="AC855">
            <v>88</v>
          </cell>
          <cell r="AD855">
            <v>93</v>
          </cell>
          <cell r="AE855">
            <v>97.59</v>
          </cell>
          <cell r="AF855">
            <v>0.18997848140178303</v>
          </cell>
          <cell r="AG855">
            <v>4.7033507531509408E-2</v>
          </cell>
          <cell r="AH855">
            <v>100</v>
          </cell>
          <cell r="AI855">
            <v>102</v>
          </cell>
          <cell r="AJ855">
            <v>0.22500000000000003</v>
          </cell>
          <cell r="AK855">
            <v>104</v>
          </cell>
          <cell r="AL855">
            <v>106</v>
          </cell>
          <cell r="AM855">
            <v>0.25424528301886795</v>
          </cell>
          <cell r="AN855">
            <v>120.67</v>
          </cell>
          <cell r="AO855">
            <v>135.34</v>
          </cell>
          <cell r="AP855">
            <v>150.01</v>
          </cell>
          <cell r="AQ855">
            <v>0</v>
          </cell>
          <cell r="AS855">
            <v>200</v>
          </cell>
        </row>
        <row r="856">
          <cell r="B856" t="str">
            <v>AC</v>
          </cell>
          <cell r="C856" t="str">
            <v>IMP</v>
          </cell>
          <cell r="D856" t="str">
            <v>BT</v>
          </cell>
          <cell r="E856" t="str">
            <v>P3</v>
          </cell>
          <cell r="F856">
            <v>39990</v>
          </cell>
          <cell r="G856">
            <v>40001</v>
          </cell>
          <cell r="H856" t="str">
            <v>4968270</v>
          </cell>
          <cell r="I856" t="str">
            <v>3KMM7640002844</v>
          </cell>
          <cell r="K856" t="str">
            <v>Fax Memory* (4MB)</v>
          </cell>
          <cell r="L856">
            <v>120</v>
          </cell>
          <cell r="M856">
            <v>210</v>
          </cell>
          <cell r="N856">
            <v>51</v>
          </cell>
          <cell r="O856">
            <v>-0.17647058823529407</v>
          </cell>
          <cell r="P856">
            <v>183.85500000000002</v>
          </cell>
          <cell r="Q856">
            <v>222.6</v>
          </cell>
          <cell r="R856">
            <v>240.41</v>
          </cell>
          <cell r="S856">
            <v>265.8</v>
          </cell>
          <cell r="T856">
            <v>0.18623024830699775</v>
          </cell>
          <cell r="U856">
            <v>228.58799999999999</v>
          </cell>
          <cell r="V856">
            <v>5.3756102682555443E-2</v>
          </cell>
          <cell r="W856">
            <v>43.35</v>
          </cell>
          <cell r="X856">
            <v>0.691704288939052</v>
          </cell>
          <cell r="AA856">
            <v>222</v>
          </cell>
          <cell r="AB856">
            <v>44</v>
          </cell>
          <cell r="AC856">
            <v>49</v>
          </cell>
          <cell r="AD856">
            <v>52</v>
          </cell>
          <cell r="AE856">
            <v>53.52</v>
          </cell>
          <cell r="AF856">
            <v>0.1900224215246637</v>
          </cell>
          <cell r="AG856">
            <v>4.7085201793722026E-2</v>
          </cell>
          <cell r="AH856">
            <v>55</v>
          </cell>
          <cell r="AI856">
            <v>56</v>
          </cell>
          <cell r="AJ856">
            <v>0.22589285714285712</v>
          </cell>
          <cell r="AK856">
            <v>57</v>
          </cell>
          <cell r="AL856">
            <v>58</v>
          </cell>
          <cell r="AM856">
            <v>0.2525862068965517</v>
          </cell>
          <cell r="AN856">
            <v>66.08</v>
          </cell>
          <cell r="AO856">
            <v>74.16</v>
          </cell>
          <cell r="AP856">
            <v>82.24</v>
          </cell>
          <cell r="AQ856">
            <v>0</v>
          </cell>
          <cell r="AS856">
            <v>120</v>
          </cell>
        </row>
        <row r="857">
          <cell r="B857" t="str">
            <v>AC</v>
          </cell>
          <cell r="C857" t="str">
            <v>IMP</v>
          </cell>
          <cell r="D857" t="str">
            <v>BT</v>
          </cell>
          <cell r="E857" t="str">
            <v>P3</v>
          </cell>
          <cell r="F857">
            <v>39990</v>
          </cell>
          <cell r="G857">
            <v>40001</v>
          </cell>
          <cell r="H857" t="str">
            <v>4968280</v>
          </cell>
          <cell r="I857" t="str">
            <v>3KMM7640002845</v>
          </cell>
          <cell r="K857" t="str">
            <v>Shield Box (Required for installation of FaxOption and/or Pi1501)</v>
          </cell>
          <cell r="L857">
            <v>15</v>
          </cell>
          <cell r="M857">
            <v>350</v>
          </cell>
          <cell r="N857">
            <v>7</v>
          </cell>
          <cell r="O857">
            <v>-0.17647058823529407</v>
          </cell>
          <cell r="P857">
            <v>306.42500000000001</v>
          </cell>
          <cell r="Q857">
            <v>371</v>
          </cell>
          <cell r="R857">
            <v>400.68</v>
          </cell>
          <cell r="S857">
            <v>439.4</v>
          </cell>
          <cell r="T857">
            <v>0.17956304050978603</v>
          </cell>
          <cell r="U857">
            <v>377.88399999999996</v>
          </cell>
          <cell r="V857">
            <v>4.6003535476495327E-2</v>
          </cell>
          <cell r="W857">
            <v>5.95</v>
          </cell>
          <cell r="X857">
            <v>0.69737141556668192</v>
          </cell>
          <cell r="AA857">
            <v>371</v>
          </cell>
          <cell r="AB857">
            <v>6</v>
          </cell>
          <cell r="AC857">
            <v>7</v>
          </cell>
          <cell r="AD857">
            <v>8</v>
          </cell>
          <cell r="AE857">
            <v>7.35</v>
          </cell>
          <cell r="AF857">
            <v>0.19047619047619041</v>
          </cell>
          <cell r="AG857">
            <v>4.7619047619047575E-2</v>
          </cell>
          <cell r="AH857">
            <v>8</v>
          </cell>
          <cell r="AI857">
            <v>8</v>
          </cell>
          <cell r="AJ857">
            <v>0.25624999999999998</v>
          </cell>
          <cell r="AK857">
            <v>8</v>
          </cell>
          <cell r="AL857">
            <v>8</v>
          </cell>
          <cell r="AM857">
            <v>0.25624999999999998</v>
          </cell>
          <cell r="AN857">
            <v>9.1</v>
          </cell>
          <cell r="AO857">
            <v>10.199999999999999</v>
          </cell>
          <cell r="AP857">
            <v>11.3</v>
          </cell>
          <cell r="AQ857">
            <v>0</v>
          </cell>
          <cell r="AS857">
            <v>15</v>
          </cell>
        </row>
        <row r="858">
          <cell r="B858" t="str">
            <v>AC</v>
          </cell>
          <cell r="C858" t="str">
            <v>IMP</v>
          </cell>
          <cell r="D858" t="str">
            <v>BT</v>
          </cell>
          <cell r="E858" t="str">
            <v>P3</v>
          </cell>
          <cell r="F858">
            <v>39990</v>
          </cell>
          <cell r="G858">
            <v>40001</v>
          </cell>
          <cell r="H858" t="str">
            <v>4968340</v>
          </cell>
          <cell r="K858" t="str">
            <v>Unimessage Pro 5 User Version</v>
          </cell>
          <cell r="L858">
            <v>400</v>
          </cell>
          <cell r="M858">
            <v>10</v>
          </cell>
          <cell r="N858">
            <v>80</v>
          </cell>
          <cell r="O858">
            <v>0.48499999999999999</v>
          </cell>
          <cell r="P858">
            <v>20</v>
          </cell>
          <cell r="Q858">
            <v>10.6</v>
          </cell>
          <cell r="R858">
            <v>11.45</v>
          </cell>
          <cell r="S858">
            <v>25</v>
          </cell>
          <cell r="T858">
            <v>0.58799999999999997</v>
          </cell>
          <cell r="U858">
            <v>19.36</v>
          </cell>
          <cell r="V858">
            <v>0.46797520661157022</v>
          </cell>
          <cell r="W858">
            <v>68</v>
          </cell>
          <cell r="X858">
            <v>0.8</v>
          </cell>
          <cell r="AA858">
            <v>24</v>
          </cell>
          <cell r="AB858">
            <v>68</v>
          </cell>
          <cell r="AC858">
            <v>76</v>
          </cell>
          <cell r="AD858">
            <v>80</v>
          </cell>
          <cell r="AE858">
            <v>83.95</v>
          </cell>
          <cell r="AF858">
            <v>0.18999404407385351</v>
          </cell>
          <cell r="AG858">
            <v>4.7051816557474722E-2</v>
          </cell>
          <cell r="AH858">
            <v>86</v>
          </cell>
          <cell r="AI858">
            <v>88</v>
          </cell>
          <cell r="AJ858">
            <v>0.22727272727272727</v>
          </cell>
          <cell r="AK858">
            <v>89.5</v>
          </cell>
          <cell r="AL858">
            <v>91</v>
          </cell>
          <cell r="AM858">
            <v>0.25274725274725274</v>
          </cell>
          <cell r="AN858">
            <v>103.67</v>
          </cell>
          <cell r="AO858">
            <v>116.34</v>
          </cell>
          <cell r="AP858">
            <v>129.01</v>
          </cell>
          <cell r="AQ858">
            <v>0</v>
          </cell>
          <cell r="AS858">
            <v>400</v>
          </cell>
        </row>
        <row r="859">
          <cell r="B859" t="str">
            <v>AC</v>
          </cell>
          <cell r="C859" t="str">
            <v>IMP</v>
          </cell>
          <cell r="D859" t="str">
            <v>BT</v>
          </cell>
          <cell r="E859" t="str">
            <v>P3</v>
          </cell>
          <cell r="F859">
            <v>39990</v>
          </cell>
          <cell r="G859">
            <v>40001</v>
          </cell>
          <cell r="H859" t="str">
            <v>4968560</v>
          </cell>
          <cell r="I859" t="str">
            <v>3KMM7640002934</v>
          </cell>
          <cell r="K859" t="str">
            <v>8MB Fax Memory Upgrade</v>
          </cell>
          <cell r="L859">
            <v>175</v>
          </cell>
          <cell r="M859">
            <v>185.4368932038835</v>
          </cell>
          <cell r="N859">
            <v>92</v>
          </cell>
          <cell r="O859">
            <v>8.1730769230769232E-2</v>
          </cell>
          <cell r="P859">
            <v>208</v>
          </cell>
          <cell r="Q859">
            <v>196.56</v>
          </cell>
          <cell r="R859">
            <v>212.28</v>
          </cell>
          <cell r="S859">
            <v>260</v>
          </cell>
          <cell r="T859">
            <v>0.26538461538461539</v>
          </cell>
          <cell r="U859">
            <v>201.34399999999999</v>
          </cell>
          <cell r="V859">
            <v>5.1374761602034302E-2</v>
          </cell>
          <cell r="W859">
            <v>78.2</v>
          </cell>
          <cell r="X859">
            <v>0.8</v>
          </cell>
          <cell r="AA859">
            <v>252</v>
          </cell>
          <cell r="AB859">
            <v>79</v>
          </cell>
          <cell r="AC859">
            <v>87</v>
          </cell>
          <cell r="AD859">
            <v>92</v>
          </cell>
          <cell r="AE859">
            <v>96.54</v>
          </cell>
          <cell r="AF859">
            <v>0.18997306815827639</v>
          </cell>
          <cell r="AG859">
            <v>4.7027139009736957E-2</v>
          </cell>
          <cell r="AH859">
            <v>99</v>
          </cell>
          <cell r="AI859">
            <v>101</v>
          </cell>
          <cell r="AJ859">
            <v>0.22574257425742572</v>
          </cell>
          <cell r="AK859">
            <v>103</v>
          </cell>
          <cell r="AL859">
            <v>105</v>
          </cell>
          <cell r="AM859">
            <v>0.25523809523809521</v>
          </cell>
          <cell r="AN859">
            <v>119.48</v>
          </cell>
          <cell r="AO859">
            <v>133.96</v>
          </cell>
          <cell r="AP859">
            <v>148.44</v>
          </cell>
          <cell r="AQ859">
            <v>0</v>
          </cell>
          <cell r="AS859">
            <v>175</v>
          </cell>
        </row>
        <row r="860">
          <cell r="B860" t="str">
            <v>AC</v>
          </cell>
          <cell r="C860" t="str">
            <v>IMP</v>
          </cell>
          <cell r="D860" t="str">
            <v>BT</v>
          </cell>
          <cell r="E860" t="str">
            <v>P3</v>
          </cell>
          <cell r="F860">
            <v>39990</v>
          </cell>
          <cell r="G860">
            <v>40001</v>
          </cell>
          <cell r="H860" t="str">
            <v>4968602</v>
          </cell>
          <cell r="I860" t="str">
            <v>KMBHP1050A/T_</v>
          </cell>
          <cell r="K860" t="str">
            <v>Fax Board (converts Di152/Di183 to Di152f/Di183f) (FX-1)</v>
          </cell>
          <cell r="L860">
            <v>1150</v>
          </cell>
          <cell r="M860">
            <v>0</v>
          </cell>
          <cell r="N860">
            <v>514</v>
          </cell>
          <cell r="P860" t="str">
            <v>N/A</v>
          </cell>
          <cell r="Q860" t="str">
            <v>N/A</v>
          </cell>
          <cell r="S860" t="str">
            <v>N/A</v>
          </cell>
          <cell r="W860">
            <v>436.9</v>
          </cell>
          <cell r="AA860">
            <v>200</v>
          </cell>
          <cell r="AB860">
            <v>437</v>
          </cell>
          <cell r="AC860">
            <v>486</v>
          </cell>
          <cell r="AD860">
            <v>513</v>
          </cell>
          <cell r="AE860">
            <v>539.38</v>
          </cell>
          <cell r="AF860">
            <v>0.18999592124290857</v>
          </cell>
          <cell r="AG860">
            <v>4.7054024991657083E-2</v>
          </cell>
          <cell r="AH860">
            <v>551</v>
          </cell>
          <cell r="AI860">
            <v>562</v>
          </cell>
          <cell r="AJ860">
            <v>0.22259786476868332</v>
          </cell>
          <cell r="AK860">
            <v>572.5</v>
          </cell>
          <cell r="AL860">
            <v>583</v>
          </cell>
          <cell r="AM860">
            <v>0.2506003430531733</v>
          </cell>
          <cell r="AN860">
            <v>664.8</v>
          </cell>
          <cell r="AO860">
            <v>746.6</v>
          </cell>
          <cell r="AP860">
            <v>828.4</v>
          </cell>
          <cell r="AQ860">
            <v>0</v>
          </cell>
          <cell r="AS860">
            <v>1150</v>
          </cell>
        </row>
        <row r="861">
          <cell r="B861" t="str">
            <v>AC</v>
          </cell>
          <cell r="C861" t="str">
            <v>IMP</v>
          </cell>
          <cell r="D861" t="str">
            <v>BT</v>
          </cell>
          <cell r="E861" t="str">
            <v>P3</v>
          </cell>
          <cell r="F861">
            <v>39990</v>
          </cell>
          <cell r="G861">
            <v>40001</v>
          </cell>
          <cell r="H861" t="str">
            <v>4968612</v>
          </cell>
          <cell r="I861" t="str">
            <v>3KMB7640002940</v>
          </cell>
          <cell r="K861" t="str">
            <v>Internet Fax/Network Scan Kit (SU-1)</v>
          </cell>
          <cell r="L861">
            <v>1000</v>
          </cell>
          <cell r="M861">
            <v>0</v>
          </cell>
          <cell r="N861">
            <v>399</v>
          </cell>
          <cell r="P861" t="str">
            <v>N/A</v>
          </cell>
          <cell r="Q861" t="str">
            <v>N/A</v>
          </cell>
          <cell r="S861" t="str">
            <v>N/A</v>
          </cell>
          <cell r="W861">
            <v>339.15</v>
          </cell>
          <cell r="AA861">
            <v>200</v>
          </cell>
          <cell r="AB861">
            <v>340</v>
          </cell>
          <cell r="AC861">
            <v>377</v>
          </cell>
          <cell r="AD861">
            <v>398</v>
          </cell>
          <cell r="AE861">
            <v>418.7</v>
          </cell>
          <cell r="AF861">
            <v>0.18999283496536903</v>
          </cell>
          <cell r="AG861">
            <v>4.7050394076904679E-2</v>
          </cell>
          <cell r="AH861">
            <v>428</v>
          </cell>
          <cell r="AI861">
            <v>436</v>
          </cell>
          <cell r="AJ861">
            <v>0.22213302752293584</v>
          </cell>
          <cell r="AK861">
            <v>444.5</v>
          </cell>
          <cell r="AL861">
            <v>453</v>
          </cell>
          <cell r="AM861">
            <v>0.25132450331125833</v>
          </cell>
          <cell r="AN861">
            <v>516.39</v>
          </cell>
          <cell r="AO861">
            <v>579.78</v>
          </cell>
          <cell r="AP861">
            <v>643.16999999999996</v>
          </cell>
          <cell r="AQ861">
            <v>0</v>
          </cell>
          <cell r="AS861">
            <v>1000</v>
          </cell>
        </row>
        <row r="862">
          <cell r="B862" t="str">
            <v>AC</v>
          </cell>
          <cell r="C862" t="str">
            <v>IMP</v>
          </cell>
          <cell r="D862" t="str">
            <v>BT</v>
          </cell>
          <cell r="E862" t="str">
            <v>P3</v>
          </cell>
          <cell r="F862">
            <v>39990</v>
          </cell>
          <cell r="G862">
            <v>40001</v>
          </cell>
          <cell r="H862" t="str">
            <v>4968621</v>
          </cell>
          <cell r="I862" t="str">
            <v>SBEKDS9110</v>
          </cell>
          <cell r="J862" t="str">
            <v>KC4C5769</v>
          </cell>
          <cell r="K862" t="str">
            <v>16MB Copier Memory (M16-4)</v>
          </cell>
          <cell r="L862">
            <v>200</v>
          </cell>
          <cell r="M862">
            <v>96.56</v>
          </cell>
          <cell r="N862">
            <v>86</v>
          </cell>
          <cell r="O862">
            <v>0</v>
          </cell>
          <cell r="P862">
            <v>99.46</v>
          </cell>
          <cell r="Q862">
            <v>102.36</v>
          </cell>
          <cell r="R862">
            <v>110.55</v>
          </cell>
          <cell r="T862" t="e">
            <v>#DIV/0!</v>
          </cell>
          <cell r="W862">
            <v>73.099999999999994</v>
          </cell>
          <cell r="X862" t="e">
            <v>#DIV/0!</v>
          </cell>
          <cell r="AA862">
            <v>171</v>
          </cell>
          <cell r="AB862">
            <v>74</v>
          </cell>
          <cell r="AC862">
            <v>82</v>
          </cell>
          <cell r="AD862">
            <v>87</v>
          </cell>
          <cell r="AE862">
            <v>90.25</v>
          </cell>
          <cell r="AF862">
            <v>0.19002770083102499</v>
          </cell>
          <cell r="AG862">
            <v>4.7091412742382273E-2</v>
          </cell>
          <cell r="AH862">
            <v>93</v>
          </cell>
          <cell r="AI862">
            <v>95</v>
          </cell>
          <cell r="AJ862">
            <v>0.23052631578947375</v>
          </cell>
          <cell r="AK862">
            <v>96.5</v>
          </cell>
          <cell r="AL862">
            <v>98</v>
          </cell>
          <cell r="AM862">
            <v>0.25408163265306127</v>
          </cell>
          <cell r="AN862">
            <v>111.57</v>
          </cell>
          <cell r="AO862">
            <v>125.14</v>
          </cell>
          <cell r="AP862">
            <v>138.71</v>
          </cell>
          <cell r="AQ862">
            <v>0</v>
          </cell>
          <cell r="AS862">
            <v>200</v>
          </cell>
        </row>
        <row r="863">
          <cell r="B863" t="str">
            <v>AC</v>
          </cell>
          <cell r="C863" t="str">
            <v>IMP</v>
          </cell>
          <cell r="D863" t="str">
            <v>BT</v>
          </cell>
          <cell r="E863" t="str">
            <v>P3</v>
          </cell>
          <cell r="F863">
            <v>39990</v>
          </cell>
          <cell r="G863">
            <v>40001</v>
          </cell>
          <cell r="H863" t="str">
            <v>4968622</v>
          </cell>
          <cell r="K863" t="str">
            <v>32MB Copier Memory (M32-3)</v>
          </cell>
          <cell r="L863">
            <v>300</v>
          </cell>
          <cell r="M863">
            <v>210</v>
          </cell>
          <cell r="N863">
            <v>132</v>
          </cell>
          <cell r="O863">
            <v>-0.17647058823529407</v>
          </cell>
          <cell r="P863">
            <v>183.85500000000002</v>
          </cell>
          <cell r="Q863">
            <v>222.6</v>
          </cell>
          <cell r="R863">
            <v>240.41</v>
          </cell>
          <cell r="S863">
            <v>265.8</v>
          </cell>
          <cell r="T863">
            <v>0.18623024830699775</v>
          </cell>
          <cell r="U863">
            <v>228.58799999999999</v>
          </cell>
          <cell r="V863">
            <v>5.3756102682555443E-2</v>
          </cell>
          <cell r="W863">
            <v>112.2</v>
          </cell>
          <cell r="X863">
            <v>0.691704288939052</v>
          </cell>
          <cell r="AA863">
            <v>222</v>
          </cell>
          <cell r="AB863">
            <v>113</v>
          </cell>
          <cell r="AC863">
            <v>125</v>
          </cell>
          <cell r="AD863">
            <v>132</v>
          </cell>
          <cell r="AE863">
            <v>138.52000000000001</v>
          </cell>
          <cell r="AF863">
            <v>0.19000866300895181</v>
          </cell>
          <cell r="AG863">
            <v>4.7069015304649221E-2</v>
          </cell>
          <cell r="AH863">
            <v>142</v>
          </cell>
          <cell r="AI863">
            <v>145</v>
          </cell>
          <cell r="AJ863">
            <v>0.22620689655172413</v>
          </cell>
          <cell r="AK863">
            <v>147.5</v>
          </cell>
          <cell r="AL863">
            <v>150</v>
          </cell>
          <cell r="AM863">
            <v>0.252</v>
          </cell>
          <cell r="AN863">
            <v>170.94</v>
          </cell>
          <cell r="AO863">
            <v>191.88</v>
          </cell>
          <cell r="AP863">
            <v>212.82</v>
          </cell>
          <cell r="AQ863">
            <v>0</v>
          </cell>
          <cell r="AS863">
            <v>300</v>
          </cell>
        </row>
        <row r="864">
          <cell r="B864" t="str">
            <v>AC</v>
          </cell>
          <cell r="C864" t="str">
            <v>IMP</v>
          </cell>
          <cell r="D864" t="str">
            <v>BT</v>
          </cell>
          <cell r="E864" t="str">
            <v>P3</v>
          </cell>
          <cell r="F864">
            <v>39990</v>
          </cell>
          <cell r="G864">
            <v>40001</v>
          </cell>
          <cell r="H864" t="str">
            <v>4968624</v>
          </cell>
          <cell r="K864" t="str">
            <v>Print Controller (Pi1802e)</v>
          </cell>
          <cell r="L864">
            <v>700</v>
          </cell>
          <cell r="M864">
            <v>350</v>
          </cell>
          <cell r="N864">
            <v>286</v>
          </cell>
          <cell r="O864">
            <v>-0.17647058823529407</v>
          </cell>
          <cell r="P864">
            <v>306.42500000000001</v>
          </cell>
          <cell r="Q864">
            <v>371</v>
          </cell>
          <cell r="R864">
            <v>400.68</v>
          </cell>
          <cell r="S864">
            <v>439.4</v>
          </cell>
          <cell r="T864">
            <v>0.17956304050978603</v>
          </cell>
          <cell r="U864">
            <v>377.88399999999996</v>
          </cell>
          <cell r="V864">
            <v>4.6003535476495327E-2</v>
          </cell>
          <cell r="W864">
            <v>243.1</v>
          </cell>
          <cell r="X864">
            <v>0.69737141556668192</v>
          </cell>
          <cell r="AA864">
            <v>371</v>
          </cell>
          <cell r="AB864">
            <v>244</v>
          </cell>
          <cell r="AC864">
            <v>271</v>
          </cell>
          <cell r="AD864">
            <v>286</v>
          </cell>
          <cell r="AE864">
            <v>300.12</v>
          </cell>
          <cell r="AF864">
            <v>0.18999067039850728</v>
          </cell>
          <cell r="AG864">
            <v>4.7047847527655617E-2</v>
          </cell>
          <cell r="AH864">
            <v>307</v>
          </cell>
          <cell r="AI864">
            <v>313</v>
          </cell>
          <cell r="AJ864">
            <v>0.22332268370607031</v>
          </cell>
          <cell r="AK864">
            <v>319</v>
          </cell>
          <cell r="AL864">
            <v>325</v>
          </cell>
          <cell r="AM864">
            <v>0.252</v>
          </cell>
          <cell r="AN864">
            <v>370.36</v>
          </cell>
          <cell r="AO864">
            <v>415.72</v>
          </cell>
          <cell r="AP864">
            <v>461.08</v>
          </cell>
          <cell r="AQ864">
            <v>0</v>
          </cell>
          <cell r="AS864">
            <v>700</v>
          </cell>
        </row>
        <row r="865">
          <cell r="B865" t="str">
            <v>AC</v>
          </cell>
          <cell r="C865" t="str">
            <v>IMP</v>
          </cell>
          <cell r="D865" t="str">
            <v>BT</v>
          </cell>
          <cell r="E865" t="str">
            <v>P3</v>
          </cell>
          <cell r="F865">
            <v>39990</v>
          </cell>
          <cell r="G865">
            <v>40001</v>
          </cell>
          <cell r="H865" t="str">
            <v>4968630</v>
          </cell>
          <cell r="I865" t="str">
            <v>3KMH7640004610</v>
          </cell>
          <cell r="K865" t="str">
            <v>Network Interface Card (NC-3)</v>
          </cell>
          <cell r="L865">
            <v>450</v>
          </cell>
          <cell r="M865">
            <v>6643</v>
          </cell>
          <cell r="N865">
            <v>206</v>
          </cell>
          <cell r="O865">
            <v>6.1980423338451371E-2</v>
          </cell>
          <cell r="P865">
            <v>7294.4</v>
          </cell>
          <cell r="Q865">
            <v>7041.58</v>
          </cell>
          <cell r="R865">
            <v>7604.91</v>
          </cell>
          <cell r="S865">
            <v>9118</v>
          </cell>
          <cell r="T865">
            <v>0.24958433867076113</v>
          </cell>
          <cell r="U865">
            <v>7841.48</v>
          </cell>
          <cell r="V865">
            <v>0.12742364961716407</v>
          </cell>
          <cell r="W865">
            <v>175.1</v>
          </cell>
          <cell r="X865">
            <v>0.79999999999999993</v>
          </cell>
          <cell r="AA865">
            <v>8825</v>
          </cell>
          <cell r="AB865">
            <v>176</v>
          </cell>
          <cell r="AC865">
            <v>195</v>
          </cell>
          <cell r="AD865">
            <v>206</v>
          </cell>
          <cell r="AE865">
            <v>216.17</v>
          </cell>
          <cell r="AF865">
            <v>0.18998936022574822</v>
          </cell>
          <cell r="AG865">
            <v>4.7046306147939067E-2</v>
          </cell>
          <cell r="AH865">
            <v>222</v>
          </cell>
          <cell r="AI865">
            <v>226</v>
          </cell>
          <cell r="AJ865">
            <v>0.22522123893805313</v>
          </cell>
          <cell r="AK865">
            <v>230</v>
          </cell>
          <cell r="AL865">
            <v>234</v>
          </cell>
          <cell r="AM865">
            <v>0.25170940170940176</v>
          </cell>
          <cell r="AN865">
            <v>266.7</v>
          </cell>
          <cell r="AO865">
            <v>299.39999999999998</v>
          </cell>
          <cell r="AP865">
            <v>332.1</v>
          </cell>
          <cell r="AQ865">
            <v>0</v>
          </cell>
          <cell r="AS865">
            <v>450</v>
          </cell>
        </row>
        <row r="866">
          <cell r="B866" t="str">
            <v>AC</v>
          </cell>
          <cell r="C866" t="str">
            <v>IMP</v>
          </cell>
          <cell r="D866" t="str">
            <v>BT</v>
          </cell>
          <cell r="E866" t="str">
            <v>P3</v>
          </cell>
          <cell r="F866">
            <v>39990</v>
          </cell>
          <cell r="G866">
            <v>40001</v>
          </cell>
          <cell r="H866" t="str">
            <v>4970612</v>
          </cell>
          <cell r="I866" t="str">
            <v>3KMH7640004611</v>
          </cell>
          <cell r="K866" t="str">
            <v>Staple Finisher FN-120</v>
          </cell>
          <cell r="L866">
            <v>2850</v>
          </cell>
          <cell r="M866">
            <v>1500</v>
          </cell>
          <cell r="N866">
            <v>1107</v>
          </cell>
          <cell r="O866">
            <v>4.5103092783505151E-3</v>
          </cell>
          <cell r="P866">
            <v>1552</v>
          </cell>
          <cell r="Q866">
            <v>1590</v>
          </cell>
          <cell r="R866">
            <v>1717.2</v>
          </cell>
          <cell r="S866">
            <v>1940</v>
          </cell>
          <cell r="T866">
            <v>0.20360824742268041</v>
          </cell>
          <cell r="U866">
            <v>1668.3999999999999</v>
          </cell>
          <cell r="V866">
            <v>7.3963078398465526E-2</v>
          </cell>
          <cell r="W866">
            <v>940.94999999999993</v>
          </cell>
          <cell r="X866">
            <v>0.8</v>
          </cell>
          <cell r="AA866">
            <v>1878</v>
          </cell>
          <cell r="AB866">
            <v>941</v>
          </cell>
          <cell r="AC866">
            <v>1046</v>
          </cell>
          <cell r="AD866">
            <v>1104</v>
          </cell>
          <cell r="AE866">
            <v>1161.67</v>
          </cell>
          <cell r="AF866">
            <v>0.19000232424010272</v>
          </cell>
          <cell r="AG866">
            <v>4.7061557929532545E-2</v>
          </cell>
          <cell r="AH866">
            <v>1186</v>
          </cell>
          <cell r="AI866">
            <v>1209</v>
          </cell>
          <cell r="AJ866">
            <v>0.22171215880893305</v>
          </cell>
          <cell r="AK866">
            <v>1232</v>
          </cell>
          <cell r="AL866">
            <v>1255</v>
          </cell>
          <cell r="AM866">
            <v>0.25023904382470125</v>
          </cell>
          <cell r="AN866">
            <v>1431.33</v>
          </cell>
          <cell r="AO866">
            <v>1607.66</v>
          </cell>
          <cell r="AP866">
            <v>1783.99</v>
          </cell>
          <cell r="AQ866">
            <v>0</v>
          </cell>
          <cell r="AS866">
            <v>2850</v>
          </cell>
        </row>
        <row r="867">
          <cell r="B867" t="str">
            <v>AC</v>
          </cell>
          <cell r="C867" t="str">
            <v>IMP</v>
          </cell>
          <cell r="D867" t="str">
            <v>BT</v>
          </cell>
          <cell r="E867" t="str">
            <v>P3</v>
          </cell>
          <cell r="F867">
            <v>39990</v>
          </cell>
          <cell r="G867">
            <v>40001</v>
          </cell>
          <cell r="H867" t="str">
            <v>4971612</v>
          </cell>
          <cell r="I867" t="str">
            <v>3KMH7640004612</v>
          </cell>
          <cell r="K867" t="str">
            <v>Saddle Finisher FN-9</v>
          </cell>
          <cell r="L867">
            <v>4500</v>
          </cell>
          <cell r="M867">
            <v>1250</v>
          </cell>
          <cell r="N867">
            <v>1711</v>
          </cell>
          <cell r="O867">
            <v>9.6153846153846159E-3</v>
          </cell>
          <cell r="P867">
            <v>1300</v>
          </cell>
          <cell r="Q867">
            <v>1325</v>
          </cell>
          <cell r="R867">
            <v>1431</v>
          </cell>
          <cell r="S867">
            <v>1625</v>
          </cell>
          <cell r="T867">
            <v>0.2076923076923077</v>
          </cell>
          <cell r="U867">
            <v>1397.5</v>
          </cell>
          <cell r="V867">
            <v>7.8711985688729877E-2</v>
          </cell>
          <cell r="W867">
            <v>1454.35</v>
          </cell>
          <cell r="X867">
            <v>0.8</v>
          </cell>
          <cell r="AA867">
            <v>1573</v>
          </cell>
          <cell r="AB867">
            <v>1455</v>
          </cell>
          <cell r="AC867">
            <v>1616</v>
          </cell>
          <cell r="AD867">
            <v>1706</v>
          </cell>
          <cell r="AE867">
            <v>1795.49</v>
          </cell>
          <cell r="AF867">
            <v>0.18999827345181544</v>
          </cell>
          <cell r="AG867">
            <v>4.7056792296253397E-2</v>
          </cell>
          <cell r="AH867">
            <v>1832</v>
          </cell>
          <cell r="AI867">
            <v>1868</v>
          </cell>
          <cell r="AJ867">
            <v>0.22144004282655252</v>
          </cell>
          <cell r="AK867">
            <v>1904</v>
          </cell>
          <cell r="AL867">
            <v>1940</v>
          </cell>
          <cell r="AM867">
            <v>0.2503350515463918</v>
          </cell>
          <cell r="AN867">
            <v>2212.4699999999998</v>
          </cell>
          <cell r="AO867">
            <v>2484.94</v>
          </cell>
          <cell r="AP867">
            <v>2757.41</v>
          </cell>
          <cell r="AQ867">
            <v>0</v>
          </cell>
          <cell r="AS867">
            <v>4500</v>
          </cell>
        </row>
        <row r="868">
          <cell r="B868" t="str">
            <v>AC</v>
          </cell>
          <cell r="C868" t="str">
            <v>IMP</v>
          </cell>
          <cell r="D868" t="str">
            <v>BT</v>
          </cell>
          <cell r="E868" t="str">
            <v>P3</v>
          </cell>
          <cell r="F868">
            <v>39990</v>
          </cell>
          <cell r="G868">
            <v>40001</v>
          </cell>
          <cell r="H868" t="str">
            <v>4972612</v>
          </cell>
          <cell r="I868" t="str">
            <v>3KMH7640004612</v>
          </cell>
          <cell r="K868" t="str">
            <v>2500 sheet Large Capacity Cassette C-208 DNU USE 960853</v>
          </cell>
          <cell r="L868">
            <v>3200</v>
          </cell>
          <cell r="M868">
            <v>1250</v>
          </cell>
          <cell r="N868">
            <v>1186</v>
          </cell>
          <cell r="O868">
            <v>9.6153846153846159E-3</v>
          </cell>
          <cell r="P868">
            <v>1300</v>
          </cell>
          <cell r="Q868">
            <v>1325</v>
          </cell>
          <cell r="R868">
            <v>1431</v>
          </cell>
          <cell r="S868">
            <v>1625</v>
          </cell>
          <cell r="T868">
            <v>0.2076923076923077</v>
          </cell>
          <cell r="U868">
            <v>1397.5</v>
          </cell>
          <cell r="V868">
            <v>7.8711985688729877E-2</v>
          </cell>
          <cell r="W868">
            <v>1008.1</v>
          </cell>
          <cell r="X868">
            <v>0.8</v>
          </cell>
          <cell r="AA868">
            <v>1573</v>
          </cell>
          <cell r="AB868">
            <v>1009</v>
          </cell>
          <cell r="AC868">
            <v>1121</v>
          </cell>
          <cell r="AD868">
            <v>1183</v>
          </cell>
          <cell r="AE868">
            <v>1244.57</v>
          </cell>
          <cell r="AF868">
            <v>0.19000136593361558</v>
          </cell>
          <cell r="AG868">
            <v>4.7060430510135982E-2</v>
          </cell>
          <cell r="AH868">
            <v>1270</v>
          </cell>
          <cell r="AI868">
            <v>1295</v>
          </cell>
          <cell r="AJ868">
            <v>0.22154440154440153</v>
          </cell>
          <cell r="AK868">
            <v>1320</v>
          </cell>
          <cell r="AL868">
            <v>1345</v>
          </cell>
          <cell r="AM868">
            <v>0.25048327137546467</v>
          </cell>
          <cell r="AN868">
            <v>1533.8</v>
          </cell>
          <cell r="AO868">
            <v>1722.6</v>
          </cell>
          <cell r="AP868">
            <v>1911.4</v>
          </cell>
          <cell r="AQ868">
            <v>0</v>
          </cell>
          <cell r="AS868">
            <v>3200</v>
          </cell>
        </row>
        <row r="869">
          <cell r="B869" t="str">
            <v>AC</v>
          </cell>
          <cell r="C869" t="str">
            <v>IMP</v>
          </cell>
          <cell r="D869" t="str">
            <v>BT</v>
          </cell>
          <cell r="E869" t="str">
            <v>P3</v>
          </cell>
          <cell r="F869">
            <v>39990</v>
          </cell>
          <cell r="G869">
            <v>40001</v>
          </cell>
          <cell r="H869" t="str">
            <v>4973612</v>
          </cell>
          <cell r="K869" t="str">
            <v>Trimming Unit TMG-3</v>
          </cell>
          <cell r="L869">
            <v>10900</v>
          </cell>
          <cell r="M869">
            <v>750</v>
          </cell>
          <cell r="N869">
            <v>5250</v>
          </cell>
          <cell r="T869" t="e">
            <v>#DIV/0!</v>
          </cell>
          <cell r="W869">
            <v>4462.5</v>
          </cell>
          <cell r="X869" t="e">
            <v>#DIV/0!</v>
          </cell>
          <cell r="AA869">
            <v>912</v>
          </cell>
          <cell r="AB869">
            <v>4463</v>
          </cell>
          <cell r="AC869">
            <v>4959</v>
          </cell>
          <cell r="AD869">
            <v>5235</v>
          </cell>
          <cell r="AE869">
            <v>5509.26</v>
          </cell>
          <cell r="AF869">
            <v>0.19000010890754843</v>
          </cell>
          <cell r="AG869">
            <v>4.7058951655939311E-2</v>
          </cell>
          <cell r="AH869">
            <v>5620</v>
          </cell>
          <cell r="AI869">
            <v>5730</v>
          </cell>
          <cell r="AJ869">
            <v>0.22120418848167539</v>
          </cell>
          <cell r="AK869">
            <v>5840</v>
          </cell>
          <cell r="AL869">
            <v>5950</v>
          </cell>
          <cell r="AM869">
            <v>0.25</v>
          </cell>
          <cell r="AN869">
            <v>6786.72</v>
          </cell>
          <cell r="AO869">
            <v>7623.44</v>
          </cell>
          <cell r="AP869">
            <v>8460.16</v>
          </cell>
          <cell r="AQ869">
            <v>0</v>
          </cell>
          <cell r="AS869">
            <v>10900</v>
          </cell>
        </row>
        <row r="870">
          <cell r="B870" t="str">
            <v>AC</v>
          </cell>
          <cell r="C870" t="str">
            <v>IMP</v>
          </cell>
          <cell r="D870" t="str">
            <v>BT</v>
          </cell>
          <cell r="E870" t="str">
            <v>P3</v>
          </cell>
          <cell r="F870">
            <v>39990</v>
          </cell>
          <cell r="G870">
            <v>40001</v>
          </cell>
          <cell r="H870" t="str">
            <v>4974612</v>
          </cell>
          <cell r="I870" t="str">
            <v>3KDBSB415A00</v>
          </cell>
          <cell r="J870" t="str">
            <v>KHR696415A00</v>
          </cell>
          <cell r="K870" t="str">
            <v xml:space="preserve">Trimming attachment Kit A </v>
          </cell>
          <cell r="L870">
            <v>2900</v>
          </cell>
          <cell r="M870">
            <v>4500</v>
          </cell>
          <cell r="N870">
            <v>1259</v>
          </cell>
          <cell r="O870">
            <v>0</v>
          </cell>
          <cell r="P870">
            <v>4635</v>
          </cell>
          <cell r="Q870">
            <v>4770</v>
          </cell>
          <cell r="R870">
            <v>5151.6000000000004</v>
          </cell>
          <cell r="T870" t="e">
            <v>#DIV/0!</v>
          </cell>
          <cell r="W870">
            <v>1070.1499999999999</v>
          </cell>
          <cell r="X870" t="e">
            <v>#DIV/0!</v>
          </cell>
          <cell r="AA870">
            <v>5473</v>
          </cell>
          <cell r="AB870">
            <v>1071</v>
          </cell>
          <cell r="AC870">
            <v>1190</v>
          </cell>
          <cell r="AD870">
            <v>1256</v>
          </cell>
          <cell r="AE870">
            <v>1321.17</v>
          </cell>
          <cell r="AF870">
            <v>0.18999825911881149</v>
          </cell>
          <cell r="AG870">
            <v>4.7056775433895769E-2</v>
          </cell>
          <cell r="AH870">
            <v>1349</v>
          </cell>
          <cell r="AI870">
            <v>1375</v>
          </cell>
          <cell r="AJ870">
            <v>0.22170909090909099</v>
          </cell>
          <cell r="AK870">
            <v>1401</v>
          </cell>
          <cell r="AL870">
            <v>1427</v>
          </cell>
          <cell r="AM870">
            <v>0.25007007708479334</v>
          </cell>
          <cell r="AN870">
            <v>1627.62</v>
          </cell>
          <cell r="AO870">
            <v>1828.24</v>
          </cell>
          <cell r="AP870">
            <v>2028.86</v>
          </cell>
          <cell r="AQ870">
            <v>0</v>
          </cell>
          <cell r="AS870">
            <v>2900</v>
          </cell>
        </row>
        <row r="871">
          <cell r="B871" t="str">
            <v>AC</v>
          </cell>
          <cell r="C871" t="str">
            <v>IMP</v>
          </cell>
          <cell r="D871" t="str">
            <v>BT</v>
          </cell>
          <cell r="E871" t="str">
            <v>P3</v>
          </cell>
          <cell r="F871">
            <v>39990</v>
          </cell>
          <cell r="G871">
            <v>40001</v>
          </cell>
          <cell r="H871" t="str">
            <v>4975612</v>
          </cell>
          <cell r="I871" t="str">
            <v>3KDBSB432A00</v>
          </cell>
          <cell r="J871" t="str">
            <v>KHR696432A00</v>
          </cell>
          <cell r="K871" t="str">
            <v>HDD-7 (Hard Disk Drive Kit) - Copier 20 Gig</v>
          </cell>
          <cell r="L871">
            <v>800</v>
          </cell>
          <cell r="M871">
            <v>500</v>
          </cell>
          <cell r="N871">
            <v>309</v>
          </cell>
          <cell r="O871">
            <v>0</v>
          </cell>
          <cell r="P871">
            <v>515</v>
          </cell>
          <cell r="Q871">
            <v>530</v>
          </cell>
          <cell r="R871">
            <v>572.4</v>
          </cell>
          <cell r="T871" t="e">
            <v>#DIV/0!</v>
          </cell>
          <cell r="W871">
            <v>262.64999999999998</v>
          </cell>
          <cell r="X871" t="e">
            <v>#DIV/0!</v>
          </cell>
          <cell r="AA871">
            <v>608</v>
          </cell>
          <cell r="AB871">
            <v>263</v>
          </cell>
          <cell r="AC871">
            <v>292</v>
          </cell>
          <cell r="AD871">
            <v>309</v>
          </cell>
          <cell r="AE871">
            <v>324.26</v>
          </cell>
          <cell r="AF871">
            <v>0.19000185036698949</v>
          </cell>
          <cell r="AG871">
            <v>4.7061000431752271E-2</v>
          </cell>
          <cell r="AH871">
            <v>332</v>
          </cell>
          <cell r="AI871">
            <v>338</v>
          </cell>
          <cell r="AJ871">
            <v>0.22292899408284031</v>
          </cell>
          <cell r="AK871">
            <v>344.5</v>
          </cell>
          <cell r="AL871">
            <v>351</v>
          </cell>
          <cell r="AM871">
            <v>0.25170940170940176</v>
          </cell>
          <cell r="AN871">
            <v>400.05</v>
          </cell>
          <cell r="AO871">
            <v>449.1</v>
          </cell>
          <cell r="AP871">
            <v>498.15</v>
          </cell>
          <cell r="AQ871">
            <v>0</v>
          </cell>
          <cell r="AS871">
            <v>800</v>
          </cell>
        </row>
        <row r="872">
          <cell r="B872" t="str">
            <v>AC</v>
          </cell>
          <cell r="C872" t="str">
            <v>IMP</v>
          </cell>
          <cell r="D872" t="str">
            <v>BT</v>
          </cell>
          <cell r="E872" t="str">
            <v>P3</v>
          </cell>
          <cell r="F872">
            <v>39990</v>
          </cell>
          <cell r="G872">
            <v>40001</v>
          </cell>
          <cell r="H872" t="str">
            <v>4976612</v>
          </cell>
          <cell r="I872" t="str">
            <v>9KDEX110G_N</v>
          </cell>
          <cell r="J872" t="str">
            <v>KHB694141A00</v>
          </cell>
          <cell r="K872" t="str">
            <v>Duplexing Document Feeder</v>
          </cell>
          <cell r="L872">
            <v>1800</v>
          </cell>
          <cell r="M872">
            <v>37617</v>
          </cell>
          <cell r="N872">
            <v>627</v>
          </cell>
          <cell r="O872">
            <v>0</v>
          </cell>
          <cell r="P872">
            <v>38745.51</v>
          </cell>
          <cell r="Q872">
            <v>39874.019999999997</v>
          </cell>
          <cell r="R872">
            <v>43063.94</v>
          </cell>
          <cell r="T872" t="e">
            <v>#DIV/0!</v>
          </cell>
          <cell r="W872">
            <v>532.94999999999993</v>
          </cell>
          <cell r="X872" t="e">
            <v>#DIV/0!</v>
          </cell>
          <cell r="Y872">
            <v>1600</v>
          </cell>
          <cell r="Z872">
            <v>1000</v>
          </cell>
          <cell r="AA872">
            <v>43820</v>
          </cell>
          <cell r="AB872">
            <v>533</v>
          </cell>
          <cell r="AC872">
            <v>593</v>
          </cell>
          <cell r="AD872">
            <v>626</v>
          </cell>
          <cell r="AE872">
            <v>657.96</v>
          </cell>
          <cell r="AF872">
            <v>0.18999635236184587</v>
          </cell>
          <cell r="AG872">
            <v>4.7054532190406763E-2</v>
          </cell>
          <cell r="AH872">
            <v>672</v>
          </cell>
          <cell r="AI872">
            <v>685</v>
          </cell>
          <cell r="AJ872">
            <v>0.22197080291970814</v>
          </cell>
          <cell r="AK872">
            <v>698</v>
          </cell>
          <cell r="AL872">
            <v>711</v>
          </cell>
          <cell r="AM872">
            <v>0.25042194092827014</v>
          </cell>
          <cell r="AN872">
            <v>810.83</v>
          </cell>
          <cell r="AO872">
            <v>910.66</v>
          </cell>
          <cell r="AP872">
            <v>1010.49</v>
          </cell>
          <cell r="AQ872">
            <v>0</v>
          </cell>
          <cell r="AS872">
            <v>1800</v>
          </cell>
        </row>
        <row r="873">
          <cell r="B873" t="str">
            <v>AC</v>
          </cell>
          <cell r="C873" t="str">
            <v>IMP</v>
          </cell>
          <cell r="D873" t="str">
            <v>BT</v>
          </cell>
          <cell r="E873" t="str">
            <v>P3</v>
          </cell>
          <cell r="F873">
            <v>39990</v>
          </cell>
          <cell r="G873">
            <v>40001</v>
          </cell>
          <cell r="H873" t="str">
            <v>4979612</v>
          </cell>
          <cell r="I873" t="str">
            <v>9KDEX125G_N</v>
          </cell>
          <cell r="J873" t="str">
            <v>KHB694143A00</v>
          </cell>
          <cell r="K873" t="str">
            <v xml:space="preserve">Cover Inserter D </v>
          </cell>
          <cell r="L873">
            <v>1045</v>
          </cell>
          <cell r="M873">
            <v>42617</v>
          </cell>
          <cell r="N873">
            <v>465</v>
          </cell>
          <cell r="O873">
            <v>0</v>
          </cell>
          <cell r="P873">
            <v>43895.51</v>
          </cell>
          <cell r="Q873">
            <v>45174.02</v>
          </cell>
          <cell r="R873">
            <v>48787.94</v>
          </cell>
          <cell r="T873" t="e">
            <v>#DIV/0!</v>
          </cell>
          <cell r="W873">
            <v>395.25</v>
          </cell>
          <cell r="X873" t="e">
            <v>#DIV/0!</v>
          </cell>
          <cell r="Y873">
            <v>1600</v>
          </cell>
          <cell r="Z873">
            <v>1000</v>
          </cell>
          <cell r="AA873">
            <v>49306</v>
          </cell>
          <cell r="AB873">
            <v>396</v>
          </cell>
          <cell r="AC873">
            <v>440</v>
          </cell>
          <cell r="AD873">
            <v>464</v>
          </cell>
          <cell r="AE873">
            <v>487.96</v>
          </cell>
          <cell r="AF873">
            <v>0.18999508156406258</v>
          </cell>
          <cell r="AG873">
            <v>4.7053037134191289E-2</v>
          </cell>
          <cell r="AH873">
            <v>498</v>
          </cell>
          <cell r="AI873">
            <v>508</v>
          </cell>
          <cell r="AJ873">
            <v>0.22194881889763779</v>
          </cell>
          <cell r="AK873">
            <v>517.5</v>
          </cell>
          <cell r="AL873">
            <v>527</v>
          </cell>
          <cell r="AM873">
            <v>0.25</v>
          </cell>
          <cell r="AN873">
            <v>601.11</v>
          </cell>
          <cell r="AO873">
            <v>675.22</v>
          </cell>
          <cell r="AP873">
            <v>749.33</v>
          </cell>
          <cell r="AQ873">
            <v>0</v>
          </cell>
          <cell r="AS873">
            <v>1045</v>
          </cell>
        </row>
        <row r="874">
          <cell r="B874" t="str">
            <v>AC</v>
          </cell>
          <cell r="C874" t="str">
            <v>IMP</v>
          </cell>
          <cell r="D874" t="str">
            <v>BT</v>
          </cell>
          <cell r="E874" t="str">
            <v>P3</v>
          </cell>
          <cell r="F874">
            <v>39990</v>
          </cell>
          <cell r="G874">
            <v>40001</v>
          </cell>
          <cell r="H874" t="str">
            <v>9403151</v>
          </cell>
          <cell r="I874" t="str">
            <v>9KDEX138G_N</v>
          </cell>
          <cell r="J874" t="str">
            <v>KHB694145A00</v>
          </cell>
          <cell r="K874" t="str">
            <v>Cabinet (PF-9P)</v>
          </cell>
          <cell r="L874">
            <v>218</v>
          </cell>
          <cell r="M874">
            <v>53617</v>
          </cell>
          <cell r="N874">
            <v>47</v>
          </cell>
          <cell r="O874">
            <v>0</v>
          </cell>
          <cell r="P874">
            <v>55225.51</v>
          </cell>
          <cell r="Q874">
            <v>56834.02</v>
          </cell>
          <cell r="R874">
            <v>61380.74</v>
          </cell>
          <cell r="T874" t="e">
            <v>#DIV/0!</v>
          </cell>
          <cell r="W874">
            <v>39.949999999999996</v>
          </cell>
          <cell r="X874" t="e">
            <v>#DIV/0!</v>
          </cell>
          <cell r="Y874">
            <v>1600</v>
          </cell>
          <cell r="Z874">
            <v>1000</v>
          </cell>
          <cell r="AA874">
            <v>61375</v>
          </cell>
          <cell r="AB874">
            <v>40</v>
          </cell>
          <cell r="AC874">
            <v>45</v>
          </cell>
          <cell r="AD874">
            <v>48</v>
          </cell>
          <cell r="AE874">
            <v>49.32</v>
          </cell>
          <cell r="AF874">
            <v>0.18998377939983788</v>
          </cell>
          <cell r="AG874">
            <v>4.7039740470397412E-2</v>
          </cell>
          <cell r="AH874">
            <v>51</v>
          </cell>
          <cell r="AI874">
            <v>52</v>
          </cell>
          <cell r="AJ874">
            <v>0.23173076923076932</v>
          </cell>
          <cell r="AK874">
            <v>53</v>
          </cell>
          <cell r="AL874">
            <v>54</v>
          </cell>
          <cell r="AM874">
            <v>0.26018518518518524</v>
          </cell>
          <cell r="AN874">
            <v>61.31</v>
          </cell>
          <cell r="AO874">
            <v>68.62</v>
          </cell>
          <cell r="AP874">
            <v>75.930000000000007</v>
          </cell>
          <cell r="AQ874">
            <v>0</v>
          </cell>
          <cell r="AS874">
            <v>218</v>
          </cell>
        </row>
        <row r="875">
          <cell r="B875" t="str">
            <v>AC</v>
          </cell>
          <cell r="C875" t="str">
            <v>IMP</v>
          </cell>
          <cell r="D875" t="str">
            <v>BT</v>
          </cell>
          <cell r="E875" t="str">
            <v>P3</v>
          </cell>
          <cell r="F875">
            <v>39990</v>
          </cell>
          <cell r="G875">
            <v>40001</v>
          </cell>
          <cell r="H875" t="str">
            <v>9982137</v>
          </cell>
          <cell r="I875" t="str">
            <v>9KDEX150G_N</v>
          </cell>
          <cell r="J875" t="str">
            <v>KHB694147A00</v>
          </cell>
          <cell r="K875" t="str">
            <v>SMART 1500 Remote Diagnostics System</v>
          </cell>
          <cell r="L875">
            <v>395</v>
          </cell>
          <cell r="M875">
            <v>63617</v>
          </cell>
          <cell r="N875">
            <v>129</v>
          </cell>
          <cell r="O875">
            <v>0</v>
          </cell>
          <cell r="P875">
            <v>65525.51</v>
          </cell>
          <cell r="Q875">
            <v>67434.02</v>
          </cell>
          <cell r="R875">
            <v>72828.740000000005</v>
          </cell>
          <cell r="T875" t="e">
            <v>#DIV/0!</v>
          </cell>
          <cell r="W875">
            <v>109.64999999999999</v>
          </cell>
          <cell r="X875" t="e">
            <v>#DIV/0!</v>
          </cell>
          <cell r="Y875">
            <v>1600</v>
          </cell>
          <cell r="Z875">
            <v>1000</v>
          </cell>
          <cell r="AA875">
            <v>72347</v>
          </cell>
          <cell r="AB875">
            <v>110</v>
          </cell>
          <cell r="AC875">
            <v>122</v>
          </cell>
          <cell r="AD875">
            <v>129</v>
          </cell>
          <cell r="AE875">
            <v>135.37</v>
          </cell>
          <cell r="AF875">
            <v>0.18999778385166591</v>
          </cell>
          <cell r="AG875">
            <v>4.7056216296077452E-2</v>
          </cell>
          <cell r="AH875">
            <v>139</v>
          </cell>
          <cell r="AI875">
            <v>142</v>
          </cell>
          <cell r="AJ875">
            <v>0.22781690140845076</v>
          </cell>
          <cell r="AK875">
            <v>144.5</v>
          </cell>
          <cell r="AL875">
            <v>147</v>
          </cell>
          <cell r="AM875">
            <v>0.25408163265306127</v>
          </cell>
          <cell r="AN875">
            <v>167.36</v>
          </cell>
          <cell r="AO875">
            <v>187.72</v>
          </cell>
          <cell r="AP875">
            <v>208.08</v>
          </cell>
          <cell r="AQ875">
            <v>0</v>
          </cell>
          <cell r="AS875">
            <v>395</v>
          </cell>
        </row>
        <row r="876">
          <cell r="B876" t="str">
            <v>AC</v>
          </cell>
          <cell r="C876" t="str">
            <v>IMP</v>
          </cell>
          <cell r="D876" t="str">
            <v>BT</v>
          </cell>
          <cell r="E876" t="str">
            <v>P3</v>
          </cell>
          <cell r="F876">
            <v>39990</v>
          </cell>
          <cell r="G876">
            <v>40001</v>
          </cell>
          <cell r="H876" t="str">
            <v>15AN</v>
          </cell>
          <cell r="I876" t="str">
            <v>3KDEXCABKITG</v>
          </cell>
          <cell r="J876" t="str">
            <v>KHB694149A00</v>
          </cell>
          <cell r="K876" t="str">
            <v>Booklet/Trimmer (SD-501)</v>
          </cell>
          <cell r="L876">
            <v>25000</v>
          </cell>
          <cell r="M876">
            <v>5406</v>
          </cell>
          <cell r="N876">
            <v>10529</v>
          </cell>
          <cell r="O876">
            <v>0</v>
          </cell>
          <cell r="P876">
            <v>5568.18</v>
          </cell>
          <cell r="Q876">
            <v>5730.36</v>
          </cell>
          <cell r="R876">
            <v>6188.79</v>
          </cell>
          <cell r="T876" t="e">
            <v>#DIV/0!</v>
          </cell>
          <cell r="W876">
            <v>8949.65</v>
          </cell>
          <cell r="X876" t="e">
            <v>#DIV/0!</v>
          </cell>
          <cell r="AA876">
            <v>6574</v>
          </cell>
          <cell r="AB876">
            <v>8950</v>
          </cell>
          <cell r="AC876">
            <v>9945</v>
          </cell>
          <cell r="AD876">
            <v>10497</v>
          </cell>
          <cell r="AE876">
            <v>11048.95</v>
          </cell>
          <cell r="AF876">
            <v>0.18999995474683123</v>
          </cell>
          <cell r="AG876">
            <v>4.705877029038965E-2</v>
          </cell>
          <cell r="AH876">
            <v>11270</v>
          </cell>
          <cell r="AI876">
            <v>11491</v>
          </cell>
          <cell r="AJ876">
            <v>0.22116003829083633</v>
          </cell>
          <cell r="AK876">
            <v>11712</v>
          </cell>
          <cell r="AL876">
            <v>11933</v>
          </cell>
          <cell r="AM876">
            <v>0.25000838012234983</v>
          </cell>
          <cell r="AN876">
            <v>13611.03</v>
          </cell>
          <cell r="AO876">
            <v>15289.06</v>
          </cell>
          <cell r="AP876">
            <v>16967.09</v>
          </cell>
          <cell r="AQ876">
            <v>0</v>
          </cell>
          <cell r="AS876">
            <v>25000</v>
          </cell>
        </row>
        <row r="877">
          <cell r="B877" t="str">
            <v>AC</v>
          </cell>
          <cell r="C877" t="str">
            <v>IMP</v>
          </cell>
          <cell r="D877" t="str">
            <v>BT</v>
          </cell>
          <cell r="E877" t="str">
            <v>P3</v>
          </cell>
          <cell r="F877">
            <v>39990</v>
          </cell>
          <cell r="G877">
            <v>40001</v>
          </cell>
          <cell r="H877" t="str">
            <v>20BF</v>
          </cell>
          <cell r="I877" t="str">
            <v>4KDU45SCSG</v>
          </cell>
          <cell r="J877" t="str">
            <v>KHB694161A00</v>
          </cell>
          <cell r="K877" t="str">
            <v>IC-302</v>
          </cell>
          <cell r="L877">
            <v>23000</v>
          </cell>
          <cell r="M877">
            <v>9200</v>
          </cell>
          <cell r="N877">
            <v>7060</v>
          </cell>
          <cell r="O877">
            <v>-0.17647058823529413</v>
          </cell>
          <cell r="P877">
            <v>21672.23</v>
          </cell>
          <cell r="Q877">
            <v>22303.46</v>
          </cell>
          <cell r="R877">
            <v>24087.74</v>
          </cell>
          <cell r="S877">
            <v>10500</v>
          </cell>
          <cell r="T877" t="e">
            <v>#DIV/0!</v>
          </cell>
          <cell r="W877">
            <v>6001</v>
          </cell>
          <cell r="X877" t="e">
            <v>#DIV/0!</v>
          </cell>
          <cell r="AA877">
            <v>23599</v>
          </cell>
          <cell r="AB877">
            <v>6001</v>
          </cell>
          <cell r="AC877">
            <v>6668</v>
          </cell>
          <cell r="AD877">
            <v>7039</v>
          </cell>
          <cell r="AE877">
            <v>7408.64</v>
          </cell>
          <cell r="AF877">
            <v>0.18999978403593645</v>
          </cell>
          <cell r="AG877">
            <v>4.7058569454042888E-2</v>
          </cell>
          <cell r="AH877">
            <v>7558</v>
          </cell>
          <cell r="AI877">
            <v>7706</v>
          </cell>
          <cell r="AJ877">
            <v>0.22125616402803011</v>
          </cell>
          <cell r="AK877">
            <v>7854</v>
          </cell>
          <cell r="AL877">
            <v>8002</v>
          </cell>
          <cell r="AM877">
            <v>0.25006248437890527</v>
          </cell>
          <cell r="AN877">
            <v>9127.02</v>
          </cell>
          <cell r="AO877">
            <v>10252.040000000001</v>
          </cell>
          <cell r="AP877">
            <v>11377.06</v>
          </cell>
          <cell r="AQ877">
            <v>0</v>
          </cell>
          <cell r="AS877">
            <v>23000</v>
          </cell>
        </row>
        <row r="878">
          <cell r="B878" t="str">
            <v>AC</v>
          </cell>
          <cell r="C878" t="str">
            <v>IMP</v>
          </cell>
          <cell r="D878" t="str">
            <v>BT</v>
          </cell>
          <cell r="E878" t="str">
            <v>P3</v>
          </cell>
          <cell r="F878">
            <v>39990</v>
          </cell>
          <cell r="G878">
            <v>40001</v>
          </cell>
          <cell r="H878" t="str">
            <v>20FU</v>
          </cell>
          <cell r="I878" t="str">
            <v>6KDEXPSMG_N</v>
          </cell>
          <cell r="J878" t="str">
            <v>KHB694152A00</v>
          </cell>
          <cell r="K878" t="str">
            <v>Creo Print Controller</v>
          </cell>
          <cell r="L878">
            <v>26500</v>
          </cell>
          <cell r="M878">
            <v>10500</v>
          </cell>
          <cell r="N878">
            <v>7342</v>
          </cell>
          <cell r="O878">
            <v>-0.17647058823529416</v>
          </cell>
          <cell r="P878">
            <v>12664.88</v>
          </cell>
          <cell r="Q878">
            <v>13033.76</v>
          </cell>
          <cell r="R878">
            <v>14076.46</v>
          </cell>
          <cell r="S878">
            <v>17225</v>
          </cell>
          <cell r="T878" t="e">
            <v>#DIV/0!</v>
          </cell>
          <cell r="W878">
            <v>6240.7</v>
          </cell>
          <cell r="X878" t="e">
            <v>#DIV/0!</v>
          </cell>
          <cell r="AA878">
            <v>13791</v>
          </cell>
          <cell r="AB878">
            <v>6241</v>
          </cell>
          <cell r="AC878">
            <v>6935</v>
          </cell>
          <cell r="AD878">
            <v>7320</v>
          </cell>
          <cell r="AE878">
            <v>7704.57</v>
          </cell>
          <cell r="AF878">
            <v>0.19000022064826461</v>
          </cell>
          <cell r="AG878">
            <v>4.7059083115605374E-2</v>
          </cell>
          <cell r="AH878">
            <v>7859</v>
          </cell>
          <cell r="AI878">
            <v>8013</v>
          </cell>
          <cell r="AJ878">
            <v>0.22117808561088234</v>
          </cell>
          <cell r="AK878">
            <v>8167</v>
          </cell>
          <cell r="AL878">
            <v>8321</v>
          </cell>
          <cell r="AM878">
            <v>0.25000600889316188</v>
          </cell>
          <cell r="AN878">
            <v>9491.11</v>
          </cell>
          <cell r="AO878">
            <v>10661.22</v>
          </cell>
          <cell r="AP878">
            <v>11831.33</v>
          </cell>
          <cell r="AQ878">
            <v>0</v>
          </cell>
          <cell r="AS878">
            <v>26500</v>
          </cell>
        </row>
        <row r="879">
          <cell r="B879" t="str">
            <v>AC</v>
          </cell>
          <cell r="C879" t="str">
            <v>IMP</v>
          </cell>
          <cell r="D879" t="str">
            <v>BT</v>
          </cell>
          <cell r="E879" t="str">
            <v>P3</v>
          </cell>
          <cell r="F879">
            <v>39990</v>
          </cell>
          <cell r="G879">
            <v>40001</v>
          </cell>
          <cell r="H879" t="str">
            <v>20GA</v>
          </cell>
          <cell r="I879" t="str">
            <v>6KDEXINSERTG_N</v>
          </cell>
          <cell r="J879" t="str">
            <v>KHB694156A00</v>
          </cell>
          <cell r="K879" t="str">
            <v>Stapler Finisher (FS-513)</v>
          </cell>
          <cell r="L879">
            <v>2850</v>
          </cell>
          <cell r="M879">
            <v>965</v>
          </cell>
          <cell r="N879">
            <v>1003.6</v>
          </cell>
          <cell r="O879">
            <v>-0.17647058823529421</v>
          </cell>
          <cell r="P879">
            <v>20744.2</v>
          </cell>
          <cell r="Q879">
            <v>21348.400000000001</v>
          </cell>
          <cell r="R879">
            <v>23056.27</v>
          </cell>
          <cell r="S879">
            <v>1593</v>
          </cell>
          <cell r="T879" t="e">
            <v>#DIV/0!</v>
          </cell>
          <cell r="W879">
            <v>853.06</v>
          </cell>
          <cell r="X879" t="e">
            <v>#DIV/0!</v>
          </cell>
          <cell r="Z879">
            <v>200</v>
          </cell>
          <cell r="AA879">
            <v>22784</v>
          </cell>
          <cell r="AB879">
            <v>854</v>
          </cell>
          <cell r="AC879">
            <v>948</v>
          </cell>
          <cell r="AD879">
            <v>1001</v>
          </cell>
          <cell r="AE879">
            <v>1053.1600000000001</v>
          </cell>
          <cell r="AF879">
            <v>0.18999962019066441</v>
          </cell>
          <cell r="AG879">
            <v>4.7058376694899214E-2</v>
          </cell>
          <cell r="AH879">
            <v>1075</v>
          </cell>
          <cell r="AI879">
            <v>1096</v>
          </cell>
          <cell r="AJ879">
            <v>0.2216605839416059</v>
          </cell>
          <cell r="AK879">
            <v>1117</v>
          </cell>
          <cell r="AL879">
            <v>1138</v>
          </cell>
          <cell r="AM879">
            <v>0.25038664323374343</v>
          </cell>
          <cell r="AN879">
            <v>1297.8</v>
          </cell>
          <cell r="AO879">
            <v>1457.6</v>
          </cell>
          <cell r="AP879">
            <v>1617.4</v>
          </cell>
          <cell r="AQ879">
            <v>0</v>
          </cell>
          <cell r="AS879">
            <v>2850</v>
          </cell>
        </row>
        <row r="880">
          <cell r="B880" t="str">
            <v>AC</v>
          </cell>
          <cell r="C880" t="str">
            <v>IMP</v>
          </cell>
          <cell r="D880" t="str">
            <v>BT</v>
          </cell>
          <cell r="E880" t="str">
            <v>P3</v>
          </cell>
          <cell r="F880">
            <v>39990</v>
          </cell>
          <cell r="G880">
            <v>40001</v>
          </cell>
          <cell r="H880" t="str">
            <v>20GB</v>
          </cell>
          <cell r="I880" t="str">
            <v>6KDEXFING_N</v>
          </cell>
          <cell r="J880" t="str">
            <v>KHB694151A00</v>
          </cell>
          <cell r="K880" t="str">
            <v>Saddle Stitch Finisher (FS-606)</v>
          </cell>
          <cell r="L880">
            <v>4500</v>
          </cell>
          <cell r="M880">
            <v>1495</v>
          </cell>
          <cell r="N880">
            <v>1554.8</v>
          </cell>
          <cell r="O880">
            <v>-0.17647058823529416</v>
          </cell>
          <cell r="P880">
            <v>16265.76</v>
          </cell>
          <cell r="Q880">
            <v>16739.52</v>
          </cell>
          <cell r="R880">
            <v>18078.68</v>
          </cell>
          <cell r="S880">
            <v>2622</v>
          </cell>
          <cell r="T880" t="e">
            <v>#DIV/0!</v>
          </cell>
          <cell r="W880">
            <v>1321.58</v>
          </cell>
          <cell r="X880" t="e">
            <v>#DIV/0!</v>
          </cell>
          <cell r="AA880">
            <v>19205</v>
          </cell>
          <cell r="AB880">
            <v>1322</v>
          </cell>
          <cell r="AC880">
            <v>1469</v>
          </cell>
          <cell r="AD880">
            <v>1551</v>
          </cell>
          <cell r="AE880">
            <v>1631.58</v>
          </cell>
          <cell r="AF880">
            <v>0.18999987741943394</v>
          </cell>
          <cell r="AG880">
            <v>4.7058679316981072E-2</v>
          </cell>
          <cell r="AH880">
            <v>1665</v>
          </cell>
          <cell r="AI880">
            <v>1698</v>
          </cell>
          <cell r="AJ880">
            <v>0.22168433451118968</v>
          </cell>
          <cell r="AK880">
            <v>1730.5</v>
          </cell>
          <cell r="AL880">
            <v>1763</v>
          </cell>
          <cell r="AM880">
            <v>0.25038003403289849</v>
          </cell>
          <cell r="AN880">
            <v>2010.57</v>
          </cell>
          <cell r="AO880">
            <v>2258.14</v>
          </cell>
          <cell r="AP880">
            <v>2505.71</v>
          </cell>
          <cell r="AQ880">
            <v>0</v>
          </cell>
          <cell r="AS880">
            <v>4500</v>
          </cell>
        </row>
        <row r="881">
          <cell r="B881" t="str">
            <v>AC</v>
          </cell>
          <cell r="C881" t="str">
            <v>IMP</v>
          </cell>
          <cell r="D881" t="str">
            <v>BT</v>
          </cell>
          <cell r="E881" t="str">
            <v>P3</v>
          </cell>
          <cell r="F881">
            <v>39990</v>
          </cell>
          <cell r="G881">
            <v>40001</v>
          </cell>
          <cell r="H881" t="str">
            <v>20GJ</v>
          </cell>
          <cell r="I881" t="str">
            <v>6HBDMNLINEHPG_N</v>
          </cell>
          <cell r="J881" t="str">
            <v>KHB694123A00</v>
          </cell>
          <cell r="K881" t="str">
            <v>3- Hole Punch Kit (PK-507)</v>
          </cell>
          <cell r="L881">
            <v>775</v>
          </cell>
          <cell r="M881">
            <v>215</v>
          </cell>
          <cell r="N881">
            <v>223.6</v>
          </cell>
          <cell r="O881">
            <v>-0.17647058823529407</v>
          </cell>
          <cell r="P881">
            <v>26986</v>
          </cell>
          <cell r="Q881">
            <v>27772</v>
          </cell>
          <cell r="R881">
            <v>29993.759999999998</v>
          </cell>
          <cell r="S881">
            <v>441</v>
          </cell>
          <cell r="T881" t="e">
            <v>#DIV/0!</v>
          </cell>
          <cell r="W881">
            <v>190.06</v>
          </cell>
          <cell r="X881" t="e">
            <v>#DIV/0!</v>
          </cell>
          <cell r="Z881">
            <v>300</v>
          </cell>
          <cell r="AA881">
            <v>28132</v>
          </cell>
          <cell r="AB881">
            <v>191</v>
          </cell>
          <cell r="AC881">
            <v>212</v>
          </cell>
          <cell r="AD881">
            <v>224</v>
          </cell>
          <cell r="AE881">
            <v>234.64</v>
          </cell>
          <cell r="AF881">
            <v>0.18999318104330032</v>
          </cell>
          <cell r="AG881">
            <v>4.7050801227412176E-2</v>
          </cell>
          <cell r="AH881">
            <v>240</v>
          </cell>
          <cell r="AI881">
            <v>245</v>
          </cell>
          <cell r="AJ881">
            <v>0.22424489795918368</v>
          </cell>
          <cell r="AK881">
            <v>249.5</v>
          </cell>
          <cell r="AL881">
            <v>254</v>
          </cell>
          <cell r="AM881">
            <v>0.25173228346456694</v>
          </cell>
          <cell r="AN881">
            <v>289.49</v>
          </cell>
          <cell r="AO881">
            <v>324.98</v>
          </cell>
          <cell r="AP881">
            <v>360.47</v>
          </cell>
          <cell r="AQ881">
            <v>0</v>
          </cell>
          <cell r="AS881">
            <v>775</v>
          </cell>
        </row>
        <row r="882">
          <cell r="B882" t="str">
            <v>AC</v>
          </cell>
          <cell r="C882" t="str">
            <v>IMP</v>
          </cell>
          <cell r="D882" t="str">
            <v>BT</v>
          </cell>
          <cell r="E882" t="str">
            <v>P3</v>
          </cell>
          <cell r="F882">
            <v>39990</v>
          </cell>
          <cell r="G882">
            <v>40001</v>
          </cell>
          <cell r="H882" t="str">
            <v>20GN</v>
          </cell>
          <cell r="I882" t="str">
            <v>3KDHEXROLLFDKITG</v>
          </cell>
          <cell r="J882" t="str">
            <v>KHB670597A00</v>
          </cell>
          <cell r="K882" t="str">
            <v>2 Hole Punch Kit (PK-508)</v>
          </cell>
          <cell r="L882">
            <v>775</v>
          </cell>
          <cell r="M882">
            <v>215</v>
          </cell>
          <cell r="N882">
            <v>223.6</v>
          </cell>
          <cell r="O882">
            <v>-0.17647058823529407</v>
          </cell>
          <cell r="P882">
            <v>5459</v>
          </cell>
          <cell r="Q882">
            <v>5618</v>
          </cell>
          <cell r="R882">
            <v>6067.44</v>
          </cell>
          <cell r="S882">
            <v>441</v>
          </cell>
          <cell r="T882" t="e">
            <v>#DIV/0!</v>
          </cell>
          <cell r="W882">
            <v>190.06</v>
          </cell>
          <cell r="X882" t="e">
            <v>#DIV/0!</v>
          </cell>
          <cell r="AA882">
            <v>6446</v>
          </cell>
          <cell r="AB882">
            <v>191</v>
          </cell>
          <cell r="AC882">
            <v>212</v>
          </cell>
          <cell r="AD882">
            <v>224</v>
          </cell>
          <cell r="AE882">
            <v>234.64</v>
          </cell>
          <cell r="AF882">
            <v>0.18999318104330032</v>
          </cell>
          <cell r="AG882">
            <v>4.7050801227412176E-2</v>
          </cell>
          <cell r="AH882">
            <v>240</v>
          </cell>
          <cell r="AI882">
            <v>245</v>
          </cell>
          <cell r="AJ882">
            <v>0.22424489795918368</v>
          </cell>
          <cell r="AK882">
            <v>249.5</v>
          </cell>
          <cell r="AL882">
            <v>254</v>
          </cell>
          <cell r="AM882">
            <v>0.25173228346456694</v>
          </cell>
          <cell r="AN882">
            <v>289.49</v>
          </cell>
          <cell r="AO882">
            <v>324.98</v>
          </cell>
          <cell r="AP882">
            <v>360.47</v>
          </cell>
          <cell r="AQ882">
            <v>0</v>
          </cell>
          <cell r="AS882">
            <v>775</v>
          </cell>
        </row>
        <row r="883">
          <cell r="B883" t="str">
            <v>AC</v>
          </cell>
          <cell r="C883" t="str">
            <v>IMP</v>
          </cell>
          <cell r="D883" t="str">
            <v>BT</v>
          </cell>
          <cell r="E883" t="str">
            <v>P3</v>
          </cell>
          <cell r="F883">
            <v>39990</v>
          </cell>
          <cell r="G883">
            <v>40001</v>
          </cell>
          <cell r="H883" t="str">
            <v>4599X001</v>
          </cell>
          <cell r="I883" t="str">
            <v>3HBHDM9110ALG</v>
          </cell>
          <cell r="J883" t="str">
            <v>KHB694160A00</v>
          </cell>
          <cell r="K883" t="str">
            <v>ML-501 Multi Line Kit</v>
          </cell>
          <cell r="L883">
            <v>1260</v>
          </cell>
          <cell r="M883">
            <v>224.72</v>
          </cell>
          <cell r="N883">
            <v>535.6</v>
          </cell>
          <cell r="O883">
            <v>0</v>
          </cell>
          <cell r="P883">
            <v>231.46</v>
          </cell>
          <cell r="Q883">
            <v>238.2</v>
          </cell>
          <cell r="R883">
            <v>257.26</v>
          </cell>
          <cell r="T883" t="e">
            <v>#DIV/0!</v>
          </cell>
          <cell r="W883">
            <v>455.26</v>
          </cell>
          <cell r="X883" t="e">
            <v>#DIV/0!</v>
          </cell>
          <cell r="AA883">
            <v>252</v>
          </cell>
          <cell r="AB883">
            <v>456</v>
          </cell>
          <cell r="AC883">
            <v>506</v>
          </cell>
          <cell r="AD883">
            <v>535</v>
          </cell>
          <cell r="AE883">
            <v>562.04999999999995</v>
          </cell>
          <cell r="AF883">
            <v>0.19000088960056929</v>
          </cell>
          <cell r="AG883">
            <v>4.7059870118316756E-2</v>
          </cell>
          <cell r="AH883">
            <v>575</v>
          </cell>
          <cell r="AI883">
            <v>586</v>
          </cell>
          <cell r="AJ883">
            <v>0.22310580204778158</v>
          </cell>
          <cell r="AK883">
            <v>597</v>
          </cell>
          <cell r="AL883">
            <v>608</v>
          </cell>
          <cell r="AM883">
            <v>0.25121710526315794</v>
          </cell>
          <cell r="AN883">
            <v>693.11</v>
          </cell>
          <cell r="AO883">
            <v>778.22</v>
          </cell>
          <cell r="AP883">
            <v>863.33</v>
          </cell>
          <cell r="AQ883">
            <v>0</v>
          </cell>
          <cell r="AS883">
            <v>1260</v>
          </cell>
        </row>
        <row r="884">
          <cell r="B884" t="str">
            <v>AC</v>
          </cell>
          <cell r="C884" t="str">
            <v>IMP</v>
          </cell>
          <cell r="D884" t="str">
            <v>BT</v>
          </cell>
          <cell r="E884" t="str">
            <v>P3</v>
          </cell>
          <cell r="F884">
            <v>39994</v>
          </cell>
          <cell r="G884">
            <v>40190</v>
          </cell>
          <cell r="H884" t="str">
            <v>A0TUWY0</v>
          </cell>
          <cell r="I884" t="str">
            <v>3KMKMK723</v>
          </cell>
          <cell r="J884" t="str">
            <v>KHB670630A00</v>
          </cell>
          <cell r="K884" t="str">
            <v>MK-723</v>
          </cell>
          <cell r="L884">
            <v>86</v>
          </cell>
          <cell r="M884">
            <v>8</v>
          </cell>
          <cell r="N884">
            <v>8.32</v>
          </cell>
          <cell r="O884">
            <v>-0.17647058823529416</v>
          </cell>
          <cell r="P884">
            <v>7.0720000000000001</v>
          </cell>
          <cell r="Q884">
            <v>8.48</v>
          </cell>
          <cell r="R884">
            <v>9.58</v>
          </cell>
          <cell r="S884">
            <v>59.9</v>
          </cell>
          <cell r="T884">
            <v>0.86110183639398996</v>
          </cell>
          <cell r="U884">
            <v>46.386559999999996</v>
          </cell>
          <cell r="V884">
            <v>0.82063770195504904</v>
          </cell>
          <cell r="W884">
            <v>7.0720000000000001</v>
          </cell>
          <cell r="X884">
            <v>0.11806343906510852</v>
          </cell>
          <cell r="AA884">
            <v>9</v>
          </cell>
          <cell r="AB884">
            <v>8</v>
          </cell>
          <cell r="AC884">
            <v>8</v>
          </cell>
          <cell r="AD884">
            <v>9</v>
          </cell>
          <cell r="AE884">
            <v>8.73</v>
          </cell>
          <cell r="AF884">
            <v>0.18991981672394045</v>
          </cell>
          <cell r="AG884">
            <v>4.6964490263459349E-2</v>
          </cell>
          <cell r="AH884">
            <v>10</v>
          </cell>
          <cell r="AI884">
            <v>10</v>
          </cell>
          <cell r="AJ884">
            <v>0.2928</v>
          </cell>
          <cell r="AK884">
            <v>10</v>
          </cell>
          <cell r="AL884">
            <v>10</v>
          </cell>
          <cell r="AM884">
            <v>0.2928</v>
          </cell>
          <cell r="AN884">
            <v>11.18</v>
          </cell>
          <cell r="AO884">
            <v>12.36</v>
          </cell>
          <cell r="AP884">
            <v>13.54</v>
          </cell>
          <cell r="AQ884">
            <v>0</v>
          </cell>
          <cell r="AS884">
            <v>86</v>
          </cell>
        </row>
        <row r="885">
          <cell r="B885" t="str">
            <v>AC</v>
          </cell>
          <cell r="C885" t="str">
            <v>IMP</v>
          </cell>
          <cell r="D885" t="str">
            <v>BT</v>
          </cell>
          <cell r="E885" t="str">
            <v>P3</v>
          </cell>
          <cell r="F885">
            <v>39994</v>
          </cell>
          <cell r="G885">
            <v>40190</v>
          </cell>
          <cell r="H885" t="str">
            <v>A0TVWY0</v>
          </cell>
          <cell r="I885" t="str">
            <v>3KMKMK718</v>
          </cell>
          <cell r="J885" t="str">
            <v>KHB694050A00</v>
          </cell>
          <cell r="K885" t="str">
            <v>MK-718</v>
          </cell>
          <cell r="L885">
            <v>86</v>
          </cell>
          <cell r="M885">
            <v>8.5</v>
          </cell>
          <cell r="N885">
            <v>8.84</v>
          </cell>
          <cell r="O885">
            <v>-0.17647058823529421</v>
          </cell>
          <cell r="P885">
            <v>7.5139999999999993</v>
          </cell>
          <cell r="Q885">
            <v>9.01</v>
          </cell>
          <cell r="R885">
            <v>10.18</v>
          </cell>
          <cell r="S885">
            <v>59.9</v>
          </cell>
          <cell r="T885">
            <v>0.85242070116861446</v>
          </cell>
          <cell r="U885">
            <v>46.386559999999996</v>
          </cell>
          <cell r="V885">
            <v>0.80942755832723967</v>
          </cell>
          <cell r="W885">
            <v>7.5139999999999993</v>
          </cell>
          <cell r="X885">
            <v>0.12544240400667778</v>
          </cell>
          <cell r="Z885">
            <v>300</v>
          </cell>
          <cell r="AA885">
            <v>9</v>
          </cell>
          <cell r="AB885">
            <v>8</v>
          </cell>
          <cell r="AC885">
            <v>9</v>
          </cell>
          <cell r="AD885">
            <v>10</v>
          </cell>
          <cell r="AE885">
            <v>9.2799999999999994</v>
          </cell>
          <cell r="AF885">
            <v>0.19030172413793106</v>
          </cell>
          <cell r="AG885">
            <v>4.7413793103448225E-2</v>
          </cell>
          <cell r="AH885">
            <v>11</v>
          </cell>
          <cell r="AI885">
            <v>11</v>
          </cell>
          <cell r="AJ885">
            <v>0.31690909090909097</v>
          </cell>
          <cell r="AK885">
            <v>11</v>
          </cell>
          <cell r="AL885">
            <v>11</v>
          </cell>
          <cell r="AM885">
            <v>0.31690909090909097</v>
          </cell>
          <cell r="AN885">
            <v>12.16</v>
          </cell>
          <cell r="AO885">
            <v>13.32</v>
          </cell>
          <cell r="AP885">
            <v>14.48</v>
          </cell>
          <cell r="AQ885">
            <v>0</v>
          </cell>
          <cell r="AS885">
            <v>86</v>
          </cell>
        </row>
        <row r="886">
          <cell r="B886" t="str">
            <v>AC</v>
          </cell>
          <cell r="C886" t="str">
            <v>IMP</v>
          </cell>
          <cell r="D886" t="str">
            <v>BT</v>
          </cell>
          <cell r="E886" t="str">
            <v>P3</v>
          </cell>
          <cell r="F886">
            <v>39996</v>
          </cell>
          <cell r="G886">
            <v>40001</v>
          </cell>
          <cell r="H886" t="str">
            <v>1362611</v>
          </cell>
          <cell r="I886" t="str">
            <v>3HBHDM9110STG</v>
          </cell>
          <cell r="J886" t="str">
            <v>KHB694051A00</v>
          </cell>
          <cell r="K886" t="str">
            <v>AF-11 Auto DF</v>
          </cell>
          <cell r="L886">
            <v>350</v>
          </cell>
          <cell r="M886">
            <v>127</v>
          </cell>
          <cell r="N886">
            <v>132.08000000000001</v>
          </cell>
          <cell r="O886">
            <v>-0.17647058823529421</v>
          </cell>
          <cell r="P886">
            <v>440.89</v>
          </cell>
          <cell r="Q886">
            <v>453.73</v>
          </cell>
          <cell r="R886">
            <v>490.03</v>
          </cell>
          <cell r="T886" t="e">
            <v>#DIV/0!</v>
          </cell>
          <cell r="W886">
            <v>112.268</v>
          </cell>
          <cell r="X886" t="e">
            <v>#DIV/0!</v>
          </cell>
          <cell r="AA886">
            <v>521</v>
          </cell>
          <cell r="AB886">
            <v>113</v>
          </cell>
          <cell r="AC886">
            <v>125</v>
          </cell>
          <cell r="AD886">
            <v>132</v>
          </cell>
          <cell r="AE886">
            <v>138.6</v>
          </cell>
          <cell r="AF886">
            <v>0.18998556998556995</v>
          </cell>
          <cell r="AG886">
            <v>4.7041847041846913E-2</v>
          </cell>
          <cell r="AH886">
            <v>142</v>
          </cell>
          <cell r="AI886">
            <v>145</v>
          </cell>
          <cell r="AJ886">
            <v>0.22573793103448275</v>
          </cell>
          <cell r="AK886">
            <v>147.5</v>
          </cell>
          <cell r="AL886">
            <v>150</v>
          </cell>
          <cell r="AM886">
            <v>0.25154666666666664</v>
          </cell>
          <cell r="AN886">
            <v>170.97</v>
          </cell>
          <cell r="AO886">
            <v>191.94</v>
          </cell>
          <cell r="AP886">
            <v>212.91</v>
          </cell>
          <cell r="AQ886">
            <v>0</v>
          </cell>
          <cell r="AS886">
            <v>350</v>
          </cell>
        </row>
        <row r="887">
          <cell r="B887" t="str">
            <v>AC</v>
          </cell>
          <cell r="C887" t="str">
            <v>IMP</v>
          </cell>
          <cell r="D887" t="str">
            <v>BT</v>
          </cell>
          <cell r="E887" t="str">
            <v>P3</v>
          </cell>
          <cell r="F887">
            <v>39996</v>
          </cell>
          <cell r="G887">
            <v>40001</v>
          </cell>
          <cell r="H887" t="str">
            <v>15BS</v>
          </cell>
          <cell r="I887" t="str">
            <v>6HBBKMR5G_N</v>
          </cell>
          <cell r="J887" t="str">
            <v>KHB694053A00</v>
          </cell>
          <cell r="K887" t="str">
            <v>PS-502</v>
          </cell>
          <cell r="L887">
            <v>2500</v>
          </cell>
          <cell r="M887">
            <v>1150</v>
          </cell>
          <cell r="N887">
            <v>1196</v>
          </cell>
          <cell r="O887">
            <v>-0.1764705882352941</v>
          </cell>
          <cell r="P887">
            <v>32393.5</v>
          </cell>
          <cell r="Q887">
            <v>33337</v>
          </cell>
          <cell r="R887">
            <v>36003.96</v>
          </cell>
          <cell r="T887" t="e">
            <v>#DIV/0!</v>
          </cell>
          <cell r="W887">
            <v>1016.6</v>
          </cell>
          <cell r="X887" t="e">
            <v>#DIV/0!</v>
          </cell>
          <cell r="Z887">
            <v>300</v>
          </cell>
          <cell r="AA887">
            <v>35567</v>
          </cell>
          <cell r="AB887">
            <v>1017</v>
          </cell>
          <cell r="AC887">
            <v>1130</v>
          </cell>
          <cell r="AD887">
            <v>1193</v>
          </cell>
          <cell r="AE887">
            <v>1255.06</v>
          </cell>
          <cell r="AF887">
            <v>0.18999888451548128</v>
          </cell>
          <cell r="AG887">
            <v>4.7057511194683876E-2</v>
          </cell>
          <cell r="AH887">
            <v>1281</v>
          </cell>
          <cell r="AI887">
            <v>1306</v>
          </cell>
          <cell r="AJ887">
            <v>0.22159264931087289</v>
          </cell>
          <cell r="AK887">
            <v>1331</v>
          </cell>
          <cell r="AL887">
            <v>1356</v>
          </cell>
          <cell r="AM887">
            <v>0.25029498525073746</v>
          </cell>
          <cell r="AN887">
            <v>1546.48</v>
          </cell>
          <cell r="AO887">
            <v>1736.96</v>
          </cell>
          <cell r="AP887">
            <v>1927.44</v>
          </cell>
          <cell r="AQ887">
            <v>0</v>
          </cell>
          <cell r="AS887">
            <v>2500</v>
          </cell>
        </row>
        <row r="888">
          <cell r="B888" t="str">
            <v>AC</v>
          </cell>
          <cell r="C888" t="str">
            <v>IMP</v>
          </cell>
          <cell r="D888" t="str">
            <v>BT</v>
          </cell>
          <cell r="E888" t="str">
            <v>08</v>
          </cell>
          <cell r="F888">
            <v>40038</v>
          </cell>
          <cell r="G888">
            <v>40038</v>
          </cell>
          <cell r="H888" t="str">
            <v>A08RWY1</v>
          </cell>
          <cell r="I888" t="str">
            <v>3KMKA08RWY1</v>
          </cell>
          <cell r="J888" t="str">
            <v>KHB694056A00</v>
          </cell>
          <cell r="K888" t="str">
            <v>PP-701 Pre-Printed Paper Feed Enhance Kit (For PF-701 and PF-702)</v>
          </cell>
          <cell r="L888">
            <v>1260</v>
          </cell>
          <cell r="M888">
            <v>459</v>
          </cell>
          <cell r="N888">
            <v>477.36</v>
          </cell>
          <cell r="O888">
            <v>0.26333333333333331</v>
          </cell>
          <cell r="P888">
            <v>648</v>
          </cell>
          <cell r="Q888">
            <v>486.54</v>
          </cell>
          <cell r="R888">
            <v>549.79</v>
          </cell>
          <cell r="S888">
            <v>810</v>
          </cell>
          <cell r="T888">
            <v>0.41066666666666662</v>
          </cell>
          <cell r="U888">
            <v>627.26400000000001</v>
          </cell>
          <cell r="V888">
            <v>0.23898071625344353</v>
          </cell>
          <cell r="W888">
            <v>648</v>
          </cell>
          <cell r="X888">
            <v>0.8</v>
          </cell>
          <cell r="AA888">
            <v>784</v>
          </cell>
          <cell r="AB888">
            <v>648</v>
          </cell>
          <cell r="AC888">
            <v>720</v>
          </cell>
          <cell r="AD888">
            <v>760</v>
          </cell>
          <cell r="AE888">
            <v>800</v>
          </cell>
          <cell r="AF888">
            <v>0.19</v>
          </cell>
          <cell r="AG888">
            <v>0.40329999999999999</v>
          </cell>
          <cell r="AH888">
            <v>890</v>
          </cell>
          <cell r="AI888">
            <v>979</v>
          </cell>
          <cell r="AJ888">
            <v>0.33810010214504599</v>
          </cell>
          <cell r="AK888">
            <v>1068.5</v>
          </cell>
          <cell r="AL888">
            <v>1158</v>
          </cell>
          <cell r="AM888">
            <v>0.44041450777202074</v>
          </cell>
          <cell r="AN888">
            <v>1183.5</v>
          </cell>
          <cell r="AO888">
            <v>1209</v>
          </cell>
          <cell r="AP888">
            <v>1234.5</v>
          </cell>
          <cell r="AQ888">
            <v>0</v>
          </cell>
          <cell r="AS888">
            <v>1260</v>
          </cell>
        </row>
        <row r="889">
          <cell r="B889" t="str">
            <v>AC</v>
          </cell>
          <cell r="C889" t="str">
            <v>IMP</v>
          </cell>
          <cell r="D889" t="str">
            <v>BT</v>
          </cell>
          <cell r="E889" t="str">
            <v>08</v>
          </cell>
          <cell r="F889">
            <v>40038</v>
          </cell>
          <cell r="G889">
            <v>40038</v>
          </cell>
          <cell r="H889" t="str">
            <v>A0GCWY1</v>
          </cell>
          <cell r="I889" t="str">
            <v>6KMA0GCWY1_N</v>
          </cell>
          <cell r="J889" t="str">
            <v>KHB694057A00</v>
          </cell>
          <cell r="K889" t="str">
            <v>PF-702 Paper Feed Unit (6,000 sheets)</v>
          </cell>
          <cell r="L889">
            <v>6090</v>
          </cell>
          <cell r="M889">
            <v>1920</v>
          </cell>
          <cell r="N889">
            <v>1996.8000000000002</v>
          </cell>
          <cell r="O889">
            <v>0.27281202657032977</v>
          </cell>
          <cell r="P889">
            <v>2745.92</v>
          </cell>
          <cell r="Q889">
            <v>2035.2</v>
          </cell>
          <cell r="R889">
            <v>2299.7800000000002</v>
          </cell>
          <cell r="S889">
            <v>3432.4</v>
          </cell>
          <cell r="T889">
            <v>0.4182496212562638</v>
          </cell>
          <cell r="U889">
            <v>2658.0505600000001</v>
          </cell>
          <cell r="V889">
            <v>0.24877275472141505</v>
          </cell>
          <cell r="W889">
            <v>2745.92</v>
          </cell>
          <cell r="X889">
            <v>0.8</v>
          </cell>
          <cell r="AA889">
            <v>3322</v>
          </cell>
          <cell r="AB889">
            <v>2746</v>
          </cell>
          <cell r="AC889">
            <v>3052</v>
          </cell>
          <cell r="AD889">
            <v>3222</v>
          </cell>
          <cell r="AE889">
            <v>3390.02</v>
          </cell>
          <cell r="AF889">
            <v>0.18999887906266036</v>
          </cell>
          <cell r="AG889">
            <v>0.41097692638981476</v>
          </cell>
          <cell r="AH889">
            <v>3770</v>
          </cell>
          <cell r="AI889">
            <v>4148</v>
          </cell>
          <cell r="AJ889">
            <v>0.33801350048216006</v>
          </cell>
          <cell r="AK889">
            <v>4526</v>
          </cell>
          <cell r="AL889">
            <v>4904</v>
          </cell>
          <cell r="AM889">
            <v>0.44006525285481241</v>
          </cell>
          <cell r="AN889">
            <v>5200.5</v>
          </cell>
          <cell r="AO889">
            <v>5497</v>
          </cell>
          <cell r="AP889">
            <v>5793.5</v>
          </cell>
          <cell r="AQ889">
            <v>0</v>
          </cell>
          <cell r="AS889">
            <v>6090</v>
          </cell>
        </row>
        <row r="890">
          <cell r="B890" t="str">
            <v>AC</v>
          </cell>
          <cell r="C890" t="str">
            <v>IMP</v>
          </cell>
          <cell r="D890" t="str">
            <v>BT</v>
          </cell>
          <cell r="E890" t="str">
            <v>08</v>
          </cell>
          <cell r="F890">
            <v>40038</v>
          </cell>
          <cell r="G890">
            <v>40038</v>
          </cell>
          <cell r="H890" t="str">
            <v>A0GDWY1</v>
          </cell>
          <cell r="I890" t="str">
            <v>6KMA0GDWY1_N</v>
          </cell>
          <cell r="J890" t="str">
            <v>KHB694058A00</v>
          </cell>
          <cell r="K890" t="str">
            <v>PF-703 Vacuum Paper Feed Unit / PI-PFU (5,000 sheets)</v>
          </cell>
          <cell r="L890">
            <v>9980</v>
          </cell>
          <cell r="M890">
            <v>3300</v>
          </cell>
          <cell r="N890">
            <v>3432</v>
          </cell>
          <cell r="O890">
            <v>0.23255813953488372</v>
          </cell>
          <cell r="P890">
            <v>4472</v>
          </cell>
          <cell r="Q890">
            <v>3498</v>
          </cell>
          <cell r="R890">
            <v>3952.74</v>
          </cell>
          <cell r="S890">
            <v>5590</v>
          </cell>
          <cell r="T890">
            <v>0.38604651162790699</v>
          </cell>
          <cell r="U890">
            <v>4328.8959999999997</v>
          </cell>
          <cell r="V890">
            <v>0.20718816067653273</v>
          </cell>
          <cell r="W890">
            <v>4472</v>
          </cell>
          <cell r="X890">
            <v>0.8</v>
          </cell>
          <cell r="Z890">
            <v>300</v>
          </cell>
          <cell r="AA890">
            <v>5411</v>
          </cell>
          <cell r="AB890">
            <v>4472</v>
          </cell>
          <cell r="AC890">
            <v>4969</v>
          </cell>
          <cell r="AD890">
            <v>5245</v>
          </cell>
          <cell r="AE890">
            <v>5520.99</v>
          </cell>
          <cell r="AF890">
            <v>0.19000034414117756</v>
          </cell>
          <cell r="AG890">
            <v>0.37837235713160139</v>
          </cell>
          <cell r="AH890">
            <v>6138</v>
          </cell>
          <cell r="AI890">
            <v>6754</v>
          </cell>
          <cell r="AJ890">
            <v>0.337873852531833</v>
          </cell>
          <cell r="AK890">
            <v>7370</v>
          </cell>
          <cell r="AL890">
            <v>7986</v>
          </cell>
          <cell r="AM890">
            <v>0.4400200350613574</v>
          </cell>
          <cell r="AN890">
            <v>8484.5</v>
          </cell>
          <cell r="AO890">
            <v>8983</v>
          </cell>
          <cell r="AP890">
            <v>9481.5</v>
          </cell>
          <cell r="AQ890">
            <v>0</v>
          </cell>
          <cell r="AS890">
            <v>9980</v>
          </cell>
        </row>
        <row r="891">
          <cell r="B891" t="str">
            <v>AC</v>
          </cell>
          <cell r="C891" t="str">
            <v>IMP</v>
          </cell>
          <cell r="D891" t="str">
            <v>BT</v>
          </cell>
          <cell r="E891" t="str">
            <v>08</v>
          </cell>
          <cell r="F891">
            <v>40038</v>
          </cell>
          <cell r="G891">
            <v>40038</v>
          </cell>
          <cell r="H891" t="str">
            <v>A0GEWY1</v>
          </cell>
          <cell r="I891" t="str">
            <v>3KMHA0GEWY1</v>
          </cell>
          <cell r="J891" t="str">
            <v>KHB694166A00</v>
          </cell>
          <cell r="K891" t="str">
            <v>RU-506 Relay/Buffer Pass Unit</v>
          </cell>
          <cell r="L891">
            <v>2980</v>
          </cell>
          <cell r="M891">
            <v>960</v>
          </cell>
          <cell r="N891">
            <v>998.40000000000009</v>
          </cell>
          <cell r="O891">
            <v>0.16241610738255025</v>
          </cell>
          <cell r="P891">
            <v>1192</v>
          </cell>
          <cell r="Q891">
            <v>1017.6</v>
          </cell>
          <cell r="R891">
            <v>1149.8900000000001</v>
          </cell>
          <cell r="S891">
            <v>1490</v>
          </cell>
          <cell r="T891">
            <v>0.3299328859060402</v>
          </cell>
          <cell r="U891">
            <v>1153.856</v>
          </cell>
          <cell r="V891">
            <v>0.13472738365965936</v>
          </cell>
          <cell r="W891">
            <v>1192</v>
          </cell>
          <cell r="X891">
            <v>0.8</v>
          </cell>
          <cell r="AA891">
            <v>1442</v>
          </cell>
          <cell r="AB891">
            <v>1192</v>
          </cell>
          <cell r="AC891">
            <v>1325</v>
          </cell>
          <cell r="AD891">
            <v>1399</v>
          </cell>
          <cell r="AE891">
            <v>1471.6</v>
          </cell>
          <cell r="AF891">
            <v>0.18999728187007334</v>
          </cell>
          <cell r="AG891">
            <v>0.3215547703180211</v>
          </cell>
          <cell r="AH891">
            <v>1637</v>
          </cell>
          <cell r="AI891">
            <v>1801</v>
          </cell>
          <cell r="AJ891">
            <v>0.33814547473625761</v>
          </cell>
          <cell r="AK891">
            <v>1965</v>
          </cell>
          <cell r="AL891">
            <v>2129</v>
          </cell>
          <cell r="AM891">
            <v>0.44011272898074211</v>
          </cell>
          <cell r="AN891">
            <v>2341.75</v>
          </cell>
          <cell r="AO891">
            <v>2554.5</v>
          </cell>
          <cell r="AP891">
            <v>2767.25</v>
          </cell>
          <cell r="AQ891">
            <v>0</v>
          </cell>
          <cell r="AS891">
            <v>2980</v>
          </cell>
        </row>
        <row r="892">
          <cell r="B892" t="str">
            <v>AC</v>
          </cell>
          <cell r="C892" t="str">
            <v>IMP</v>
          </cell>
          <cell r="D892" t="str">
            <v>BT</v>
          </cell>
          <cell r="E892" t="str">
            <v>08</v>
          </cell>
          <cell r="F892">
            <v>40038</v>
          </cell>
          <cell r="G892">
            <v>40038</v>
          </cell>
          <cell r="H892" t="str">
            <v>A0GFWY1</v>
          </cell>
          <cell r="I892" t="str">
            <v>3KMKA0GFWY1</v>
          </cell>
          <cell r="J892" t="str">
            <v>KHB694167A00</v>
          </cell>
          <cell r="K892" t="str">
            <v>FA-501 PI-PFU Connection Kit</v>
          </cell>
          <cell r="L892">
            <v>4920</v>
          </cell>
          <cell r="M892">
            <v>1400</v>
          </cell>
          <cell r="N892">
            <v>1456</v>
          </cell>
          <cell r="O892">
            <v>0.26016260162601629</v>
          </cell>
          <cell r="P892">
            <v>1968</v>
          </cell>
          <cell r="Q892">
            <v>1484</v>
          </cell>
          <cell r="R892">
            <v>1676.92</v>
          </cell>
          <cell r="S892">
            <v>2460</v>
          </cell>
          <cell r="T892">
            <v>0.40813008130081302</v>
          </cell>
          <cell r="U892">
            <v>1905.0239999999999</v>
          </cell>
          <cell r="V892">
            <v>0.23570516696902502</v>
          </cell>
          <cell r="W892">
            <v>1968</v>
          </cell>
          <cell r="X892">
            <v>0.8</v>
          </cell>
          <cell r="AA892">
            <v>2381</v>
          </cell>
          <cell r="AB892">
            <v>1968</v>
          </cell>
          <cell r="AC892">
            <v>2187</v>
          </cell>
          <cell r="AD892">
            <v>2309</v>
          </cell>
          <cell r="AE892">
            <v>2429.63</v>
          </cell>
          <cell r="AF892">
            <v>0.19000012347559098</v>
          </cell>
          <cell r="AG892">
            <v>0.40073179866893316</v>
          </cell>
          <cell r="AH892">
            <v>2702</v>
          </cell>
          <cell r="AI892">
            <v>2973</v>
          </cell>
          <cell r="AJ892">
            <v>0.33804238143289606</v>
          </cell>
          <cell r="AK892">
            <v>3244</v>
          </cell>
          <cell r="AL892">
            <v>3515</v>
          </cell>
          <cell r="AM892">
            <v>0.44011379800853484</v>
          </cell>
          <cell r="AN892">
            <v>3866.25</v>
          </cell>
          <cell r="AO892">
            <v>4217.5</v>
          </cell>
          <cell r="AP892">
            <v>4568.75</v>
          </cell>
          <cell r="AQ892">
            <v>0</v>
          </cell>
          <cell r="AS892">
            <v>4920</v>
          </cell>
        </row>
        <row r="893">
          <cell r="B893" t="str">
            <v>AC</v>
          </cell>
          <cell r="C893" t="str">
            <v>IMP</v>
          </cell>
          <cell r="D893" t="str">
            <v>BT</v>
          </cell>
          <cell r="E893" t="str">
            <v>08</v>
          </cell>
          <cell r="F893">
            <v>40038</v>
          </cell>
          <cell r="G893">
            <v>40038</v>
          </cell>
          <cell r="H893" t="str">
            <v>A0GYWY2</v>
          </cell>
          <cell r="I893" t="str">
            <v>6KMA0GYWY2_N</v>
          </cell>
          <cell r="J893" t="str">
            <v>KHB694169A00</v>
          </cell>
          <cell r="K893" t="str">
            <v>FS-521 100 Sheet Stapling Finisher with Staple Cut</v>
          </cell>
          <cell r="L893">
            <v>7140</v>
          </cell>
          <cell r="M893">
            <v>2356</v>
          </cell>
          <cell r="N893">
            <v>2450.2400000000002</v>
          </cell>
          <cell r="O893">
            <v>0.14813372642821379</v>
          </cell>
          <cell r="P893">
            <v>2876.32</v>
          </cell>
          <cell r="Q893">
            <v>2497.36</v>
          </cell>
          <cell r="R893">
            <v>2822.02</v>
          </cell>
          <cell r="S893">
            <v>3595.4</v>
          </cell>
          <cell r="T893">
            <v>0.31850698114257103</v>
          </cell>
          <cell r="U893">
            <v>2784.2777599999999</v>
          </cell>
          <cell r="V893">
            <v>0.11997285788038609</v>
          </cell>
          <cell r="W893">
            <v>2876.32</v>
          </cell>
          <cell r="X893">
            <v>0.8</v>
          </cell>
          <cell r="AA893">
            <v>3480</v>
          </cell>
          <cell r="AB893">
            <v>2877</v>
          </cell>
          <cell r="AC893">
            <v>3196</v>
          </cell>
          <cell r="AD893">
            <v>3374</v>
          </cell>
          <cell r="AE893">
            <v>3551.01</v>
          </cell>
          <cell r="AF893">
            <v>0.18999946494096046</v>
          </cell>
          <cell r="AG893">
            <v>0.30998786260810302</v>
          </cell>
          <cell r="AH893">
            <v>3949</v>
          </cell>
          <cell r="AI893">
            <v>4345</v>
          </cell>
          <cell r="AJ893">
            <v>0.33801611047180663</v>
          </cell>
          <cell r="AK893">
            <v>4741</v>
          </cell>
          <cell r="AL893">
            <v>5137</v>
          </cell>
          <cell r="AM893">
            <v>0.44007786645902275</v>
          </cell>
          <cell r="AN893">
            <v>5637.75</v>
          </cell>
          <cell r="AO893">
            <v>6138.5</v>
          </cell>
          <cell r="AP893">
            <v>6639.25</v>
          </cell>
          <cell r="AQ893">
            <v>0</v>
          </cell>
          <cell r="AS893">
            <v>7140</v>
          </cell>
        </row>
        <row r="894">
          <cell r="B894" t="str">
            <v>AC</v>
          </cell>
          <cell r="C894" t="str">
            <v>IMP</v>
          </cell>
          <cell r="D894" t="str">
            <v>BT</v>
          </cell>
          <cell r="E894" t="str">
            <v>08</v>
          </cell>
          <cell r="F894">
            <v>40038</v>
          </cell>
          <cell r="G894">
            <v>40038</v>
          </cell>
          <cell r="H894" t="str">
            <v>A0H1W12</v>
          </cell>
          <cell r="I894" t="str">
            <v>6KMA0H1W12_N</v>
          </cell>
          <cell r="J894" t="str">
            <v>KHB694069M00</v>
          </cell>
          <cell r="K894" t="str">
            <v>LS-505 Large Capacity Stacker with Roll-away Cart</v>
          </cell>
          <cell r="L894">
            <v>17325</v>
          </cell>
          <cell r="M894">
            <v>6732</v>
          </cell>
          <cell r="N894">
            <v>7001.2800000000007</v>
          </cell>
          <cell r="O894">
            <v>6.5009989209516894E-2</v>
          </cell>
          <cell r="P894">
            <v>7488.08</v>
          </cell>
          <cell r="Q894">
            <v>7135.92</v>
          </cell>
          <cell r="R894">
            <v>8063.59</v>
          </cell>
          <cell r="S894">
            <v>9360.1</v>
          </cell>
          <cell r="T894">
            <v>0.25200799136761354</v>
          </cell>
          <cell r="U894">
            <v>8049.6860000000006</v>
          </cell>
          <cell r="V894">
            <v>0.13024185042745764</v>
          </cell>
          <cell r="W894">
            <v>7488.08</v>
          </cell>
          <cell r="X894">
            <v>0.79999999999999993</v>
          </cell>
          <cell r="AA894">
            <v>9060</v>
          </cell>
          <cell r="AB894">
            <v>7489</v>
          </cell>
          <cell r="AC894">
            <v>8321</v>
          </cell>
          <cell r="AD894">
            <v>8783</v>
          </cell>
          <cell r="AE894">
            <v>9244.5400000000009</v>
          </cell>
          <cell r="AF894">
            <v>0.18999971875290719</v>
          </cell>
          <cell r="AG894">
            <v>0.24265782829648636</v>
          </cell>
          <cell r="AH894">
            <v>10277</v>
          </cell>
          <cell r="AI894">
            <v>11309</v>
          </cell>
          <cell r="AJ894">
            <v>0.33786541692457334</v>
          </cell>
          <cell r="AK894">
            <v>12340.5</v>
          </cell>
          <cell r="AL894">
            <v>13372</v>
          </cell>
          <cell r="AM894">
            <v>0.44001794795094229</v>
          </cell>
          <cell r="AN894">
            <v>14360.25</v>
          </cell>
          <cell r="AO894">
            <v>15348.5</v>
          </cell>
          <cell r="AP894">
            <v>16336.75</v>
          </cell>
          <cell r="AQ894">
            <v>0</v>
          </cell>
          <cell r="AS894">
            <v>17325</v>
          </cell>
        </row>
        <row r="895">
          <cell r="B895" t="str">
            <v>AC</v>
          </cell>
          <cell r="C895" t="str">
            <v>IMP</v>
          </cell>
          <cell r="D895" t="str">
            <v>BT</v>
          </cell>
          <cell r="E895" t="str">
            <v>08</v>
          </cell>
          <cell r="F895">
            <v>40038</v>
          </cell>
          <cell r="G895">
            <v>40038</v>
          </cell>
          <cell r="H895" t="str">
            <v>A0H2WY2</v>
          </cell>
          <cell r="I895" t="str">
            <v>6KMA0H2WY2_N</v>
          </cell>
          <cell r="J895" t="str">
            <v>KHB694070M00</v>
          </cell>
          <cell r="K895" t="str">
            <v>SD-506 Saddle Stitch Finisher with Face Trimmer</v>
          </cell>
          <cell r="L895">
            <v>26250</v>
          </cell>
          <cell r="M895">
            <v>9384</v>
          </cell>
          <cell r="N895">
            <v>9759.36</v>
          </cell>
          <cell r="O895">
            <v>0.10078502192901634</v>
          </cell>
          <cell r="P895">
            <v>10853.2</v>
          </cell>
          <cell r="Q895">
            <v>9947.0400000000009</v>
          </cell>
          <cell r="R895">
            <v>11240.16</v>
          </cell>
          <cell r="S895">
            <v>13566.5</v>
          </cell>
          <cell r="T895">
            <v>0.28062801754321304</v>
          </cell>
          <cell r="U895">
            <v>10505.8976</v>
          </cell>
          <cell r="V895">
            <v>7.1058906951463108E-2</v>
          </cell>
          <cell r="W895">
            <v>10853.2</v>
          </cell>
          <cell r="X895">
            <v>0.8</v>
          </cell>
          <cell r="AA895">
            <v>13131</v>
          </cell>
          <cell r="AB895">
            <v>10854</v>
          </cell>
          <cell r="AC895">
            <v>12060</v>
          </cell>
          <cell r="AD895">
            <v>12730</v>
          </cell>
          <cell r="AE895">
            <v>13399.01</v>
          </cell>
          <cell r="AF895">
            <v>0.18999985819847881</v>
          </cell>
          <cell r="AG895">
            <v>0.27163574025245146</v>
          </cell>
          <cell r="AH895">
            <v>14896</v>
          </cell>
          <cell r="AI895">
            <v>16391</v>
          </cell>
          <cell r="AJ895">
            <v>0.33785614056494412</v>
          </cell>
          <cell r="AK895">
            <v>17886</v>
          </cell>
          <cell r="AL895">
            <v>19381</v>
          </cell>
          <cell r="AM895">
            <v>0.44000825550797168</v>
          </cell>
          <cell r="AN895">
            <v>21098.25</v>
          </cell>
          <cell r="AO895">
            <v>22815.5</v>
          </cell>
          <cell r="AP895">
            <v>24532.75</v>
          </cell>
          <cell r="AQ895">
            <v>0</v>
          </cell>
          <cell r="AS895">
            <v>26250</v>
          </cell>
        </row>
        <row r="896">
          <cell r="B896" t="str">
            <v>AC</v>
          </cell>
          <cell r="C896" t="str">
            <v>IMP</v>
          </cell>
          <cell r="D896" t="str">
            <v>BT</v>
          </cell>
          <cell r="E896" t="str">
            <v>08</v>
          </cell>
          <cell r="F896">
            <v>40038</v>
          </cell>
          <cell r="G896">
            <v>40038</v>
          </cell>
          <cell r="H896" t="str">
            <v>A0NAW11</v>
          </cell>
          <cell r="I896" t="str">
            <v>3KMHA0NAW11</v>
          </cell>
          <cell r="J896" t="str">
            <v>KHB694071 M00</v>
          </cell>
          <cell r="K896" t="str">
            <v>DS-501 3 Hole Punch Die</v>
          </cell>
          <cell r="L896">
            <v>1400</v>
          </cell>
          <cell r="M896">
            <v>400</v>
          </cell>
          <cell r="N896">
            <v>416</v>
          </cell>
          <cell r="O896">
            <v>0.25714285714285712</v>
          </cell>
          <cell r="P896">
            <v>560</v>
          </cell>
          <cell r="Q896">
            <v>424</v>
          </cell>
          <cell r="R896">
            <v>479.12</v>
          </cell>
          <cell r="S896">
            <v>700</v>
          </cell>
          <cell r="T896">
            <v>0.40571428571428569</v>
          </cell>
          <cell r="U896">
            <v>542.07999999999993</v>
          </cell>
          <cell r="V896">
            <v>0.23258559622195976</v>
          </cell>
          <cell r="W896">
            <v>560</v>
          </cell>
          <cell r="X896">
            <v>0.8</v>
          </cell>
          <cell r="AA896">
            <v>1400</v>
          </cell>
          <cell r="AB896">
            <v>1400</v>
          </cell>
          <cell r="AC896">
            <v>1400</v>
          </cell>
          <cell r="AD896">
            <v>1400</v>
          </cell>
          <cell r="AE896">
            <v>1400</v>
          </cell>
          <cell r="AF896">
            <v>0.18999151823579311</v>
          </cell>
          <cell r="AG896">
            <v>4.7048844983285966E-2</v>
          </cell>
          <cell r="AH896">
            <v>1400</v>
          </cell>
          <cell r="AI896">
            <v>1400</v>
          </cell>
          <cell r="AJ896">
            <v>0.22115615255456941</v>
          </cell>
          <cell r="AK896">
            <v>1400</v>
          </cell>
          <cell r="AL896">
            <v>1400</v>
          </cell>
          <cell r="AM896">
            <v>0.25001154894442651</v>
          </cell>
          <cell r="AN896">
            <v>1400</v>
          </cell>
          <cell r="AO896">
            <v>1400</v>
          </cell>
          <cell r="AP896">
            <v>1400</v>
          </cell>
          <cell r="AQ896">
            <v>0</v>
          </cell>
          <cell r="AS896">
            <v>1400</v>
          </cell>
        </row>
        <row r="897">
          <cell r="B897" t="str">
            <v>AC</v>
          </cell>
          <cell r="C897" t="str">
            <v>IMP</v>
          </cell>
          <cell r="D897" t="str">
            <v>BT</v>
          </cell>
          <cell r="E897" t="str">
            <v>08</v>
          </cell>
          <cell r="F897">
            <v>40038</v>
          </cell>
          <cell r="G897">
            <v>40038</v>
          </cell>
          <cell r="H897" t="str">
            <v>A0NCW11</v>
          </cell>
          <cell r="I897" t="str">
            <v>3KMHA0NCW11</v>
          </cell>
          <cell r="J897" t="str">
            <v>KHB694072M00</v>
          </cell>
          <cell r="K897" t="str">
            <v>DS-502 19 Hole Cerlox Punch Die</v>
          </cell>
          <cell r="L897">
            <v>1400</v>
          </cell>
          <cell r="M897">
            <v>400</v>
          </cell>
          <cell r="N897">
            <v>416</v>
          </cell>
          <cell r="O897">
            <v>0.25714285714285712</v>
          </cell>
          <cell r="P897">
            <v>560</v>
          </cell>
          <cell r="Q897">
            <v>424</v>
          </cell>
          <cell r="R897">
            <v>479.12</v>
          </cell>
          <cell r="S897">
            <v>700</v>
          </cell>
          <cell r="T897">
            <v>0.40571428571428569</v>
          </cell>
          <cell r="U897">
            <v>542.07999999999993</v>
          </cell>
          <cell r="V897">
            <v>0.23258559622195976</v>
          </cell>
          <cell r="W897">
            <v>560</v>
          </cell>
          <cell r="X897">
            <v>0.8</v>
          </cell>
          <cell r="AA897">
            <v>1400</v>
          </cell>
          <cell r="AB897">
            <v>1400</v>
          </cell>
          <cell r="AC897">
            <v>1400</v>
          </cell>
          <cell r="AD897">
            <v>1400</v>
          </cell>
          <cell r="AE897">
            <v>1400</v>
          </cell>
          <cell r="AF897">
            <v>0.19003789929615592</v>
          </cell>
          <cell r="AG897">
            <v>4.7103410936653975E-2</v>
          </cell>
          <cell r="AH897">
            <v>1400</v>
          </cell>
          <cell r="AI897">
            <v>1400</v>
          </cell>
          <cell r="AJ897">
            <v>0.22115785089546031</v>
          </cell>
          <cell r="AK897">
            <v>1400</v>
          </cell>
          <cell r="AL897">
            <v>1400</v>
          </cell>
          <cell r="AM897">
            <v>0.24997493231725665</v>
          </cell>
          <cell r="AN897">
            <v>1400</v>
          </cell>
          <cell r="AO897">
            <v>1400</v>
          </cell>
          <cell r="AP897">
            <v>1400</v>
          </cell>
          <cell r="AQ897">
            <v>0</v>
          </cell>
          <cell r="AS897">
            <v>1400</v>
          </cell>
        </row>
        <row r="898">
          <cell r="B898" t="str">
            <v>AC</v>
          </cell>
          <cell r="C898" t="str">
            <v>IMP</v>
          </cell>
          <cell r="D898" t="str">
            <v>BT</v>
          </cell>
          <cell r="E898" t="str">
            <v>08</v>
          </cell>
          <cell r="F898">
            <v>40038</v>
          </cell>
          <cell r="G898">
            <v>40038</v>
          </cell>
          <cell r="H898" t="str">
            <v>A0NDW11</v>
          </cell>
          <cell r="I898" t="str">
            <v>3KMHA0NDW11</v>
          </cell>
          <cell r="J898" t="str">
            <v>KHB694074M00</v>
          </cell>
          <cell r="K898" t="str">
            <v>DS-503 32 Hole Wirebind Punch Die</v>
          </cell>
          <cell r="L898">
            <v>1400</v>
          </cell>
          <cell r="M898">
            <v>400</v>
          </cell>
          <cell r="N898">
            <v>416</v>
          </cell>
          <cell r="O898">
            <v>0.25714285714285712</v>
          </cell>
          <cell r="P898">
            <v>560</v>
          </cell>
          <cell r="Q898">
            <v>424</v>
          </cell>
          <cell r="R898">
            <v>479.12</v>
          </cell>
          <cell r="S898">
            <v>700</v>
          </cell>
          <cell r="T898">
            <v>0.40571428571428569</v>
          </cell>
          <cell r="U898">
            <v>542.07999999999993</v>
          </cell>
          <cell r="V898">
            <v>0.23258559622195976</v>
          </cell>
          <cell r="W898">
            <v>560</v>
          </cell>
          <cell r="X898">
            <v>0.8</v>
          </cell>
          <cell r="AA898">
            <v>1400</v>
          </cell>
          <cell r="AB898">
            <v>1400</v>
          </cell>
          <cell r="AC898">
            <v>1400</v>
          </cell>
          <cell r="AD898">
            <v>1400</v>
          </cell>
          <cell r="AE898">
            <v>1400</v>
          </cell>
          <cell r="AF898">
            <v>0.18997031713794724</v>
          </cell>
          <cell r="AG898">
            <v>4.7023902515232072E-2</v>
          </cell>
          <cell r="AH898">
            <v>1400</v>
          </cell>
          <cell r="AI898">
            <v>1400</v>
          </cell>
          <cell r="AJ898">
            <v>0.22112062490611376</v>
          </cell>
          <cell r="AK898">
            <v>1400</v>
          </cell>
          <cell r="AL898">
            <v>1400</v>
          </cell>
          <cell r="AM898">
            <v>0.24996383625054239</v>
          </cell>
          <cell r="AN898">
            <v>1400</v>
          </cell>
          <cell r="AO898">
            <v>1400</v>
          </cell>
          <cell r="AP898">
            <v>1400</v>
          </cell>
          <cell r="AQ898">
            <v>0</v>
          </cell>
          <cell r="AS898">
            <v>1400</v>
          </cell>
        </row>
        <row r="899">
          <cell r="B899" t="str">
            <v>AC</v>
          </cell>
          <cell r="C899" t="str">
            <v>IMP</v>
          </cell>
          <cell r="D899" t="str">
            <v>BT</v>
          </cell>
          <cell r="E899" t="str">
            <v>08</v>
          </cell>
          <cell r="F899">
            <v>40038</v>
          </cell>
          <cell r="G899">
            <v>40038</v>
          </cell>
          <cell r="H899" t="str">
            <v>A0NEW11</v>
          </cell>
          <cell r="I899" t="str">
            <v>3KMHA0NEW11</v>
          </cell>
          <cell r="J899" t="str">
            <v>KHB694069M00</v>
          </cell>
          <cell r="K899" t="str">
            <v>DS-504 21 Hole Wirebind Punch Die</v>
          </cell>
          <cell r="L899">
            <v>1400</v>
          </cell>
          <cell r="M899">
            <v>400</v>
          </cell>
          <cell r="N899">
            <v>416</v>
          </cell>
          <cell r="O899">
            <v>0.25714285714285712</v>
          </cell>
          <cell r="P899">
            <v>560</v>
          </cell>
          <cell r="Q899">
            <v>424</v>
          </cell>
          <cell r="R899">
            <v>479.12</v>
          </cell>
          <cell r="S899">
            <v>700</v>
          </cell>
          <cell r="T899">
            <v>0.40571428571428569</v>
          </cell>
          <cell r="U899">
            <v>542.07999999999993</v>
          </cell>
          <cell r="V899">
            <v>0.23258559622195976</v>
          </cell>
          <cell r="W899">
            <v>560</v>
          </cell>
          <cell r="X899">
            <v>0.8</v>
          </cell>
          <cell r="AA899">
            <v>1400</v>
          </cell>
          <cell r="AB899">
            <v>1400</v>
          </cell>
          <cell r="AC899">
            <v>1400</v>
          </cell>
          <cell r="AD899">
            <v>1400</v>
          </cell>
          <cell r="AE899">
            <v>1400</v>
          </cell>
          <cell r="AF899">
            <v>0.18999698214824609</v>
          </cell>
          <cell r="AG899">
            <v>4.7055273115583683E-2</v>
          </cell>
          <cell r="AH899">
            <v>1400</v>
          </cell>
          <cell r="AI899">
            <v>1400</v>
          </cell>
          <cell r="AJ899">
            <v>0.22115824600171871</v>
          </cell>
          <cell r="AK899">
            <v>1400</v>
          </cell>
          <cell r="AL899">
            <v>1400</v>
          </cell>
          <cell r="AM899">
            <v>0.25000268681419069</v>
          </cell>
          <cell r="AN899">
            <v>1400</v>
          </cell>
          <cell r="AO899">
            <v>1400</v>
          </cell>
          <cell r="AP899">
            <v>1400</v>
          </cell>
          <cell r="AQ899">
            <v>0</v>
          </cell>
          <cell r="AS899">
            <v>1400</v>
          </cell>
        </row>
        <row r="900">
          <cell r="B900" t="str">
            <v>AC</v>
          </cell>
          <cell r="C900" t="str">
            <v>IMP</v>
          </cell>
          <cell r="D900" t="str">
            <v>BT</v>
          </cell>
          <cell r="E900" t="str">
            <v>08</v>
          </cell>
          <cell r="F900">
            <v>40038</v>
          </cell>
          <cell r="G900">
            <v>40038</v>
          </cell>
          <cell r="H900" t="str">
            <v>A0NFW11</v>
          </cell>
          <cell r="I900" t="str">
            <v>3KMHA0NFW11</v>
          </cell>
          <cell r="J900" t="str">
            <v>KC.A12305</v>
          </cell>
          <cell r="K900" t="str">
            <v>DS-505 44 Hole Color Coil Punch Die</v>
          </cell>
          <cell r="L900">
            <v>1400</v>
          </cell>
          <cell r="M900">
            <v>400</v>
          </cell>
          <cell r="N900">
            <v>416</v>
          </cell>
          <cell r="O900">
            <v>0.25714285714285712</v>
          </cell>
          <cell r="P900">
            <v>560</v>
          </cell>
          <cell r="Q900">
            <v>424</v>
          </cell>
          <cell r="R900">
            <v>479.12</v>
          </cell>
          <cell r="S900">
            <v>700</v>
          </cell>
          <cell r="T900">
            <v>0.40571428571428569</v>
          </cell>
          <cell r="U900">
            <v>542.07999999999993</v>
          </cell>
          <cell r="V900">
            <v>0.23258559622195976</v>
          </cell>
          <cell r="W900">
            <v>560</v>
          </cell>
          <cell r="X900">
            <v>0.8</v>
          </cell>
          <cell r="AA900">
            <v>1400</v>
          </cell>
          <cell r="AB900">
            <v>1400</v>
          </cell>
          <cell r="AC900">
            <v>1400</v>
          </cell>
          <cell r="AD900">
            <v>1400</v>
          </cell>
          <cell r="AE900">
            <v>1400</v>
          </cell>
          <cell r="AF900">
            <v>0.18999822619876083</v>
          </cell>
          <cell r="AG900">
            <v>4.7056736704424521E-2</v>
          </cell>
          <cell r="AH900">
            <v>1400</v>
          </cell>
          <cell r="AI900">
            <v>1400</v>
          </cell>
          <cell r="AJ900">
            <v>0.22115664772468746</v>
          </cell>
          <cell r="AK900">
            <v>1400</v>
          </cell>
          <cell r="AL900">
            <v>1400</v>
          </cell>
          <cell r="AM900">
            <v>0.24999510686065354</v>
          </cell>
          <cell r="AN900">
            <v>1400</v>
          </cell>
          <cell r="AO900">
            <v>1400</v>
          </cell>
          <cell r="AP900">
            <v>1400</v>
          </cell>
          <cell r="AQ900">
            <v>0</v>
          </cell>
          <cell r="AS900">
            <v>1400</v>
          </cell>
        </row>
        <row r="901">
          <cell r="B901" t="str">
            <v>AC</v>
          </cell>
          <cell r="C901" t="str">
            <v>IMP</v>
          </cell>
          <cell r="D901" t="str">
            <v>BT</v>
          </cell>
          <cell r="E901" t="str">
            <v>08</v>
          </cell>
          <cell r="F901">
            <v>40038</v>
          </cell>
          <cell r="G901">
            <v>40038</v>
          </cell>
          <cell r="H901" t="str">
            <v>A0NGW11</v>
          </cell>
          <cell r="I901" t="str">
            <v>3KMHA0NGW11</v>
          </cell>
          <cell r="J901" t="str">
            <v>KC.A14662</v>
          </cell>
          <cell r="K901" t="str">
            <v>DS-506 11 Hole Velobind Punch Die</v>
          </cell>
          <cell r="L901">
            <v>1400</v>
          </cell>
          <cell r="M901">
            <v>400</v>
          </cell>
          <cell r="N901">
            <v>416</v>
          </cell>
          <cell r="O901">
            <v>0.25714285714285712</v>
          </cell>
          <cell r="P901">
            <v>560</v>
          </cell>
          <cell r="Q901">
            <v>424</v>
          </cell>
          <cell r="R901">
            <v>479.12</v>
          </cell>
          <cell r="S901">
            <v>700</v>
          </cell>
          <cell r="T901">
            <v>0.40571428571428569</v>
          </cell>
          <cell r="U901">
            <v>542.07999999999993</v>
          </cell>
          <cell r="V901">
            <v>0.23258559622195976</v>
          </cell>
          <cell r="W901">
            <v>560</v>
          </cell>
          <cell r="X901">
            <v>0.8</v>
          </cell>
          <cell r="AA901">
            <v>1400</v>
          </cell>
          <cell r="AB901">
            <v>1400</v>
          </cell>
          <cell r="AC901">
            <v>1400</v>
          </cell>
          <cell r="AD901">
            <v>1400</v>
          </cell>
          <cell r="AE901">
            <v>1400</v>
          </cell>
          <cell r="AF901">
            <v>0.19000334950391062</v>
          </cell>
          <cell r="AG901">
            <v>4.7062764122247726E-2</v>
          </cell>
          <cell r="AH901">
            <v>1400</v>
          </cell>
          <cell r="AI901">
            <v>1400</v>
          </cell>
          <cell r="AJ901">
            <v>0.22115547776068448</v>
          </cell>
          <cell r="AK901">
            <v>1400</v>
          </cell>
          <cell r="AL901">
            <v>1400</v>
          </cell>
          <cell r="AM901">
            <v>0.25000015430513384</v>
          </cell>
          <cell r="AN901">
            <v>1400</v>
          </cell>
          <cell r="AO901">
            <v>1400</v>
          </cell>
          <cell r="AP901">
            <v>1400</v>
          </cell>
          <cell r="AQ901">
            <v>0</v>
          </cell>
          <cell r="AS901">
            <v>1400</v>
          </cell>
        </row>
        <row r="902">
          <cell r="B902" t="str">
            <v>AC</v>
          </cell>
          <cell r="C902" t="str">
            <v>IMP</v>
          </cell>
          <cell r="D902" t="str">
            <v>BT</v>
          </cell>
          <cell r="E902" t="str">
            <v>08</v>
          </cell>
          <cell r="F902">
            <v>40038</v>
          </cell>
          <cell r="G902">
            <v>40038</v>
          </cell>
          <cell r="H902" t="str">
            <v>A0NHW11</v>
          </cell>
          <cell r="I902" t="str">
            <v>3KMHA0NHW11</v>
          </cell>
          <cell r="J902" t="str">
            <v>KC.A14663</v>
          </cell>
          <cell r="K902" t="str">
            <v>DS-507 32 Hole Proclick Punch Die</v>
          </cell>
          <cell r="L902">
            <v>1400</v>
          </cell>
          <cell r="M902">
            <v>400</v>
          </cell>
          <cell r="N902">
            <v>416</v>
          </cell>
          <cell r="O902">
            <v>0.25714285714285712</v>
          </cell>
          <cell r="P902">
            <v>560</v>
          </cell>
          <cell r="Q902">
            <v>424</v>
          </cell>
          <cell r="R902">
            <v>479.12</v>
          </cell>
          <cell r="S902">
            <v>700</v>
          </cell>
          <cell r="T902">
            <v>0.40571428571428569</v>
          </cell>
          <cell r="U902">
            <v>542.07999999999993</v>
          </cell>
          <cell r="V902">
            <v>0.23258559622195976</v>
          </cell>
          <cell r="W902">
            <v>560</v>
          </cell>
          <cell r="X902">
            <v>0.8</v>
          </cell>
          <cell r="AA902">
            <v>1400</v>
          </cell>
          <cell r="AB902">
            <v>1400</v>
          </cell>
          <cell r="AC902">
            <v>1400</v>
          </cell>
          <cell r="AD902">
            <v>1400</v>
          </cell>
          <cell r="AE902">
            <v>1400</v>
          </cell>
          <cell r="AF902">
            <v>0.19000232424010272</v>
          </cell>
          <cell r="AG902">
            <v>4.7061557929532545E-2</v>
          </cell>
          <cell r="AH902">
            <v>1400</v>
          </cell>
          <cell r="AI902">
            <v>1400</v>
          </cell>
          <cell r="AJ902">
            <v>0.22115814392371758</v>
          </cell>
          <cell r="AK902">
            <v>1400</v>
          </cell>
          <cell r="AL902">
            <v>1400</v>
          </cell>
          <cell r="AM902">
            <v>0.25</v>
          </cell>
          <cell r="AN902">
            <v>1400</v>
          </cell>
          <cell r="AO902">
            <v>1400</v>
          </cell>
          <cell r="AP902">
            <v>1400</v>
          </cell>
          <cell r="AQ902">
            <v>0</v>
          </cell>
          <cell r="AS902">
            <v>1400</v>
          </cell>
        </row>
        <row r="903">
          <cell r="B903" t="str">
            <v>AC</v>
          </cell>
          <cell r="C903" t="str">
            <v>IMP</v>
          </cell>
          <cell r="D903" t="str">
            <v>BT</v>
          </cell>
          <cell r="E903" t="str">
            <v>08</v>
          </cell>
          <cell r="F903">
            <v>40038</v>
          </cell>
          <cell r="G903">
            <v>40038</v>
          </cell>
          <cell r="H903" t="str">
            <v>A0V9W11</v>
          </cell>
          <cell r="I903" t="str">
            <v>6KMA0V9W11_N</v>
          </cell>
          <cell r="J903" t="str">
            <v>KC.A14664</v>
          </cell>
          <cell r="K903" t="str">
            <v>PB-502 Perfect Binder</v>
          </cell>
          <cell r="L903">
            <v>36750</v>
          </cell>
          <cell r="M903">
            <v>11730</v>
          </cell>
          <cell r="N903">
            <v>12199.2</v>
          </cell>
          <cell r="O903">
            <v>0.2103382563125297</v>
          </cell>
          <cell r="P903">
            <v>15448.64</v>
          </cell>
          <cell r="Q903">
            <v>12433.8</v>
          </cell>
          <cell r="R903">
            <v>14050.19</v>
          </cell>
          <cell r="S903">
            <v>19310.8</v>
          </cell>
          <cell r="T903">
            <v>0.36827060505002374</v>
          </cell>
          <cell r="U903">
            <v>14954.283519999999</v>
          </cell>
          <cell r="V903">
            <v>0.18423373586005132</v>
          </cell>
          <cell r="W903">
            <v>15448.64</v>
          </cell>
          <cell r="X903">
            <v>0.8</v>
          </cell>
          <cell r="AA903">
            <v>18691</v>
          </cell>
          <cell r="AB903">
            <v>15449</v>
          </cell>
          <cell r="AC903">
            <v>17166</v>
          </cell>
          <cell r="AD903">
            <v>18120</v>
          </cell>
          <cell r="AE903">
            <v>19072.400000000001</v>
          </cell>
          <cell r="AF903">
            <v>0.19000020972714507</v>
          </cell>
          <cell r="AG903">
            <v>0.36037415322665212</v>
          </cell>
          <cell r="AH903">
            <v>21202</v>
          </cell>
          <cell r="AI903">
            <v>23330</v>
          </cell>
          <cell r="AJ903">
            <v>0.33782083154736392</v>
          </cell>
          <cell r="AK903">
            <v>25458.5</v>
          </cell>
          <cell r="AL903">
            <v>27587</v>
          </cell>
          <cell r="AM903">
            <v>0.44000289991662744</v>
          </cell>
          <cell r="AN903">
            <v>29877.75</v>
          </cell>
          <cell r="AO903">
            <v>32168.5</v>
          </cell>
          <cell r="AP903">
            <v>34459.25</v>
          </cell>
          <cell r="AQ903">
            <v>0</v>
          </cell>
          <cell r="AS903">
            <v>36750</v>
          </cell>
        </row>
        <row r="904">
          <cell r="B904" t="str">
            <v>AC</v>
          </cell>
          <cell r="C904" t="str">
            <v>IMP</v>
          </cell>
          <cell r="D904" t="str">
            <v>BT</v>
          </cell>
          <cell r="E904" t="str">
            <v>08</v>
          </cell>
          <cell r="F904">
            <v>40038</v>
          </cell>
          <cell r="G904">
            <v>40038</v>
          </cell>
          <cell r="H904" t="str">
            <v>A15AWY1</v>
          </cell>
          <cell r="I904" t="str">
            <v>3KMHA15AWY1</v>
          </cell>
          <cell r="J904" t="str">
            <v>KC.A14665</v>
          </cell>
          <cell r="K904" t="str">
            <v>HT-505 Dehumidifier/Heater for PFU</v>
          </cell>
          <cell r="L904">
            <v>1995</v>
          </cell>
          <cell r="M904">
            <v>429</v>
          </cell>
          <cell r="N904">
            <v>446.16</v>
          </cell>
          <cell r="O904">
            <v>0.25639999999999996</v>
          </cell>
          <cell r="P904">
            <v>600</v>
          </cell>
          <cell r="Q904">
            <v>454.74</v>
          </cell>
          <cell r="R904">
            <v>513.86</v>
          </cell>
          <cell r="S904">
            <v>750</v>
          </cell>
          <cell r="T904">
            <v>0.40511999999999998</v>
          </cell>
          <cell r="U904">
            <v>580.79999999999995</v>
          </cell>
          <cell r="V904">
            <v>0.2318181818181817</v>
          </cell>
          <cell r="W904">
            <v>600</v>
          </cell>
          <cell r="X904">
            <v>0.8</v>
          </cell>
          <cell r="AA904">
            <v>726</v>
          </cell>
          <cell r="AB904">
            <v>600</v>
          </cell>
          <cell r="AC904">
            <v>667</v>
          </cell>
          <cell r="AD904">
            <v>704</v>
          </cell>
          <cell r="AE904">
            <v>740.74</v>
          </cell>
          <cell r="AF904">
            <v>0.18999918999919002</v>
          </cell>
          <cell r="AG904">
            <v>0.39768339768339767</v>
          </cell>
          <cell r="AH904">
            <v>824</v>
          </cell>
          <cell r="AI904">
            <v>907</v>
          </cell>
          <cell r="AJ904">
            <v>0.33847850055126794</v>
          </cell>
          <cell r="AK904">
            <v>989.5</v>
          </cell>
          <cell r="AL904">
            <v>1072</v>
          </cell>
          <cell r="AM904">
            <v>0.44029850746268656</v>
          </cell>
          <cell r="AN904">
            <v>1302.75</v>
          </cell>
          <cell r="AO904">
            <v>1533.5</v>
          </cell>
          <cell r="AP904">
            <v>1764.25</v>
          </cell>
          <cell r="AQ904">
            <v>0</v>
          </cell>
          <cell r="AS904">
            <v>1995</v>
          </cell>
        </row>
        <row r="905">
          <cell r="B905" t="str">
            <v>AC</v>
          </cell>
          <cell r="C905" t="str">
            <v>IMP</v>
          </cell>
          <cell r="D905" t="str">
            <v>BT</v>
          </cell>
          <cell r="E905" t="str">
            <v>08</v>
          </cell>
          <cell r="F905">
            <v>40038</v>
          </cell>
          <cell r="G905">
            <v>40038</v>
          </cell>
          <cell r="H905" t="str">
            <v>A15XW11</v>
          </cell>
          <cell r="I905" t="str">
            <v>6KMA15XW11_N</v>
          </cell>
          <cell r="J905" t="str">
            <v>KC.A14666</v>
          </cell>
          <cell r="K905" t="str">
            <v>PB-503 Perfect Binder</v>
          </cell>
          <cell r="L905">
            <v>42300</v>
          </cell>
          <cell r="M905">
            <v>14000</v>
          </cell>
          <cell r="N905">
            <v>14560</v>
          </cell>
          <cell r="O905">
            <v>0.19397697077059345</v>
          </cell>
          <cell r="P905">
            <v>18064</v>
          </cell>
          <cell r="Q905">
            <v>14840</v>
          </cell>
          <cell r="R905">
            <v>16769.2</v>
          </cell>
          <cell r="S905">
            <v>22580</v>
          </cell>
          <cell r="T905">
            <v>0.35518157661647476</v>
          </cell>
          <cell r="U905">
            <v>17485.952000000001</v>
          </cell>
          <cell r="V905">
            <v>0.16733158137458007</v>
          </cell>
          <cell r="W905">
            <v>18064</v>
          </cell>
          <cell r="X905">
            <v>0.8</v>
          </cell>
          <cell r="AA905">
            <v>21855</v>
          </cell>
          <cell r="AB905">
            <v>18064</v>
          </cell>
          <cell r="AC905">
            <v>20072</v>
          </cell>
          <cell r="AD905">
            <v>21187</v>
          </cell>
          <cell r="AE905">
            <v>22301.23</v>
          </cell>
          <cell r="AF905">
            <v>0.18999983408986856</v>
          </cell>
          <cell r="AG905">
            <v>0.34712121259679396</v>
          </cell>
          <cell r="AH905">
            <v>24791</v>
          </cell>
          <cell r="AI905">
            <v>27280</v>
          </cell>
          <cell r="AJ905">
            <v>0.33782991202346041</v>
          </cell>
          <cell r="AK905">
            <v>29769</v>
          </cell>
          <cell r="AL905">
            <v>32258</v>
          </cell>
          <cell r="AM905">
            <v>0.44001488002976008</v>
          </cell>
          <cell r="AN905">
            <v>34768.5</v>
          </cell>
          <cell r="AO905">
            <v>37279</v>
          </cell>
          <cell r="AP905">
            <v>39789.5</v>
          </cell>
          <cell r="AQ905">
            <v>0</v>
          </cell>
          <cell r="AS905">
            <v>42300</v>
          </cell>
        </row>
        <row r="906">
          <cell r="B906" t="str">
            <v>AC</v>
          </cell>
          <cell r="C906" t="str">
            <v>IMP</v>
          </cell>
          <cell r="D906" t="str">
            <v>BT</v>
          </cell>
          <cell r="E906" t="str">
            <v>08</v>
          </cell>
          <cell r="F906">
            <v>40038</v>
          </cell>
          <cell r="G906">
            <v>40038</v>
          </cell>
          <cell r="H906" t="str">
            <v>A1AHWY1</v>
          </cell>
          <cell r="I906" t="str">
            <v>6KMA1AHWY1_N</v>
          </cell>
          <cell r="J906" t="str">
            <v>KC.A14667</v>
          </cell>
          <cell r="K906" t="str">
            <v>LC-501 Additional Cart for Large Capacity Stacker (LS)</v>
          </cell>
          <cell r="L906">
            <v>840</v>
          </cell>
          <cell r="M906">
            <v>408</v>
          </cell>
          <cell r="N906">
            <v>424.32</v>
          </cell>
          <cell r="O906">
            <v>9.5960456792227755E-2</v>
          </cell>
          <cell r="P906">
            <v>469.36</v>
          </cell>
          <cell r="Q906">
            <v>432.48</v>
          </cell>
          <cell r="R906">
            <v>488.7</v>
          </cell>
          <cell r="S906">
            <v>586.70000000000005</v>
          </cell>
          <cell r="T906">
            <v>0.27676836543378225</v>
          </cell>
          <cell r="U906">
            <v>454.34048000000001</v>
          </cell>
          <cell r="V906">
            <v>6.6074852058086525E-2</v>
          </cell>
          <cell r="W906">
            <v>469.36</v>
          </cell>
          <cell r="X906">
            <v>0.79999999999999993</v>
          </cell>
          <cell r="AA906">
            <v>568</v>
          </cell>
          <cell r="AB906">
            <v>470</v>
          </cell>
          <cell r="AC906">
            <v>522</v>
          </cell>
          <cell r="AD906">
            <v>551</v>
          </cell>
          <cell r="AE906">
            <v>579.46</v>
          </cell>
          <cell r="AF906">
            <v>0.19000448693611297</v>
          </cell>
          <cell r="AG906">
            <v>0.26773202636937843</v>
          </cell>
          <cell r="AH906">
            <v>645</v>
          </cell>
          <cell r="AI906">
            <v>710</v>
          </cell>
          <cell r="AJ906">
            <v>0.33892957746478869</v>
          </cell>
          <cell r="AK906">
            <v>774.5</v>
          </cell>
          <cell r="AL906">
            <v>839</v>
          </cell>
          <cell r="AM906">
            <v>0.4405721096543504</v>
          </cell>
          <cell r="AN906">
            <v>839.25</v>
          </cell>
          <cell r="AO906">
            <v>839.5</v>
          </cell>
          <cell r="AP906">
            <v>839.75</v>
          </cell>
          <cell r="AQ906">
            <v>0</v>
          </cell>
          <cell r="AS906">
            <v>840</v>
          </cell>
        </row>
        <row r="907">
          <cell r="B907" t="str">
            <v>AC</v>
          </cell>
          <cell r="C907" t="str">
            <v>IMP</v>
          </cell>
          <cell r="D907" t="str">
            <v>BT</v>
          </cell>
          <cell r="E907" t="str">
            <v>08</v>
          </cell>
          <cell r="F907">
            <v>40056</v>
          </cell>
          <cell r="G907">
            <v>40056</v>
          </cell>
          <cell r="H907" t="str">
            <v>A0830Y1</v>
          </cell>
          <cell r="I907" t="str">
            <v>3KMHJS505</v>
          </cell>
          <cell r="J907" t="str">
            <v>KN.0005261/00</v>
          </cell>
          <cell r="K907" t="str">
            <v>JS-505 Job Separator</v>
          </cell>
          <cell r="L907">
            <v>472</v>
          </cell>
          <cell r="M907">
            <v>153</v>
          </cell>
          <cell r="N907">
            <v>159.12</v>
          </cell>
          <cell r="O907">
            <v>0.19310344827586201</v>
          </cell>
          <cell r="P907">
            <v>197.2</v>
          </cell>
          <cell r="Q907">
            <v>162.18</v>
          </cell>
          <cell r="R907">
            <v>183.26</v>
          </cell>
          <cell r="S907">
            <v>246.5</v>
          </cell>
          <cell r="T907">
            <v>0.35448275862068962</v>
          </cell>
          <cell r="U907">
            <v>190.8896</v>
          </cell>
          <cell r="V907">
            <v>0.16642918210316326</v>
          </cell>
          <cell r="W907">
            <v>197.2</v>
          </cell>
          <cell r="X907">
            <v>0.79999999999999993</v>
          </cell>
          <cell r="AA907">
            <v>239</v>
          </cell>
          <cell r="AB907">
            <v>198</v>
          </cell>
          <cell r="AC907">
            <v>220</v>
          </cell>
          <cell r="AD907">
            <v>235</v>
          </cell>
          <cell r="AE907">
            <v>243.46</v>
          </cell>
          <cell r="AF907">
            <v>0.19001067937238159</v>
          </cell>
          <cell r="AG907">
            <v>0.3464224102521975</v>
          </cell>
          <cell r="AH907">
            <v>272</v>
          </cell>
          <cell r="AI907">
            <v>299</v>
          </cell>
          <cell r="AJ907">
            <v>0.34046822742474919</v>
          </cell>
          <cell r="AK907">
            <v>326</v>
          </cell>
          <cell r="AL907">
            <v>353</v>
          </cell>
          <cell r="AM907">
            <v>0.44135977337110482</v>
          </cell>
          <cell r="AN907">
            <v>382.75</v>
          </cell>
          <cell r="AO907">
            <v>412.5</v>
          </cell>
          <cell r="AP907">
            <v>442.25</v>
          </cell>
          <cell r="AQ907">
            <v>0</v>
          </cell>
          <cell r="AS907">
            <v>472</v>
          </cell>
        </row>
        <row r="908">
          <cell r="B908" t="str">
            <v>AC</v>
          </cell>
          <cell r="C908" t="str">
            <v>IMP</v>
          </cell>
          <cell r="D908" t="str">
            <v>BT</v>
          </cell>
          <cell r="E908" t="str">
            <v>08</v>
          </cell>
          <cell r="F908">
            <v>40056</v>
          </cell>
          <cell r="G908">
            <v>40056</v>
          </cell>
          <cell r="H908" t="str">
            <v>A0D9WY1</v>
          </cell>
          <cell r="I908" t="str">
            <v>3KMHMK713</v>
          </cell>
          <cell r="J908" t="str">
            <v>KN.0005262/00</v>
          </cell>
          <cell r="K908" t="str">
            <v>MK-713 Banner Paper Guide</v>
          </cell>
          <cell r="L908">
            <v>798</v>
          </cell>
          <cell r="M908">
            <v>255</v>
          </cell>
          <cell r="N908">
            <v>265.2</v>
          </cell>
          <cell r="O908">
            <v>0.12556053811659187</v>
          </cell>
          <cell r="P908">
            <v>303.27999999999997</v>
          </cell>
          <cell r="Q908">
            <v>270.3</v>
          </cell>
          <cell r="R908">
            <v>305.44</v>
          </cell>
          <cell r="S908">
            <v>379.1</v>
          </cell>
          <cell r="T908">
            <v>0.30044843049327363</v>
          </cell>
          <cell r="U908">
            <v>293.57504</v>
          </cell>
          <cell r="V908">
            <v>9.6653448467553693E-2</v>
          </cell>
          <cell r="W908">
            <v>303.27999999999997</v>
          </cell>
          <cell r="X908">
            <v>0.79999999999999993</v>
          </cell>
          <cell r="AA908">
            <v>367</v>
          </cell>
          <cell r="AB908">
            <v>304</v>
          </cell>
          <cell r="AC908">
            <v>337</v>
          </cell>
          <cell r="AD908">
            <v>361</v>
          </cell>
          <cell r="AE908">
            <v>374.42</v>
          </cell>
          <cell r="AF908">
            <v>0.19000053415950013</v>
          </cell>
          <cell r="AG908">
            <v>0.29170450296458528</v>
          </cell>
          <cell r="AH908">
            <v>417</v>
          </cell>
          <cell r="AI908">
            <v>459</v>
          </cell>
          <cell r="AJ908">
            <v>0.33925925925925932</v>
          </cell>
          <cell r="AK908">
            <v>500.5</v>
          </cell>
          <cell r="AL908">
            <v>542</v>
          </cell>
          <cell r="AM908">
            <v>0.44044280442804434</v>
          </cell>
          <cell r="AN908">
            <v>606</v>
          </cell>
          <cell r="AO908">
            <v>670</v>
          </cell>
          <cell r="AP908">
            <v>734</v>
          </cell>
          <cell r="AQ908">
            <v>0</v>
          </cell>
          <cell r="AS908">
            <v>798</v>
          </cell>
        </row>
        <row r="909">
          <cell r="B909" t="str">
            <v>AC</v>
          </cell>
          <cell r="C909" t="str">
            <v>IMP</v>
          </cell>
          <cell r="D909" t="str">
            <v>BT</v>
          </cell>
          <cell r="E909" t="str">
            <v>08</v>
          </cell>
          <cell r="F909">
            <v>40056</v>
          </cell>
          <cell r="G909">
            <v>40056</v>
          </cell>
          <cell r="H909" t="str">
            <v>A0HRWY1</v>
          </cell>
          <cell r="I909" t="str">
            <v>6KMFS527_N</v>
          </cell>
          <cell r="K909" t="str">
            <v>FS-527 Floor Finisher</v>
          </cell>
          <cell r="L909">
            <v>1750</v>
          </cell>
          <cell r="M909">
            <v>638</v>
          </cell>
          <cell r="N909">
            <v>663.52</v>
          </cell>
          <cell r="O909">
            <v>0.13873312564901349</v>
          </cell>
          <cell r="P909">
            <v>770.4</v>
          </cell>
          <cell r="Q909">
            <v>676.28</v>
          </cell>
          <cell r="R909">
            <v>764.2</v>
          </cell>
          <cell r="S909">
            <v>963</v>
          </cell>
          <cell r="T909">
            <v>0.31098650051921084</v>
          </cell>
          <cell r="U909">
            <v>745.74720000000002</v>
          </cell>
          <cell r="V909">
            <v>0.11026149343906358</v>
          </cell>
          <cell r="W909">
            <v>770.4</v>
          </cell>
          <cell r="X909">
            <v>0.79999999999999993</v>
          </cell>
          <cell r="AA909">
            <v>932</v>
          </cell>
          <cell r="AB909">
            <v>771</v>
          </cell>
          <cell r="AC909">
            <v>856</v>
          </cell>
          <cell r="AD909">
            <v>916</v>
          </cell>
          <cell r="AE909">
            <v>951.11</v>
          </cell>
          <cell r="AF909">
            <v>0.18999905373721235</v>
          </cell>
          <cell r="AG909">
            <v>0.3023730167909075</v>
          </cell>
          <cell r="AH909">
            <v>1058</v>
          </cell>
          <cell r="AI909">
            <v>1164</v>
          </cell>
          <cell r="AJ909">
            <v>0.33814432989690724</v>
          </cell>
          <cell r="AK909">
            <v>1270</v>
          </cell>
          <cell r="AL909">
            <v>1376</v>
          </cell>
          <cell r="AM909">
            <v>0.44011627906976747</v>
          </cell>
          <cell r="AN909">
            <v>1469.5</v>
          </cell>
          <cell r="AO909">
            <v>1563</v>
          </cell>
          <cell r="AP909">
            <v>1656.5</v>
          </cell>
          <cell r="AQ909">
            <v>0</v>
          </cell>
          <cell r="AS909">
            <v>1750</v>
          </cell>
        </row>
        <row r="910">
          <cell r="B910" t="str">
            <v>AC</v>
          </cell>
          <cell r="C910" t="str">
            <v>IMP</v>
          </cell>
          <cell r="D910" t="str">
            <v>BT</v>
          </cell>
          <cell r="E910" t="str">
            <v>08</v>
          </cell>
          <cell r="F910">
            <v>40056</v>
          </cell>
          <cell r="G910">
            <v>40056</v>
          </cell>
          <cell r="H910" t="str">
            <v>A0HUWY1</v>
          </cell>
          <cell r="I910" t="str">
            <v>7KMDF617_N</v>
          </cell>
          <cell r="J910" t="str">
            <v>DNU</v>
          </cell>
          <cell r="K910" t="str">
            <v>DF-617 Reversing Automatic Document Feeder</v>
          </cell>
          <cell r="L910">
            <v>1539</v>
          </cell>
          <cell r="M910">
            <v>587</v>
          </cell>
          <cell r="N910">
            <v>610.48</v>
          </cell>
          <cell r="O910">
            <v>0.17413419913419917</v>
          </cell>
          <cell r="P910">
            <v>739.2</v>
          </cell>
          <cell r="Q910">
            <v>622.22</v>
          </cell>
          <cell r="R910">
            <v>703.11</v>
          </cell>
          <cell r="S910">
            <v>924</v>
          </cell>
          <cell r="T910">
            <v>0.33930735930735928</v>
          </cell>
          <cell r="U910">
            <v>715.54559999999992</v>
          </cell>
          <cell r="V910">
            <v>0.14683285034524693</v>
          </cell>
          <cell r="W910">
            <v>739.2</v>
          </cell>
          <cell r="X910">
            <v>0.8</v>
          </cell>
          <cell r="AA910">
            <v>894</v>
          </cell>
          <cell r="AB910">
            <v>740</v>
          </cell>
          <cell r="AC910">
            <v>822</v>
          </cell>
          <cell r="AD910">
            <v>879</v>
          </cell>
          <cell r="AE910">
            <v>912.59</v>
          </cell>
          <cell r="AF910">
            <v>0.189997698857099</v>
          </cell>
          <cell r="AG910">
            <v>0.33104680086347649</v>
          </cell>
          <cell r="AH910">
            <v>1015</v>
          </cell>
          <cell r="AI910">
            <v>1117</v>
          </cell>
          <cell r="AJ910">
            <v>0.33822739480752012</v>
          </cell>
          <cell r="AK910">
            <v>1218.5</v>
          </cell>
          <cell r="AL910">
            <v>1320</v>
          </cell>
          <cell r="AM910">
            <v>0.43999999999999995</v>
          </cell>
          <cell r="AN910">
            <v>1374.75</v>
          </cell>
          <cell r="AO910">
            <v>1429.5</v>
          </cell>
          <cell r="AP910">
            <v>1484.25</v>
          </cell>
          <cell r="AQ910">
            <v>0</v>
          </cell>
          <cell r="AS910">
            <v>1539</v>
          </cell>
        </row>
        <row r="911">
          <cell r="B911" t="str">
            <v>AC</v>
          </cell>
          <cell r="C911" t="str">
            <v>IMP</v>
          </cell>
          <cell r="D911" t="str">
            <v>BT</v>
          </cell>
          <cell r="E911" t="str">
            <v>08</v>
          </cell>
          <cell r="F911">
            <v>40056</v>
          </cell>
          <cell r="G911">
            <v>40056</v>
          </cell>
          <cell r="H911" t="str">
            <v>A0PD015</v>
          </cell>
          <cell r="I911" t="str">
            <v>3KMHLK105</v>
          </cell>
          <cell r="K911" t="str">
            <v>LK-105 (Searchable PDF)</v>
          </cell>
          <cell r="L911">
            <v>630</v>
          </cell>
          <cell r="M911">
            <v>225</v>
          </cell>
          <cell r="N911">
            <v>234</v>
          </cell>
          <cell r="O911">
            <v>0.22619047619047614</v>
          </cell>
          <cell r="P911">
            <v>302.39999999999998</v>
          </cell>
          <cell r="Q911">
            <v>238.5</v>
          </cell>
          <cell r="R911">
            <v>269.51</v>
          </cell>
          <cell r="S911">
            <v>378</v>
          </cell>
          <cell r="T911">
            <v>0.38095238095238093</v>
          </cell>
          <cell r="U911">
            <v>292.72320000000002</v>
          </cell>
          <cell r="V911">
            <v>0.20060999606454158</v>
          </cell>
          <cell r="W911">
            <v>302.39999999999998</v>
          </cell>
          <cell r="X911">
            <v>0.79999999999999993</v>
          </cell>
          <cell r="AA911">
            <v>366</v>
          </cell>
          <cell r="AB911">
            <v>303</v>
          </cell>
          <cell r="AC911">
            <v>336</v>
          </cell>
          <cell r="AD911">
            <v>360</v>
          </cell>
          <cell r="AE911">
            <v>373.33</v>
          </cell>
          <cell r="AF911">
            <v>0.1899927677925696</v>
          </cell>
          <cell r="AG911">
            <v>0.37320868936329787</v>
          </cell>
          <cell r="AH911">
            <v>416</v>
          </cell>
          <cell r="AI911">
            <v>457</v>
          </cell>
          <cell r="AJ911">
            <v>0.33829321663019701</v>
          </cell>
          <cell r="AK911">
            <v>498.5</v>
          </cell>
          <cell r="AL911">
            <v>540</v>
          </cell>
          <cell r="AM911">
            <v>0.44000000000000006</v>
          </cell>
          <cell r="AN911">
            <v>562.5</v>
          </cell>
          <cell r="AO911">
            <v>585</v>
          </cell>
          <cell r="AP911">
            <v>607.5</v>
          </cell>
          <cell r="AQ911">
            <v>0</v>
          </cell>
          <cell r="AS911">
            <v>630</v>
          </cell>
        </row>
        <row r="912">
          <cell r="B912" t="str">
            <v>AC</v>
          </cell>
          <cell r="C912" t="str">
            <v>IMP</v>
          </cell>
          <cell r="D912" t="str">
            <v>BT</v>
          </cell>
          <cell r="E912" t="str">
            <v>08</v>
          </cell>
          <cell r="F912">
            <v>40056</v>
          </cell>
          <cell r="G912">
            <v>40168</v>
          </cell>
          <cell r="H912" t="str">
            <v>A0U7WY1</v>
          </cell>
          <cell r="I912" t="str">
            <v>6KMFS529_N</v>
          </cell>
          <cell r="K912" t="str">
            <v>FS-529 Inner Finisher</v>
          </cell>
          <cell r="L912">
            <v>1200</v>
          </cell>
          <cell r="M912">
            <v>400</v>
          </cell>
          <cell r="N912">
            <v>416</v>
          </cell>
          <cell r="O912">
            <v>0.14754098360655737</v>
          </cell>
          <cell r="P912">
            <v>488</v>
          </cell>
          <cell r="Q912">
            <v>424</v>
          </cell>
          <cell r="R912">
            <v>479.12</v>
          </cell>
          <cell r="S912">
            <v>610</v>
          </cell>
          <cell r="T912">
            <v>0.31803278688524589</v>
          </cell>
          <cell r="U912">
            <v>472.38400000000001</v>
          </cell>
          <cell r="V912">
            <v>0.11936052025470806</v>
          </cell>
          <cell r="W912">
            <v>488</v>
          </cell>
          <cell r="X912">
            <v>0.8</v>
          </cell>
          <cell r="AA912">
            <v>590</v>
          </cell>
          <cell r="AB912">
            <v>488</v>
          </cell>
          <cell r="AC912">
            <v>543</v>
          </cell>
          <cell r="AD912">
            <v>581</v>
          </cell>
          <cell r="AE912">
            <v>602.47</v>
          </cell>
          <cell r="AF912">
            <v>0.19000116188357929</v>
          </cell>
          <cell r="AG912">
            <v>0.30950918717944464</v>
          </cell>
          <cell r="AH912">
            <v>671</v>
          </cell>
          <cell r="AI912">
            <v>738</v>
          </cell>
          <cell r="AJ912">
            <v>0.33875338753387535</v>
          </cell>
          <cell r="AK912">
            <v>805</v>
          </cell>
          <cell r="AL912">
            <v>872</v>
          </cell>
          <cell r="AM912">
            <v>0.44036697247706424</v>
          </cell>
          <cell r="AN912">
            <v>954</v>
          </cell>
          <cell r="AO912">
            <v>1036</v>
          </cell>
          <cell r="AP912">
            <v>1118</v>
          </cell>
          <cell r="AQ912">
            <v>0</v>
          </cell>
          <cell r="AS912">
            <v>1200</v>
          </cell>
        </row>
        <row r="913">
          <cell r="B913" t="str">
            <v>AC</v>
          </cell>
          <cell r="C913" t="str">
            <v>IMP</v>
          </cell>
          <cell r="D913" t="str">
            <v>BT</v>
          </cell>
          <cell r="E913" t="str">
            <v>08</v>
          </cell>
          <cell r="F913">
            <v>40056</v>
          </cell>
          <cell r="G913">
            <v>40056</v>
          </cell>
          <cell r="H913" t="str">
            <v>A0XWW13</v>
          </cell>
          <cell r="I913" t="str">
            <v>6KMPC408_N</v>
          </cell>
          <cell r="K913" t="str">
            <v>PC-408 Paper Feed Cassette (2500)</v>
          </cell>
          <cell r="L913">
            <v>1323</v>
          </cell>
          <cell r="M913">
            <v>408</v>
          </cell>
          <cell r="N913">
            <v>424.32</v>
          </cell>
          <cell r="O913">
            <v>0.330978809283552</v>
          </cell>
          <cell r="P913">
            <v>634.24</v>
          </cell>
          <cell r="Q913">
            <v>432.48</v>
          </cell>
          <cell r="R913">
            <v>488.7</v>
          </cell>
          <cell r="S913">
            <v>792.8</v>
          </cell>
          <cell r="T913">
            <v>0.46478304742684157</v>
          </cell>
          <cell r="U913">
            <v>613.94431999999995</v>
          </cell>
          <cell r="V913">
            <v>0.30886240628466105</v>
          </cell>
          <cell r="W913">
            <v>634.24</v>
          </cell>
          <cell r="X913">
            <v>0.8</v>
          </cell>
          <cell r="AA913">
            <v>767</v>
          </cell>
          <cell r="AB913">
            <v>635</v>
          </cell>
          <cell r="AC913">
            <v>705</v>
          </cell>
          <cell r="AD913">
            <v>754</v>
          </cell>
          <cell r="AE913">
            <v>783.01</v>
          </cell>
          <cell r="AF913">
            <v>0.18999757346649465</v>
          </cell>
          <cell r="AG913">
            <v>0.45809121211734205</v>
          </cell>
          <cell r="AH913">
            <v>872</v>
          </cell>
          <cell r="AI913">
            <v>959</v>
          </cell>
          <cell r="AJ913">
            <v>0.33864442127215849</v>
          </cell>
          <cell r="AK913">
            <v>1046</v>
          </cell>
          <cell r="AL913">
            <v>1133</v>
          </cell>
          <cell r="AM913">
            <v>0.44021182700794348</v>
          </cell>
          <cell r="AN913">
            <v>1180.5</v>
          </cell>
          <cell r="AO913">
            <v>1228</v>
          </cell>
          <cell r="AP913">
            <v>1275.5</v>
          </cell>
          <cell r="AQ913">
            <v>0</v>
          </cell>
          <cell r="AS913">
            <v>1323</v>
          </cell>
        </row>
        <row r="914">
          <cell r="B914" t="str">
            <v>AC</v>
          </cell>
          <cell r="C914" t="str">
            <v>IMP</v>
          </cell>
          <cell r="D914" t="str">
            <v>BT</v>
          </cell>
          <cell r="E914" t="str">
            <v>08</v>
          </cell>
          <cell r="F914">
            <v>40056</v>
          </cell>
          <cell r="G914">
            <v>40056</v>
          </cell>
          <cell r="H914" t="str">
            <v>A0XWWY1</v>
          </cell>
          <cell r="I914" t="str">
            <v>6KMPC107_N</v>
          </cell>
          <cell r="J914" t="str">
            <v>x</v>
          </cell>
          <cell r="K914" t="str">
            <v>PC-107 Paper Feed Cassette (500x1)</v>
          </cell>
          <cell r="L914">
            <v>861</v>
          </cell>
          <cell r="M914">
            <v>286</v>
          </cell>
          <cell r="N914">
            <v>297.44</v>
          </cell>
          <cell r="O914">
            <v>0.27735665694849371</v>
          </cell>
          <cell r="P914">
            <v>411.6</v>
          </cell>
          <cell r="Q914">
            <v>303.16000000000003</v>
          </cell>
          <cell r="R914">
            <v>342.57</v>
          </cell>
          <cell r="S914">
            <v>514.5</v>
          </cell>
          <cell r="T914">
            <v>0.42188532555879493</v>
          </cell>
          <cell r="U914">
            <v>398.42879999999997</v>
          </cell>
          <cell r="V914">
            <v>0.25346762081455954</v>
          </cell>
          <cell r="W914">
            <v>411.6</v>
          </cell>
          <cell r="X914">
            <v>0.8</v>
          </cell>
          <cell r="AA914">
            <v>498</v>
          </cell>
          <cell r="AB914">
            <v>412</v>
          </cell>
          <cell r="AC914">
            <v>458</v>
          </cell>
          <cell r="AD914">
            <v>490</v>
          </cell>
          <cell r="AE914">
            <v>508.15</v>
          </cell>
          <cell r="AF914">
            <v>0.19000295188428606</v>
          </cell>
          <cell r="AG914">
            <v>0.41466102528780868</v>
          </cell>
          <cell r="AH914">
            <v>566</v>
          </cell>
          <cell r="AI914">
            <v>622</v>
          </cell>
          <cell r="AJ914">
            <v>0.33826366559485527</v>
          </cell>
          <cell r="AK914">
            <v>678.5</v>
          </cell>
          <cell r="AL914">
            <v>735</v>
          </cell>
          <cell r="AM914">
            <v>0.43999999999999995</v>
          </cell>
          <cell r="AN914">
            <v>766.5</v>
          </cell>
          <cell r="AO914">
            <v>798</v>
          </cell>
          <cell r="AP914">
            <v>829.5</v>
          </cell>
          <cell r="AQ914">
            <v>0</v>
          </cell>
          <cell r="AS914">
            <v>861</v>
          </cell>
        </row>
        <row r="915">
          <cell r="B915" t="str">
            <v>AC</v>
          </cell>
          <cell r="C915" t="str">
            <v>IMP</v>
          </cell>
          <cell r="D915" t="str">
            <v>BT</v>
          </cell>
          <cell r="E915" t="str">
            <v>08</v>
          </cell>
          <cell r="F915">
            <v>40056</v>
          </cell>
          <cell r="G915">
            <v>40056</v>
          </cell>
          <cell r="H915" t="str">
            <v>A0XWWY2</v>
          </cell>
          <cell r="I915" t="str">
            <v>6KMPC207_N</v>
          </cell>
          <cell r="K915" t="str">
            <v>PC-207 Paper Feed Cassette (500x2)</v>
          </cell>
          <cell r="L915">
            <v>1124</v>
          </cell>
          <cell r="M915">
            <v>408</v>
          </cell>
          <cell r="N915">
            <v>424.32</v>
          </cell>
          <cell r="O915">
            <v>0.21071428571428577</v>
          </cell>
          <cell r="P915">
            <v>537.6</v>
          </cell>
          <cell r="Q915">
            <v>432.48</v>
          </cell>
          <cell r="R915">
            <v>488.7</v>
          </cell>
          <cell r="S915">
            <v>672</v>
          </cell>
          <cell r="T915">
            <v>0.36857142857142861</v>
          </cell>
          <cell r="U915">
            <v>520.39679999999998</v>
          </cell>
          <cell r="V915">
            <v>0.18462219598583235</v>
          </cell>
          <cell r="W915">
            <v>537.6</v>
          </cell>
          <cell r="X915">
            <v>0.8</v>
          </cell>
          <cell r="Y915">
            <v>400</v>
          </cell>
          <cell r="Z915">
            <v>200</v>
          </cell>
          <cell r="AA915">
            <v>650</v>
          </cell>
          <cell r="AB915">
            <v>538</v>
          </cell>
          <cell r="AC915">
            <v>598</v>
          </cell>
          <cell r="AD915">
            <v>640</v>
          </cell>
          <cell r="AE915">
            <v>663.7</v>
          </cell>
          <cell r="AF915">
            <v>0.18999547988549045</v>
          </cell>
          <cell r="AG915">
            <v>0.36067500376676215</v>
          </cell>
          <cell r="AH915">
            <v>738</v>
          </cell>
          <cell r="AI915">
            <v>812</v>
          </cell>
          <cell r="AJ915">
            <v>0.33793103448275857</v>
          </cell>
          <cell r="AK915">
            <v>886</v>
          </cell>
          <cell r="AL915">
            <v>960</v>
          </cell>
          <cell r="AM915">
            <v>0.44</v>
          </cell>
          <cell r="AN915">
            <v>1001</v>
          </cell>
          <cell r="AO915">
            <v>1042</v>
          </cell>
          <cell r="AP915">
            <v>1083</v>
          </cell>
          <cell r="AQ915">
            <v>0</v>
          </cell>
          <cell r="AS915">
            <v>1124</v>
          </cell>
        </row>
        <row r="916">
          <cell r="B916" t="str">
            <v>AC</v>
          </cell>
          <cell r="C916" t="str">
            <v>IMP</v>
          </cell>
          <cell r="D916" t="str">
            <v>BT</v>
          </cell>
          <cell r="E916" t="str">
            <v>08</v>
          </cell>
          <cell r="F916">
            <v>40056</v>
          </cell>
          <cell r="G916">
            <v>40056</v>
          </cell>
          <cell r="H916" t="str">
            <v>A0XWWY4</v>
          </cell>
          <cell r="I916" t="str">
            <v>6KMDK507_N</v>
          </cell>
          <cell r="K916" t="str">
            <v>DK-507 Copy Desk</v>
          </cell>
          <cell r="L916">
            <v>209</v>
          </cell>
          <cell r="M916">
            <v>82</v>
          </cell>
          <cell r="N916">
            <v>85.28</v>
          </cell>
          <cell r="O916">
            <v>0.15059760956175303</v>
          </cell>
          <cell r="P916">
            <v>100.4</v>
          </cell>
          <cell r="Q916">
            <v>86.92</v>
          </cell>
          <cell r="R916">
            <v>98.22</v>
          </cell>
          <cell r="S916">
            <v>125.5</v>
          </cell>
          <cell r="T916">
            <v>0.32047808764940239</v>
          </cell>
          <cell r="U916">
            <v>97.18719999999999</v>
          </cell>
          <cell r="V916">
            <v>0.12251819169602571</v>
          </cell>
          <cell r="W916">
            <v>100.4</v>
          </cell>
          <cell r="X916">
            <v>0.8</v>
          </cell>
          <cell r="AA916">
            <v>121</v>
          </cell>
          <cell r="AB916">
            <v>101</v>
          </cell>
          <cell r="AC916">
            <v>112</v>
          </cell>
          <cell r="AD916">
            <v>120</v>
          </cell>
          <cell r="AE916">
            <v>123.95</v>
          </cell>
          <cell r="AF916">
            <v>0.18999596611536906</v>
          </cell>
          <cell r="AG916">
            <v>0.31198063735377168</v>
          </cell>
          <cell r="AH916">
            <v>138</v>
          </cell>
          <cell r="AI916">
            <v>152</v>
          </cell>
          <cell r="AJ916">
            <v>0.33947368421052626</v>
          </cell>
          <cell r="AK916">
            <v>166</v>
          </cell>
          <cell r="AL916">
            <v>180</v>
          </cell>
          <cell r="AM916">
            <v>0.44222222222222218</v>
          </cell>
          <cell r="AN916">
            <v>187.25</v>
          </cell>
          <cell r="AO916">
            <v>194.5</v>
          </cell>
          <cell r="AP916">
            <v>201.75</v>
          </cell>
          <cell r="AQ916">
            <v>0</v>
          </cell>
          <cell r="AS916">
            <v>209</v>
          </cell>
        </row>
        <row r="917">
          <cell r="B917" t="str">
            <v>AC</v>
          </cell>
          <cell r="C917" t="str">
            <v>IMP</v>
          </cell>
          <cell r="D917" t="str">
            <v>BT</v>
          </cell>
          <cell r="E917" t="str">
            <v>08</v>
          </cell>
          <cell r="F917">
            <v>40056</v>
          </cell>
          <cell r="G917">
            <v>40056</v>
          </cell>
          <cell r="H917" t="str">
            <v>A10DWY1</v>
          </cell>
          <cell r="I917" t="str">
            <v>6KMSD509_N</v>
          </cell>
          <cell r="K917" t="str">
            <v>SD-509 Saddle Stitcher Kit for FS-527</v>
          </cell>
          <cell r="L917">
            <v>1355</v>
          </cell>
          <cell r="M917">
            <v>507</v>
          </cell>
          <cell r="N917">
            <v>527.28</v>
          </cell>
          <cell r="O917">
            <v>0.12921125644074516</v>
          </cell>
          <cell r="P917">
            <v>605.52</v>
          </cell>
          <cell r="Q917">
            <v>537.41999999999996</v>
          </cell>
          <cell r="R917">
            <v>607.28</v>
          </cell>
          <cell r="S917">
            <v>756.9</v>
          </cell>
          <cell r="T917">
            <v>0.30336900515259613</v>
          </cell>
          <cell r="U917">
            <v>586.14335999999992</v>
          </cell>
          <cell r="V917">
            <v>0.10042485169498457</v>
          </cell>
          <cell r="W917">
            <v>605.52</v>
          </cell>
          <cell r="X917">
            <v>0.8</v>
          </cell>
          <cell r="AA917">
            <v>733</v>
          </cell>
          <cell r="AB917">
            <v>606</v>
          </cell>
          <cell r="AC917">
            <v>673</v>
          </cell>
          <cell r="AD917">
            <v>720</v>
          </cell>
          <cell r="AE917">
            <v>747.56</v>
          </cell>
          <cell r="AF917">
            <v>0.19000481566696983</v>
          </cell>
          <cell r="AG917">
            <v>0.29466531114559363</v>
          </cell>
          <cell r="AH917">
            <v>832</v>
          </cell>
          <cell r="AI917">
            <v>915</v>
          </cell>
          <cell r="AJ917">
            <v>0.33822950819672132</v>
          </cell>
          <cell r="AK917">
            <v>998.5</v>
          </cell>
          <cell r="AL917">
            <v>1082</v>
          </cell>
          <cell r="AM917">
            <v>0.44036968576709801</v>
          </cell>
          <cell r="AN917">
            <v>1150.25</v>
          </cell>
          <cell r="AO917">
            <v>1218.5</v>
          </cell>
          <cell r="AP917">
            <v>1286.75</v>
          </cell>
          <cell r="AQ917">
            <v>0</v>
          </cell>
          <cell r="AS917">
            <v>1355</v>
          </cell>
        </row>
        <row r="918">
          <cell r="B918" t="str">
            <v>AC</v>
          </cell>
          <cell r="C918" t="str">
            <v>IMP</v>
          </cell>
          <cell r="D918" t="str">
            <v>BT</v>
          </cell>
          <cell r="E918" t="str">
            <v>08</v>
          </cell>
          <cell r="F918">
            <v>40056</v>
          </cell>
          <cell r="G918">
            <v>40056</v>
          </cell>
          <cell r="H918" t="str">
            <v>A10EW11</v>
          </cell>
          <cell r="I918" t="str">
            <v>3KMKPK517</v>
          </cell>
          <cell r="K918" t="str">
            <v>PK-517 Punch Kit for FS-527</v>
          </cell>
          <cell r="L918">
            <v>552</v>
          </cell>
          <cell r="M918">
            <v>179</v>
          </cell>
          <cell r="N918">
            <v>186.16</v>
          </cell>
          <cell r="O918">
            <v>0.29655380894800482</v>
          </cell>
          <cell r="P918">
            <v>264.64</v>
          </cell>
          <cell r="Q918">
            <v>189.74</v>
          </cell>
          <cell r="R918">
            <v>214.41</v>
          </cell>
          <cell r="S918">
            <v>330.8</v>
          </cell>
          <cell r="T918">
            <v>0.4372430471584039</v>
          </cell>
          <cell r="U918">
            <v>256.17151999999999</v>
          </cell>
          <cell r="V918">
            <v>0.27329938940909587</v>
          </cell>
          <cell r="W918">
            <v>264.64</v>
          </cell>
          <cell r="X918">
            <v>0.79999999999999993</v>
          </cell>
          <cell r="AA918">
            <v>320</v>
          </cell>
          <cell r="AB918">
            <v>265</v>
          </cell>
          <cell r="AC918">
            <v>295</v>
          </cell>
          <cell r="AD918">
            <v>315</v>
          </cell>
          <cell r="AE918">
            <v>326.72000000000003</v>
          </cell>
          <cell r="AF918">
            <v>0.19000979431929491</v>
          </cell>
          <cell r="AG918">
            <v>0.43021547502448587</v>
          </cell>
          <cell r="AH918">
            <v>364</v>
          </cell>
          <cell r="AI918">
            <v>400</v>
          </cell>
          <cell r="AJ918">
            <v>0.33840000000000003</v>
          </cell>
          <cell r="AK918">
            <v>436.5</v>
          </cell>
          <cell r="AL918">
            <v>473</v>
          </cell>
          <cell r="AM918">
            <v>0.44050739957716706</v>
          </cell>
          <cell r="AN918">
            <v>492.75</v>
          </cell>
          <cell r="AO918">
            <v>512.5</v>
          </cell>
          <cell r="AP918">
            <v>532.25</v>
          </cell>
          <cell r="AQ918">
            <v>0</v>
          </cell>
          <cell r="AS918">
            <v>552</v>
          </cell>
        </row>
        <row r="919">
          <cell r="B919" t="str">
            <v>AC</v>
          </cell>
          <cell r="C919" t="str">
            <v>IMP</v>
          </cell>
          <cell r="D919" t="str">
            <v>BT</v>
          </cell>
          <cell r="E919" t="str">
            <v>08</v>
          </cell>
          <cell r="F919">
            <v>40056</v>
          </cell>
          <cell r="G919">
            <v>40056</v>
          </cell>
          <cell r="H919" t="str">
            <v>A10FWY1</v>
          </cell>
          <cell r="I919" t="str">
            <v>3KMHJS603</v>
          </cell>
          <cell r="K919" t="str">
            <v>JS-603 Job Separator Tray (3rd Output Tray) for FS-527</v>
          </cell>
          <cell r="L919">
            <v>231</v>
          </cell>
          <cell r="M919">
            <v>77</v>
          </cell>
          <cell r="N919">
            <v>80.08</v>
          </cell>
          <cell r="O919">
            <v>0.27777777777777779</v>
          </cell>
          <cell r="P919">
            <v>110.88</v>
          </cell>
          <cell r="Q919">
            <v>81.62</v>
          </cell>
          <cell r="R919">
            <v>92.23</v>
          </cell>
          <cell r="S919">
            <v>138.6</v>
          </cell>
          <cell r="T919">
            <v>0.42222222222222222</v>
          </cell>
          <cell r="U919">
            <v>107.33183999999999</v>
          </cell>
          <cell r="V919">
            <v>0.253902662993572</v>
          </cell>
          <cell r="W919">
            <v>110.88</v>
          </cell>
          <cell r="X919">
            <v>0.8</v>
          </cell>
          <cell r="AA919">
            <v>134</v>
          </cell>
          <cell r="AB919">
            <v>111</v>
          </cell>
          <cell r="AC919">
            <v>124</v>
          </cell>
          <cell r="AD919">
            <v>133</v>
          </cell>
          <cell r="AE919">
            <v>136.88999999999999</v>
          </cell>
          <cell r="AF919">
            <v>0.19000657462195919</v>
          </cell>
          <cell r="AG919">
            <v>0.41500474833808165</v>
          </cell>
          <cell r="AH919">
            <v>153</v>
          </cell>
          <cell r="AI919">
            <v>168</v>
          </cell>
          <cell r="AJ919">
            <v>0.34</v>
          </cell>
          <cell r="AK919">
            <v>183</v>
          </cell>
          <cell r="AL919">
            <v>198</v>
          </cell>
          <cell r="AM919">
            <v>0.44</v>
          </cell>
          <cell r="AN919">
            <v>206.25</v>
          </cell>
          <cell r="AO919">
            <v>214.5</v>
          </cell>
          <cell r="AP919">
            <v>222.75</v>
          </cell>
          <cell r="AQ919">
            <v>0</v>
          </cell>
          <cell r="AS919">
            <v>231</v>
          </cell>
        </row>
        <row r="920">
          <cell r="B920" t="str">
            <v>AC</v>
          </cell>
          <cell r="C920" t="str">
            <v>IMP</v>
          </cell>
          <cell r="D920" t="str">
            <v>BT</v>
          </cell>
          <cell r="E920" t="str">
            <v>08</v>
          </cell>
          <cell r="F920">
            <v>40056</v>
          </cell>
          <cell r="G920">
            <v>40056</v>
          </cell>
          <cell r="H920" t="str">
            <v>A128WY1</v>
          </cell>
          <cell r="I920" t="str">
            <v>3KMHOC509</v>
          </cell>
          <cell r="J920" t="str">
            <v>KHB694045A00</v>
          </cell>
          <cell r="K920" t="str">
            <v>OC-509 Original Cover</v>
          </cell>
          <cell r="L920">
            <v>89</v>
          </cell>
          <cell r="M920">
            <v>29</v>
          </cell>
          <cell r="N920">
            <v>30.16</v>
          </cell>
          <cell r="O920">
            <v>0.17864923747276684</v>
          </cell>
          <cell r="P920">
            <v>36.72</v>
          </cell>
          <cell r="Q920">
            <v>30.74</v>
          </cell>
          <cell r="R920">
            <v>34.74</v>
          </cell>
          <cell r="S920">
            <v>45.9</v>
          </cell>
          <cell r="T920">
            <v>0.34291938997821347</v>
          </cell>
          <cell r="U920">
            <v>35.544959999999996</v>
          </cell>
          <cell r="V920">
            <v>0.15149714614955248</v>
          </cell>
          <cell r="W920">
            <v>36.72</v>
          </cell>
          <cell r="X920">
            <v>0.8</v>
          </cell>
          <cell r="AA920">
            <v>44</v>
          </cell>
          <cell r="AB920">
            <v>37</v>
          </cell>
          <cell r="AC920">
            <v>41</v>
          </cell>
          <cell r="AD920">
            <v>44</v>
          </cell>
          <cell r="AE920">
            <v>45.33</v>
          </cell>
          <cell r="AF920">
            <v>0.18994043679682329</v>
          </cell>
          <cell r="AG920">
            <v>0.33465696007059342</v>
          </cell>
          <cell r="AH920">
            <v>51</v>
          </cell>
          <cell r="AI920">
            <v>56</v>
          </cell>
          <cell r="AJ920">
            <v>0.34428571428571431</v>
          </cell>
          <cell r="AK920">
            <v>61</v>
          </cell>
          <cell r="AL920">
            <v>66</v>
          </cell>
          <cell r="AM920">
            <v>0.44363636363636366</v>
          </cell>
          <cell r="AN920">
            <v>71.75</v>
          </cell>
          <cell r="AO920">
            <v>77.5</v>
          </cell>
          <cell r="AP920">
            <v>83.25</v>
          </cell>
          <cell r="AQ920">
            <v>0</v>
          </cell>
          <cell r="AS920">
            <v>89</v>
          </cell>
        </row>
        <row r="921">
          <cell r="B921" t="str">
            <v>AC</v>
          </cell>
          <cell r="C921" t="str">
            <v>IMP</v>
          </cell>
          <cell r="D921" t="str">
            <v>BT</v>
          </cell>
          <cell r="E921" t="str">
            <v>08</v>
          </cell>
          <cell r="F921">
            <v>40056</v>
          </cell>
          <cell r="G921">
            <v>40056</v>
          </cell>
          <cell r="H921" t="str">
            <v>A163WY1</v>
          </cell>
          <cell r="I921" t="str">
            <v>3KMHWT507</v>
          </cell>
          <cell r="J921" t="str">
            <v>KCA00141</v>
          </cell>
          <cell r="K921" t="str">
            <v>WT-507 Working Table (Side Panel Kit)</v>
          </cell>
          <cell r="L921">
            <v>1340</v>
          </cell>
          <cell r="M921">
            <v>500</v>
          </cell>
          <cell r="N921">
            <v>520</v>
          </cell>
          <cell r="O921">
            <v>0.1875</v>
          </cell>
          <cell r="P921">
            <v>640</v>
          </cell>
          <cell r="Q921">
            <v>530</v>
          </cell>
          <cell r="R921">
            <v>598.9</v>
          </cell>
          <cell r="S921">
            <v>800</v>
          </cell>
          <cell r="T921">
            <v>0.35</v>
          </cell>
          <cell r="U921">
            <v>619.52</v>
          </cell>
          <cell r="V921">
            <v>0.16064049586776857</v>
          </cell>
          <cell r="W921">
            <v>640</v>
          </cell>
          <cell r="X921">
            <v>0.8</v>
          </cell>
          <cell r="AA921">
            <v>774</v>
          </cell>
          <cell r="AB921">
            <v>640</v>
          </cell>
          <cell r="AC921">
            <v>712</v>
          </cell>
          <cell r="AD921">
            <v>761</v>
          </cell>
          <cell r="AE921">
            <v>790.12</v>
          </cell>
          <cell r="AF921">
            <v>0.18999645623449604</v>
          </cell>
          <cell r="AG921">
            <v>0.34187212069052803</v>
          </cell>
          <cell r="AH921">
            <v>879</v>
          </cell>
          <cell r="AI921">
            <v>967</v>
          </cell>
          <cell r="AJ921">
            <v>0.33815925542916236</v>
          </cell>
          <cell r="AK921">
            <v>1055</v>
          </cell>
          <cell r="AL921">
            <v>1143</v>
          </cell>
          <cell r="AM921">
            <v>0.44006999125109364</v>
          </cell>
          <cell r="AN921">
            <v>1192.25</v>
          </cell>
          <cell r="AO921">
            <v>1241.5</v>
          </cell>
          <cell r="AP921">
            <v>1290.75</v>
          </cell>
          <cell r="AQ921">
            <v>0</v>
          </cell>
          <cell r="AS921">
            <v>1340</v>
          </cell>
        </row>
        <row r="922">
          <cell r="B922" t="str">
            <v>AC</v>
          </cell>
          <cell r="C922" t="str">
            <v>IMP</v>
          </cell>
          <cell r="D922" t="str">
            <v>BT</v>
          </cell>
          <cell r="E922" t="str">
            <v>08</v>
          </cell>
          <cell r="F922">
            <v>40064</v>
          </cell>
          <cell r="G922">
            <v>40070</v>
          </cell>
          <cell r="H922" t="str">
            <v>A0D5WY1</v>
          </cell>
          <cell r="I922" t="str">
            <v>3KMHJS504</v>
          </cell>
          <cell r="J922" t="str">
            <v>KCA00142</v>
          </cell>
          <cell r="K922" t="str">
            <v>JS-504 Job Separator Tray</v>
          </cell>
          <cell r="L922">
            <v>472</v>
          </cell>
          <cell r="M922">
            <v>153</v>
          </cell>
          <cell r="N922">
            <v>159.12</v>
          </cell>
          <cell r="O922">
            <v>0.19310344827586201</v>
          </cell>
          <cell r="P922">
            <v>197.2</v>
          </cell>
          <cell r="Q922">
            <v>162.18</v>
          </cell>
          <cell r="R922">
            <v>28194.99</v>
          </cell>
          <cell r="S922">
            <v>246.5</v>
          </cell>
          <cell r="T922">
            <v>0.35448275862068962</v>
          </cell>
          <cell r="U922">
            <v>190.8896</v>
          </cell>
          <cell r="V922">
            <v>0.16642918210316326</v>
          </cell>
          <cell r="W922">
            <v>197.2</v>
          </cell>
          <cell r="X922">
            <v>0.79999999999999993</v>
          </cell>
          <cell r="AA922">
            <v>239</v>
          </cell>
          <cell r="AB922">
            <v>198</v>
          </cell>
          <cell r="AC922">
            <v>220</v>
          </cell>
          <cell r="AD922">
            <v>235</v>
          </cell>
          <cell r="AE922">
            <v>243.46</v>
          </cell>
          <cell r="AF922">
            <v>0.19001067937238159</v>
          </cell>
          <cell r="AG922">
            <v>0.3464224102521975</v>
          </cell>
          <cell r="AH922">
            <v>272</v>
          </cell>
          <cell r="AI922">
            <v>299</v>
          </cell>
          <cell r="AJ922">
            <v>0.34046822742474919</v>
          </cell>
          <cell r="AK922">
            <v>326</v>
          </cell>
          <cell r="AL922">
            <v>353</v>
          </cell>
          <cell r="AM922">
            <v>0.44135977337110482</v>
          </cell>
          <cell r="AN922">
            <v>382.75</v>
          </cell>
          <cell r="AO922">
            <v>412.5</v>
          </cell>
          <cell r="AP922">
            <v>442.25</v>
          </cell>
          <cell r="AQ922">
            <v>0</v>
          </cell>
          <cell r="AS922">
            <v>472</v>
          </cell>
        </row>
        <row r="923">
          <cell r="B923" t="str">
            <v>AC</v>
          </cell>
          <cell r="C923" t="str">
            <v>IMP</v>
          </cell>
          <cell r="D923" t="str">
            <v>BT</v>
          </cell>
          <cell r="E923" t="str">
            <v>p3</v>
          </cell>
          <cell r="F923">
            <v>40098</v>
          </cell>
          <cell r="G923">
            <v>40098</v>
          </cell>
          <cell r="H923" t="str">
            <v>960839</v>
          </cell>
          <cell r="I923" t="str">
            <v>6MIDSLS_N</v>
          </cell>
          <cell r="J923">
            <v>504285</v>
          </cell>
          <cell r="K923" t="str">
            <v>Fiery X3e+ Print Controller</v>
          </cell>
          <cell r="L923">
            <v>3950</v>
          </cell>
          <cell r="M923">
            <v>1950</v>
          </cell>
          <cell r="N923">
            <v>2028</v>
          </cell>
          <cell r="O923">
            <v>-0.17647058823529416</v>
          </cell>
          <cell r="P923">
            <v>1723.8</v>
          </cell>
          <cell r="Q923">
            <v>2067</v>
          </cell>
          <cell r="R923">
            <v>2335.71</v>
          </cell>
          <cell r="T923" t="e">
            <v>#DIV/0!</v>
          </cell>
          <cell r="U923">
            <v>2028</v>
          </cell>
          <cell r="V923">
            <v>0</v>
          </cell>
          <cell r="W923">
            <v>1723.8</v>
          </cell>
          <cell r="X923" t="e">
            <v>#DIV/0!</v>
          </cell>
          <cell r="AA923">
            <v>2086</v>
          </cell>
          <cell r="AB923">
            <v>1724</v>
          </cell>
          <cell r="AC923">
            <v>1916</v>
          </cell>
          <cell r="AD923">
            <v>2023</v>
          </cell>
          <cell r="AE923">
            <v>2128.15</v>
          </cell>
          <cell r="AF923">
            <v>0.19000070483753501</v>
          </cell>
          <cell r="AG923">
            <v>4.7059652750041155E-2</v>
          </cell>
          <cell r="AH923">
            <v>2172</v>
          </cell>
          <cell r="AI923">
            <v>2214</v>
          </cell>
          <cell r="AJ923">
            <v>0.22140921409214095</v>
          </cell>
          <cell r="AK923">
            <v>2256.5</v>
          </cell>
          <cell r="AL923">
            <v>2299</v>
          </cell>
          <cell r="AM923">
            <v>0.250195737277077</v>
          </cell>
          <cell r="AN923">
            <v>2622.06</v>
          </cell>
          <cell r="AO923">
            <v>2945.12</v>
          </cell>
          <cell r="AP923">
            <v>3268.18</v>
          </cell>
          <cell r="AQ923">
            <v>0</v>
          </cell>
          <cell r="AS923">
            <v>3950</v>
          </cell>
        </row>
        <row r="924">
          <cell r="B924" t="str">
            <v>AC</v>
          </cell>
          <cell r="C924" t="str">
            <v>IMP</v>
          </cell>
          <cell r="D924" t="str">
            <v>BT</v>
          </cell>
          <cell r="E924" t="str">
            <v>P3</v>
          </cell>
          <cell r="F924">
            <v>40098</v>
          </cell>
          <cell r="G924">
            <v>40098</v>
          </cell>
          <cell r="H924" t="str">
            <v>960840</v>
          </cell>
          <cell r="I924" t="str">
            <v>3MIHROLLCART_</v>
          </cell>
          <cell r="J924">
            <v>80004101</v>
          </cell>
          <cell r="K924" t="str">
            <v>Fiery X3e I/F Kit (VI-635)</v>
          </cell>
          <cell r="L924">
            <v>265</v>
          </cell>
          <cell r="M924">
            <v>126.08</v>
          </cell>
          <cell r="N924">
            <v>131.1232</v>
          </cell>
          <cell r="O924">
            <v>-0.17647058823529416</v>
          </cell>
          <cell r="P924">
            <v>1091.8</v>
          </cell>
          <cell r="Q924">
            <v>1123.5999999999999</v>
          </cell>
          <cell r="R924">
            <v>1213.49</v>
          </cell>
          <cell r="T924" t="e">
            <v>#DIV/0!</v>
          </cell>
          <cell r="W924">
            <v>111.45471999999999</v>
          </cell>
          <cell r="X924" t="e">
            <v>#DIV/0!</v>
          </cell>
          <cell r="AA924">
            <v>135</v>
          </cell>
          <cell r="AB924">
            <v>112</v>
          </cell>
          <cell r="AC924">
            <v>124</v>
          </cell>
          <cell r="AD924">
            <v>131</v>
          </cell>
          <cell r="AE924">
            <v>137.6</v>
          </cell>
          <cell r="AF924">
            <v>0.19000930232558141</v>
          </cell>
          <cell r="AG924">
            <v>4.7069767441860449E-2</v>
          </cell>
          <cell r="AH924">
            <v>141</v>
          </cell>
          <cell r="AI924">
            <v>144</v>
          </cell>
          <cell r="AJ924">
            <v>0.22600888888888893</v>
          </cell>
          <cell r="AK924">
            <v>146.5</v>
          </cell>
          <cell r="AL924">
            <v>149</v>
          </cell>
          <cell r="AM924">
            <v>0.25198174496644299</v>
          </cell>
          <cell r="AN924">
            <v>169.8</v>
          </cell>
          <cell r="AO924">
            <v>190.6</v>
          </cell>
          <cell r="AP924">
            <v>211.4</v>
          </cell>
          <cell r="AQ924">
            <v>0</v>
          </cell>
          <cell r="AS924">
            <v>265</v>
          </cell>
        </row>
        <row r="925">
          <cell r="B925" t="str">
            <v>AC</v>
          </cell>
          <cell r="C925" t="str">
            <v>IMP</v>
          </cell>
          <cell r="D925" t="str">
            <v>BT</v>
          </cell>
          <cell r="E925" t="str">
            <v>P3</v>
          </cell>
          <cell r="F925">
            <v>40098</v>
          </cell>
          <cell r="G925">
            <v>40098</v>
          </cell>
          <cell r="H925" t="str">
            <v>15LS</v>
          </cell>
          <cell r="I925" t="str">
            <v>3MIHPRTREGOPT</v>
          </cell>
          <cell r="J925">
            <v>503235</v>
          </cell>
          <cell r="K925" t="str">
            <v>Fax Unit 220V</v>
          </cell>
          <cell r="L925">
            <v>470</v>
          </cell>
          <cell r="M925">
            <v>393</v>
          </cell>
          <cell r="N925">
            <v>408.72</v>
          </cell>
          <cell r="O925">
            <v>-0.17647058823529407</v>
          </cell>
          <cell r="P925">
            <v>10094</v>
          </cell>
          <cell r="Q925">
            <v>10388</v>
          </cell>
          <cell r="R925">
            <v>11219.04</v>
          </cell>
          <cell r="T925" t="e">
            <v>#DIV/0!</v>
          </cell>
          <cell r="W925">
            <v>347.41200000000003</v>
          </cell>
          <cell r="X925" t="e">
            <v>#DIV/0!</v>
          </cell>
          <cell r="AA925">
            <v>420</v>
          </cell>
          <cell r="AB925">
            <v>348</v>
          </cell>
          <cell r="AC925">
            <v>387</v>
          </cell>
          <cell r="AD925">
            <v>408</v>
          </cell>
          <cell r="AE925">
            <v>428.9</v>
          </cell>
          <cell r="AF925">
            <v>0.18999300536255526</v>
          </cell>
          <cell r="AG925">
            <v>4.7050594544182679E-2</v>
          </cell>
          <cell r="AH925">
            <v>438</v>
          </cell>
          <cell r="AI925">
            <v>447</v>
          </cell>
          <cell r="AJ925">
            <v>0.22279194630872476</v>
          </cell>
          <cell r="AK925">
            <v>455.5</v>
          </cell>
          <cell r="AL925">
            <v>464</v>
          </cell>
          <cell r="AM925">
            <v>0.25126724137931028</v>
          </cell>
          <cell r="AN925">
            <v>465.5</v>
          </cell>
          <cell r="AO925">
            <v>467</v>
          </cell>
          <cell r="AP925">
            <v>468.5</v>
          </cell>
          <cell r="AQ925">
            <v>0</v>
          </cell>
          <cell r="AS925">
            <v>470</v>
          </cell>
        </row>
        <row r="926">
          <cell r="B926" t="str">
            <v>AC</v>
          </cell>
          <cell r="C926" t="str">
            <v>IMP</v>
          </cell>
          <cell r="D926" t="str">
            <v>BT</v>
          </cell>
          <cell r="E926" t="str">
            <v>p3</v>
          </cell>
          <cell r="F926">
            <v>40113</v>
          </cell>
          <cell r="G926">
            <v>40113</v>
          </cell>
          <cell r="H926" t="str">
            <v>1474612</v>
          </cell>
          <cell r="I926" t="str">
            <v>3MIHRUNPERFOPT_</v>
          </cell>
          <cell r="J926">
            <v>503171</v>
          </cell>
          <cell r="K926" t="str">
            <v>Finisher FN-121 for DI5510/7210</v>
          </cell>
          <cell r="L926">
            <v>2850</v>
          </cell>
          <cell r="M926">
            <v>900</v>
          </cell>
          <cell r="N926">
            <v>936</v>
          </cell>
          <cell r="O926">
            <v>-0.17647058823529407</v>
          </cell>
          <cell r="P926">
            <v>795.6</v>
          </cell>
          <cell r="Q926">
            <v>954</v>
          </cell>
          <cell r="R926">
            <v>1078.02</v>
          </cell>
          <cell r="S926">
            <v>1593</v>
          </cell>
          <cell r="T926">
            <v>0.41242937853107342</v>
          </cell>
          <cell r="U926">
            <v>1233.6191999999999</v>
          </cell>
          <cell r="V926">
            <v>0.24125694541719186</v>
          </cell>
          <cell r="W926">
            <v>795.6</v>
          </cell>
          <cell r="X926">
            <v>0.4994350282485876</v>
          </cell>
          <cell r="AA926">
            <v>963</v>
          </cell>
          <cell r="AB926">
            <v>796</v>
          </cell>
          <cell r="AC926">
            <v>884</v>
          </cell>
          <cell r="AD926">
            <v>934</v>
          </cell>
          <cell r="AE926">
            <v>982.22</v>
          </cell>
          <cell r="AF926">
            <v>0.18999816741666836</v>
          </cell>
          <cell r="AG926">
            <v>4.705666754902163E-2</v>
          </cell>
          <cell r="AH926">
            <v>1003</v>
          </cell>
          <cell r="AI926">
            <v>1022</v>
          </cell>
          <cell r="AJ926">
            <v>0.22152641878669274</v>
          </cell>
          <cell r="AK926">
            <v>1041.5</v>
          </cell>
          <cell r="AL926">
            <v>1061</v>
          </cell>
          <cell r="AM926">
            <v>0.25014137606032044</v>
          </cell>
          <cell r="AN926">
            <v>1210.1300000000001</v>
          </cell>
          <cell r="AO926">
            <v>1359.26</v>
          </cell>
          <cell r="AP926">
            <v>1508.39</v>
          </cell>
          <cell r="AQ926">
            <v>0</v>
          </cell>
          <cell r="AS926">
            <v>2850</v>
          </cell>
        </row>
        <row r="927">
          <cell r="B927" t="str">
            <v>AC</v>
          </cell>
          <cell r="C927" t="str">
            <v>IMP</v>
          </cell>
          <cell r="D927" t="str">
            <v>BT</v>
          </cell>
          <cell r="E927" t="str">
            <v>08</v>
          </cell>
          <cell r="F927">
            <v>40122</v>
          </cell>
          <cell r="G927">
            <v>40122</v>
          </cell>
          <cell r="H927" t="str">
            <v>A1AYWY1</v>
          </cell>
          <cell r="I927" t="str">
            <v>3KMKMK724</v>
          </cell>
          <cell r="J927">
            <v>503281</v>
          </cell>
          <cell r="K927" t="str">
            <v>MK-724 Mount Kit</v>
          </cell>
          <cell r="L927">
            <v>1100</v>
          </cell>
          <cell r="M927">
            <v>360</v>
          </cell>
          <cell r="N927">
            <v>374.40000000000003</v>
          </cell>
          <cell r="O927">
            <v>0.125233644859813</v>
          </cell>
          <cell r="P927">
            <v>428</v>
          </cell>
          <cell r="Q927">
            <v>381.6</v>
          </cell>
          <cell r="R927">
            <v>431.21</v>
          </cell>
          <cell r="S927">
            <v>535</v>
          </cell>
          <cell r="T927">
            <v>0.3001869158878504</v>
          </cell>
          <cell r="U927">
            <v>414.30399999999997</v>
          </cell>
          <cell r="V927">
            <v>9.6315748822120809E-2</v>
          </cell>
          <cell r="W927">
            <v>428</v>
          </cell>
          <cell r="X927">
            <v>0.8</v>
          </cell>
          <cell r="AA927">
            <v>518</v>
          </cell>
          <cell r="AB927">
            <v>428</v>
          </cell>
          <cell r="AC927">
            <v>476</v>
          </cell>
          <cell r="AD927">
            <v>509</v>
          </cell>
          <cell r="AE927">
            <v>528.4</v>
          </cell>
          <cell r="AF927">
            <v>0.19000757002271004</v>
          </cell>
          <cell r="AG927">
            <v>0.29144587433762292</v>
          </cell>
          <cell r="AH927">
            <v>588</v>
          </cell>
          <cell r="AI927">
            <v>647</v>
          </cell>
          <cell r="AJ927">
            <v>0.33848531684698607</v>
          </cell>
          <cell r="AK927">
            <v>706</v>
          </cell>
          <cell r="AL927">
            <v>765</v>
          </cell>
          <cell r="AM927">
            <v>0.44052287581699345</v>
          </cell>
          <cell r="AN927">
            <v>848.75</v>
          </cell>
          <cell r="AO927">
            <v>932.5</v>
          </cell>
          <cell r="AP927">
            <v>1016.25</v>
          </cell>
          <cell r="AQ927">
            <v>0</v>
          </cell>
          <cell r="AS927">
            <v>1100</v>
          </cell>
        </row>
        <row r="928">
          <cell r="B928" t="str">
            <v>AC</v>
          </cell>
          <cell r="C928" t="str">
            <v>IMP</v>
          </cell>
          <cell r="D928" t="str">
            <v>BT</v>
          </cell>
          <cell r="E928" t="str">
            <v>P3</v>
          </cell>
          <cell r="F928">
            <v>40199</v>
          </cell>
          <cell r="G928">
            <v>40199</v>
          </cell>
          <cell r="H928" t="str">
            <v>960407  </v>
          </cell>
          <cell r="I928" t="str">
            <v>4KCBWMIFRET45_N</v>
          </cell>
          <cell r="J928" t="str">
            <v>KCBWMIFRET45</v>
          </cell>
          <cell r="K928" t="str">
            <v>FS-112 Finisher (7145)</v>
          </cell>
          <cell r="L928">
            <v>2200</v>
          </cell>
          <cell r="M928">
            <v>657.36</v>
          </cell>
          <cell r="N928">
            <v>683.65440000000001</v>
          </cell>
          <cell r="O928">
            <v>-0.17647058823529421</v>
          </cell>
          <cell r="P928">
            <v>581.10623999999996</v>
          </cell>
          <cell r="Q928">
            <v>696.8</v>
          </cell>
          <cell r="R928">
            <v>787.38</v>
          </cell>
          <cell r="S928">
            <v>1004</v>
          </cell>
          <cell r="T928">
            <v>0.31906932270916333</v>
          </cell>
          <cell r="U928">
            <v>777.49759999999992</v>
          </cell>
          <cell r="V928">
            <v>0.1206990220934443</v>
          </cell>
          <cell r="W928">
            <v>581.10623999999996</v>
          </cell>
          <cell r="X928">
            <v>0.57879107569721111</v>
          </cell>
          <cell r="AA928">
            <v>703</v>
          </cell>
          <cell r="AB928">
            <v>582</v>
          </cell>
          <cell r="AC928">
            <v>646</v>
          </cell>
          <cell r="AD928">
            <v>682</v>
          </cell>
          <cell r="AE928">
            <v>717.42</v>
          </cell>
          <cell r="AF928">
            <v>0.19000551977920885</v>
          </cell>
          <cell r="AG928">
            <v>4.7065317387304441E-2</v>
          </cell>
          <cell r="AH928">
            <v>733</v>
          </cell>
          <cell r="AI928">
            <v>747</v>
          </cell>
          <cell r="AJ928">
            <v>0.22208000000000006</v>
          </cell>
          <cell r="AK928">
            <v>761</v>
          </cell>
          <cell r="AL928">
            <v>775</v>
          </cell>
          <cell r="AM928">
            <v>0.25018549677419361</v>
          </cell>
          <cell r="AN928">
            <v>883.91</v>
          </cell>
          <cell r="AO928">
            <v>992.82</v>
          </cell>
          <cell r="AP928">
            <v>1101.73</v>
          </cell>
          <cell r="AQ928">
            <v>0</v>
          </cell>
          <cell r="AS928">
            <v>2200</v>
          </cell>
        </row>
        <row r="929">
          <cell r="B929" t="str">
            <v>AC</v>
          </cell>
          <cell r="C929" t="str">
            <v>IMP</v>
          </cell>
          <cell r="D929" t="str">
            <v>BT</v>
          </cell>
          <cell r="E929" t="str">
            <v>08</v>
          </cell>
          <cell r="F929">
            <v>40200</v>
          </cell>
          <cell r="G929">
            <v>40200</v>
          </cell>
          <cell r="H929" t="str">
            <v>7640008438</v>
          </cell>
          <cell r="I929" t="str">
            <v>3KMB7640008438</v>
          </cell>
          <cell r="J929" t="str">
            <v>651-00642F</v>
          </cell>
          <cell r="K929" t="str">
            <v>Creo ProKit</v>
          </cell>
          <cell r="L929">
            <v>3950</v>
          </cell>
          <cell r="M929">
            <v>2172.5</v>
          </cell>
          <cell r="N929">
            <v>2259.4</v>
          </cell>
          <cell r="O929">
            <v>9.0418679549114298E-2</v>
          </cell>
          <cell r="P929">
            <v>2484</v>
          </cell>
          <cell r="Q929">
            <v>2302.85</v>
          </cell>
          <cell r="R929">
            <v>2602.2199999999998</v>
          </cell>
          <cell r="S929">
            <v>3105</v>
          </cell>
          <cell r="T929">
            <v>0.27233494363929145</v>
          </cell>
          <cell r="U929">
            <v>2404.5119999999997</v>
          </cell>
          <cell r="V929">
            <v>6.0349875567266724E-2</v>
          </cell>
          <cell r="W929">
            <v>2484</v>
          </cell>
          <cell r="X929">
            <v>0.8</v>
          </cell>
          <cell r="AA929">
            <v>3005</v>
          </cell>
          <cell r="AB929">
            <v>2484</v>
          </cell>
          <cell r="AC929">
            <v>2760</v>
          </cell>
          <cell r="AD929">
            <v>2952</v>
          </cell>
          <cell r="AE929">
            <v>3066.67</v>
          </cell>
          <cell r="AF929">
            <v>0.19000088043382563</v>
          </cell>
          <cell r="AG929">
            <v>0.26323993126094425</v>
          </cell>
          <cell r="AH929">
            <v>3288</v>
          </cell>
          <cell r="AI929">
            <v>3509</v>
          </cell>
          <cell r="AJ929">
            <v>0.29210601310914791</v>
          </cell>
          <cell r="AK929">
            <v>3729.5</v>
          </cell>
          <cell r="AL929">
            <v>3950</v>
          </cell>
          <cell r="AM929">
            <v>0.37113924050632913</v>
          </cell>
          <cell r="AN929">
            <v>3950</v>
          </cell>
          <cell r="AO929">
            <v>3950</v>
          </cell>
          <cell r="AP929">
            <v>3950</v>
          </cell>
          <cell r="AQ929">
            <v>0</v>
          </cell>
          <cell r="AS929">
            <v>3950</v>
          </cell>
        </row>
        <row r="930">
          <cell r="B930" t="str">
            <v>AC</v>
          </cell>
          <cell r="C930" t="str">
            <v>IMP</v>
          </cell>
          <cell r="D930" t="str">
            <v>BT</v>
          </cell>
          <cell r="E930" t="str">
            <v>08</v>
          </cell>
          <cell r="F930" t="str">
            <v>2/25/10</v>
          </cell>
          <cell r="G930" t="str">
            <v>2/25/10</v>
          </cell>
          <cell r="H930" t="str">
            <v>A1MUWY1</v>
          </cell>
          <cell r="I930" t="str">
            <v xml:space="preserve"> </v>
          </cell>
          <cell r="K930" t="str">
            <v>SA-502 Scan Accelerator Kit</v>
          </cell>
          <cell r="L930">
            <v>420</v>
          </cell>
          <cell r="M930">
            <v>173</v>
          </cell>
          <cell r="N930">
            <v>179.92000000000002</v>
          </cell>
          <cell r="O930">
            <v>0.10753968253968244</v>
          </cell>
          <cell r="P930">
            <v>201.6</v>
          </cell>
          <cell r="Q930">
            <v>183.38</v>
          </cell>
          <cell r="R930">
            <v>207.22</v>
          </cell>
          <cell r="S930">
            <v>252</v>
          </cell>
          <cell r="T930">
            <v>0.28603174603174597</v>
          </cell>
          <cell r="U930">
            <v>195.14879999999999</v>
          </cell>
          <cell r="V930">
            <v>7.8036862127771112E-2</v>
          </cell>
          <cell r="W930">
            <v>201.6</v>
          </cell>
          <cell r="X930">
            <v>0.79999999999999993</v>
          </cell>
          <cell r="AA930">
            <v>244</v>
          </cell>
          <cell r="AB930">
            <v>202</v>
          </cell>
          <cell r="AC930">
            <v>224</v>
          </cell>
          <cell r="AD930">
            <v>240</v>
          </cell>
          <cell r="AE930">
            <v>248.89</v>
          </cell>
          <cell r="AF930">
            <v>0.19000361605528546</v>
          </cell>
          <cell r="AG930">
            <v>0.27711037004299077</v>
          </cell>
          <cell r="AH930">
            <v>277</v>
          </cell>
          <cell r="AI930">
            <v>305</v>
          </cell>
          <cell r="AJ930">
            <v>0.33901639344262297</v>
          </cell>
          <cell r="AK930">
            <v>332.5</v>
          </cell>
          <cell r="AL930">
            <v>360</v>
          </cell>
          <cell r="AM930">
            <v>0.44</v>
          </cell>
          <cell r="AN930">
            <v>375</v>
          </cell>
          <cell r="AO930">
            <v>390</v>
          </cell>
          <cell r="AP930">
            <v>405</v>
          </cell>
          <cell r="AQ930">
            <v>0</v>
          </cell>
          <cell r="AS930">
            <v>420</v>
          </cell>
        </row>
        <row r="931">
          <cell r="B931" t="str">
            <v>AC</v>
          </cell>
          <cell r="C931" t="str">
            <v>IMP</v>
          </cell>
          <cell r="D931" t="str">
            <v>BT</v>
          </cell>
          <cell r="E931" t="str">
            <v>P3</v>
          </cell>
          <cell r="F931">
            <v>39990</v>
          </cell>
          <cell r="G931">
            <v>40001</v>
          </cell>
          <cell r="H931" t="str">
            <v>4340612</v>
          </cell>
          <cell r="I931" t="str">
            <v>3KMH7640008387</v>
          </cell>
          <cell r="K931" t="str">
            <v>Fiery Print Controller (Pi8500)</v>
          </cell>
          <cell r="L931">
            <v>6400</v>
          </cell>
          <cell r="M931">
            <v>1275</v>
          </cell>
          <cell r="N931">
            <v>3439</v>
          </cell>
          <cell r="O931">
            <v>-7.9087921117502055E-2</v>
          </cell>
          <cell r="P931">
            <v>1217</v>
          </cell>
          <cell r="Q931">
            <v>1351.5</v>
          </cell>
          <cell r="R931">
            <v>1459.62</v>
          </cell>
          <cell r="S931">
            <v>1600</v>
          </cell>
          <cell r="T931">
            <v>0.17921875000000001</v>
          </cell>
          <cell r="U931">
            <v>1376</v>
          </cell>
          <cell r="V931">
            <v>4.5603197674418602E-2</v>
          </cell>
          <cell r="W931">
            <v>2923.15</v>
          </cell>
          <cell r="X931">
            <v>0.760625</v>
          </cell>
          <cell r="AA931">
            <v>1472</v>
          </cell>
          <cell r="AB931">
            <v>2923.15</v>
          </cell>
          <cell r="AC931">
            <v>3247.94</v>
          </cell>
          <cell r="AD931">
            <v>3428.39</v>
          </cell>
          <cell r="AE931">
            <v>3608.83</v>
          </cell>
          <cell r="AF931">
            <v>0.1900006373256706</v>
          </cell>
          <cell r="AG931">
            <v>4.7059573324318392E-2</v>
          </cell>
          <cell r="AH931">
            <v>3681.01</v>
          </cell>
          <cell r="AI931">
            <v>3753.18</v>
          </cell>
          <cell r="AJ931">
            <v>0.22115379491524514</v>
          </cell>
          <cell r="AK931">
            <v>3825.36</v>
          </cell>
          <cell r="AL931">
            <v>3897.53</v>
          </cell>
          <cell r="AM931">
            <v>0.24999935856811881</v>
          </cell>
          <cell r="AN931">
            <v>4445.62</v>
          </cell>
          <cell r="AO931">
            <v>4993.71</v>
          </cell>
          <cell r="AP931">
            <v>5541.8</v>
          </cell>
          <cell r="AQ931">
            <v>0</v>
          </cell>
          <cell r="AS931">
            <v>6400</v>
          </cell>
        </row>
        <row r="932">
          <cell r="B932" t="str">
            <v>AC</v>
          </cell>
          <cell r="C932" t="str">
            <v>PMP</v>
          </cell>
          <cell r="D932" t="str">
            <v>BT</v>
          </cell>
          <cell r="E932" t="str">
            <v>P3</v>
          </cell>
          <cell r="F932">
            <v>39924</v>
          </cell>
          <cell r="G932">
            <v>40001</v>
          </cell>
          <cell r="H932" t="str">
            <v>15BAR9010</v>
          </cell>
          <cell r="I932" t="str">
            <v>3KMKSCSUFSK</v>
          </cell>
          <cell r="K932" t="str">
            <v>Small custom size universal feed support kit</v>
          </cell>
          <cell r="L932">
            <v>2993</v>
          </cell>
          <cell r="M932">
            <v>1181</v>
          </cell>
          <cell r="N932">
            <v>1240.05</v>
          </cell>
          <cell r="O932">
            <v>-0.17647058823529405</v>
          </cell>
          <cell r="P932">
            <v>1054.0425</v>
          </cell>
          <cell r="Q932">
            <v>1251.8599999999999</v>
          </cell>
          <cell r="R932">
            <v>1414.6</v>
          </cell>
          <cell r="S932">
            <v>1680.6</v>
          </cell>
          <cell r="T932">
            <v>0.2621385219564441</v>
          </cell>
          <cell r="U932">
            <v>1445.3159999999998</v>
          </cell>
          <cell r="V932">
            <v>0.14202153715865587</v>
          </cell>
          <cell r="W932">
            <v>1054.0425</v>
          </cell>
          <cell r="X932">
            <v>0.62718225633702251</v>
          </cell>
          <cell r="AA932">
            <v>1275</v>
          </cell>
          <cell r="AB932">
            <v>1055</v>
          </cell>
          <cell r="AC932">
            <v>1172</v>
          </cell>
          <cell r="AD932">
            <v>1237</v>
          </cell>
          <cell r="AE932">
            <v>1301.29</v>
          </cell>
          <cell r="AF932">
            <v>0.19000184432370951</v>
          </cell>
          <cell r="AG932">
            <v>4.7060993322011246E-2</v>
          </cell>
          <cell r="AH932">
            <v>1328</v>
          </cell>
          <cell r="AI932">
            <v>1354</v>
          </cell>
          <cell r="AJ932">
            <v>0.22153434268833086</v>
          </cell>
          <cell r="AK932">
            <v>1380</v>
          </cell>
          <cell r="AL932">
            <v>1406</v>
          </cell>
          <cell r="AM932">
            <v>0.25032539118065433</v>
          </cell>
          <cell r="AN932">
            <v>1603.48</v>
          </cell>
          <cell r="AO932">
            <v>1800.96</v>
          </cell>
          <cell r="AP932">
            <v>1998.44</v>
          </cell>
          <cell r="AQ932">
            <v>0</v>
          </cell>
          <cell r="AS932">
            <v>2993</v>
          </cell>
        </row>
        <row r="933">
          <cell r="B933" t="str">
            <v>AC</v>
          </cell>
          <cell r="C933" t="str">
            <v>PMP</v>
          </cell>
          <cell r="D933" t="str">
            <v>BT</v>
          </cell>
          <cell r="E933" t="str">
            <v>P3</v>
          </cell>
          <cell r="F933">
            <v>39924</v>
          </cell>
          <cell r="G933">
            <v>40001</v>
          </cell>
          <cell r="H933" t="str">
            <v>56UA-9980</v>
          </cell>
          <cell r="I933" t="str">
            <v>3KMK4X6FSK</v>
          </cell>
          <cell r="J933" t="str">
            <v>x</v>
          </cell>
          <cell r="K933" t="str">
            <v>Post card (4" x 6") size feed support kit</v>
          </cell>
          <cell r="L933">
            <v>1155</v>
          </cell>
          <cell r="M933">
            <v>418</v>
          </cell>
          <cell r="N933">
            <v>438.90000000000003</v>
          </cell>
          <cell r="O933">
            <v>-0.17647058823529421</v>
          </cell>
          <cell r="P933">
            <v>373.065</v>
          </cell>
          <cell r="Q933">
            <v>443.08</v>
          </cell>
          <cell r="R933">
            <v>500.68</v>
          </cell>
          <cell r="S933">
            <v>611.1</v>
          </cell>
          <cell r="T933">
            <v>0.28178694158075601</v>
          </cell>
          <cell r="U933">
            <v>473.23584</v>
          </cell>
          <cell r="V933">
            <v>7.2555451421430717E-2</v>
          </cell>
          <cell r="W933">
            <v>373.065</v>
          </cell>
          <cell r="X933">
            <v>0.61048109965635733</v>
          </cell>
          <cell r="AA933">
            <v>451</v>
          </cell>
          <cell r="AB933">
            <v>374</v>
          </cell>
          <cell r="AC933">
            <v>415</v>
          </cell>
          <cell r="AD933">
            <v>438</v>
          </cell>
          <cell r="AE933">
            <v>460.57</v>
          </cell>
          <cell r="AF933">
            <v>0.18999283496536898</v>
          </cell>
          <cell r="AG933">
            <v>4.7050394076904617E-2</v>
          </cell>
          <cell r="AH933">
            <v>471</v>
          </cell>
          <cell r="AI933">
            <v>480</v>
          </cell>
          <cell r="AJ933">
            <v>0.22278125000000001</v>
          </cell>
          <cell r="AK933">
            <v>489</v>
          </cell>
          <cell r="AL933">
            <v>498</v>
          </cell>
          <cell r="AM933">
            <v>0.25087349397590364</v>
          </cell>
          <cell r="AN933">
            <v>567.79999999999995</v>
          </cell>
          <cell r="AO933">
            <v>637.6</v>
          </cell>
          <cell r="AP933">
            <v>707.4</v>
          </cell>
          <cell r="AQ933">
            <v>0</v>
          </cell>
          <cell r="AS933">
            <v>1155</v>
          </cell>
        </row>
        <row r="934">
          <cell r="B934" t="str">
            <v>AC</v>
          </cell>
          <cell r="C934" t="str">
            <v>PMP</v>
          </cell>
          <cell r="D934" t="str">
            <v>BT</v>
          </cell>
          <cell r="E934" t="str">
            <v>P3</v>
          </cell>
          <cell r="F934">
            <v>39924</v>
          </cell>
          <cell r="G934">
            <v>40001</v>
          </cell>
          <cell r="H934" t="str">
            <v>56UAPA0001</v>
          </cell>
          <cell r="I934" t="str">
            <v>3KMKRHDDKIT</v>
          </cell>
          <cell r="J934" t="str">
            <v>x</v>
          </cell>
          <cell r="K934" t="str">
            <v>Removable HDD Kit</v>
          </cell>
          <cell r="L934">
            <v>2993</v>
          </cell>
          <cell r="M934">
            <v>1124</v>
          </cell>
          <cell r="N934">
            <v>1180.2</v>
          </cell>
          <cell r="O934">
            <v>-0.17647058823529421</v>
          </cell>
          <cell r="P934">
            <v>1003.17</v>
          </cell>
          <cell r="Q934">
            <v>1191.44</v>
          </cell>
          <cell r="R934">
            <v>1346.33</v>
          </cell>
          <cell r="S934">
            <v>1837.5</v>
          </cell>
          <cell r="T934">
            <v>0.35771428571428571</v>
          </cell>
          <cell r="U934">
            <v>1422.96</v>
          </cell>
          <cell r="V934">
            <v>0.17060212514757969</v>
          </cell>
          <cell r="W934">
            <v>1003.17</v>
          </cell>
          <cell r="X934">
            <v>0.54594285714285717</v>
          </cell>
          <cell r="AA934">
            <v>1214</v>
          </cell>
          <cell r="AB934">
            <v>1004</v>
          </cell>
          <cell r="AC934">
            <v>1115</v>
          </cell>
          <cell r="AD934">
            <v>1177</v>
          </cell>
          <cell r="AE934">
            <v>1238.48</v>
          </cell>
          <cell r="AF934">
            <v>0.18999903107034433</v>
          </cell>
          <cell r="AG934">
            <v>4.7057683612169734E-2</v>
          </cell>
          <cell r="AH934">
            <v>1264</v>
          </cell>
          <cell r="AI934">
            <v>1289</v>
          </cell>
          <cell r="AJ934">
            <v>0.22174553917765713</v>
          </cell>
          <cell r="AK934">
            <v>1313.5</v>
          </cell>
          <cell r="AL934">
            <v>1338</v>
          </cell>
          <cell r="AM934">
            <v>0.25024663677130049</v>
          </cell>
          <cell r="AN934">
            <v>1525.98</v>
          </cell>
          <cell r="AO934">
            <v>1713.96</v>
          </cell>
          <cell r="AP934">
            <v>1901.94</v>
          </cell>
          <cell r="AQ934">
            <v>0</v>
          </cell>
          <cell r="AS934">
            <v>2993</v>
          </cell>
        </row>
        <row r="935">
          <cell r="B935" t="str">
            <v>AC</v>
          </cell>
          <cell r="C935" t="str">
            <v>PMP</v>
          </cell>
          <cell r="D935" t="str">
            <v>BT</v>
          </cell>
          <cell r="E935" t="str">
            <v>P3</v>
          </cell>
          <cell r="F935">
            <v>39924</v>
          </cell>
          <cell r="G935">
            <v>40001</v>
          </cell>
          <cell r="H935" t="str">
            <v>56UAPA0101</v>
          </cell>
          <cell r="I935" t="str">
            <v>3KMHAHDDCASE</v>
          </cell>
          <cell r="J935" t="str">
            <v>x</v>
          </cell>
          <cell r="K935" t="str">
            <v>Additional Case for HDD Kit</v>
          </cell>
          <cell r="L935">
            <v>158</v>
          </cell>
          <cell r="M935">
            <v>56</v>
          </cell>
          <cell r="N935">
            <v>58.800000000000004</v>
          </cell>
          <cell r="O935">
            <v>-0.1764705882352941</v>
          </cell>
          <cell r="P935">
            <v>49.980000000000004</v>
          </cell>
          <cell r="Q935">
            <v>59.36</v>
          </cell>
          <cell r="R935">
            <v>67.08</v>
          </cell>
          <cell r="S935">
            <v>102.9</v>
          </cell>
          <cell r="T935">
            <v>0.42857142857142855</v>
          </cell>
          <cell r="U935">
            <v>79.685760000000002</v>
          </cell>
          <cell r="V935">
            <v>0.26210153482880755</v>
          </cell>
          <cell r="W935">
            <v>49.980000000000004</v>
          </cell>
          <cell r="X935">
            <v>0.48571428571428571</v>
          </cell>
          <cell r="AA935">
            <v>60</v>
          </cell>
          <cell r="AB935">
            <v>50</v>
          </cell>
          <cell r="AC935">
            <v>56</v>
          </cell>
          <cell r="AD935">
            <v>59</v>
          </cell>
          <cell r="AE935">
            <v>61.7</v>
          </cell>
          <cell r="AF935">
            <v>0.18995137763371148</v>
          </cell>
          <cell r="AG935">
            <v>4.7001620745542927E-2</v>
          </cell>
          <cell r="AH935">
            <v>64</v>
          </cell>
          <cell r="AI935">
            <v>65</v>
          </cell>
          <cell r="AJ935">
            <v>0.23107692307692301</v>
          </cell>
          <cell r="AK935">
            <v>66</v>
          </cell>
          <cell r="AL935">
            <v>67</v>
          </cell>
          <cell r="AM935">
            <v>0.2540298507462686</v>
          </cell>
          <cell r="AN935">
            <v>76.28</v>
          </cell>
          <cell r="AO935">
            <v>85.56</v>
          </cell>
          <cell r="AP935">
            <v>94.84</v>
          </cell>
          <cell r="AQ935">
            <v>0</v>
          </cell>
          <cell r="AS935">
            <v>158</v>
          </cell>
        </row>
        <row r="936">
          <cell r="B936" t="str">
            <v>AC</v>
          </cell>
          <cell r="C936" t="str">
            <v>PMP</v>
          </cell>
          <cell r="D936" t="str">
            <v>BT</v>
          </cell>
          <cell r="E936" t="str">
            <v>08</v>
          </cell>
          <cell r="F936">
            <v>39924</v>
          </cell>
          <cell r="G936">
            <v>40001</v>
          </cell>
          <cell r="H936" t="str">
            <v>A0PD160100</v>
          </cell>
          <cell r="I936" t="str">
            <v>3KMHA0PD160100</v>
          </cell>
          <cell r="K936" t="str">
            <v>Stylus Pen Holder</v>
          </cell>
          <cell r="L936">
            <v>21</v>
          </cell>
          <cell r="M936">
            <v>2.96</v>
          </cell>
          <cell r="N936">
            <v>3.1080000000000001</v>
          </cell>
          <cell r="O936">
            <v>0.7944444444444444</v>
          </cell>
          <cell r="P936">
            <v>15.12</v>
          </cell>
          <cell r="Q936">
            <v>3.14</v>
          </cell>
          <cell r="R936">
            <v>3.55</v>
          </cell>
          <cell r="S936">
            <v>18.899999999999999</v>
          </cell>
          <cell r="T936">
            <v>0.8355555555555555</v>
          </cell>
          <cell r="U936">
            <v>14.636159999999999</v>
          </cell>
          <cell r="V936">
            <v>0.78764921946740118</v>
          </cell>
          <cell r="W936">
            <v>15.12</v>
          </cell>
          <cell r="X936">
            <v>0.8</v>
          </cell>
          <cell r="AA936">
            <v>16</v>
          </cell>
          <cell r="AB936">
            <v>16</v>
          </cell>
          <cell r="AC936">
            <v>17</v>
          </cell>
          <cell r="AD936">
            <v>17</v>
          </cell>
          <cell r="AE936">
            <v>16.8</v>
          </cell>
          <cell r="AF936">
            <v>0.10000000000000009</v>
          </cell>
          <cell r="AG936">
            <v>0.81499999999999995</v>
          </cell>
          <cell r="AH936">
            <v>18</v>
          </cell>
          <cell r="AI936">
            <v>18</v>
          </cell>
          <cell r="AJ936">
            <v>0.16000000000000003</v>
          </cell>
          <cell r="AK936">
            <v>18</v>
          </cell>
          <cell r="AL936">
            <v>18</v>
          </cell>
          <cell r="AM936">
            <v>0.16000000000000003</v>
          </cell>
          <cell r="AN936">
            <v>18.75</v>
          </cell>
          <cell r="AO936">
            <v>19.5</v>
          </cell>
          <cell r="AP936">
            <v>20.25</v>
          </cell>
          <cell r="AQ936">
            <v>0</v>
          </cell>
          <cell r="AS936">
            <v>21</v>
          </cell>
        </row>
        <row r="937">
          <cell r="B937" t="str">
            <v>AC</v>
          </cell>
          <cell r="C937" t="str">
            <v>PMP</v>
          </cell>
          <cell r="D937" t="str">
            <v>BT</v>
          </cell>
          <cell r="E937" t="str">
            <v>08</v>
          </cell>
          <cell r="F937">
            <v>39924</v>
          </cell>
          <cell r="G937">
            <v>40001</v>
          </cell>
          <cell r="H937" t="str">
            <v>A0PD160200</v>
          </cell>
          <cell r="I937" t="str">
            <v>3KMHA0PD160200</v>
          </cell>
          <cell r="K937" t="str">
            <v>Stylus Pen</v>
          </cell>
          <cell r="L937">
            <v>21</v>
          </cell>
          <cell r="M937">
            <v>2.81</v>
          </cell>
          <cell r="N937">
            <v>2.9505000000000003</v>
          </cell>
          <cell r="O937">
            <v>0.81466708542713573</v>
          </cell>
          <cell r="P937">
            <v>15.92</v>
          </cell>
          <cell r="Q937">
            <v>2.98</v>
          </cell>
          <cell r="R937">
            <v>3.37</v>
          </cell>
          <cell r="S937">
            <v>19.899999999999999</v>
          </cell>
          <cell r="T937">
            <v>0.85173366834170849</v>
          </cell>
          <cell r="U937">
            <v>15.410559999999998</v>
          </cell>
          <cell r="V937">
            <v>0.80854037750737151</v>
          </cell>
          <cell r="W937">
            <v>15.92</v>
          </cell>
          <cell r="X937">
            <v>0.8</v>
          </cell>
          <cell r="AA937">
            <v>17</v>
          </cell>
          <cell r="AB937">
            <v>16</v>
          </cell>
          <cell r="AC937">
            <v>18</v>
          </cell>
          <cell r="AD937">
            <v>18</v>
          </cell>
          <cell r="AE937">
            <v>17.690000000000001</v>
          </cell>
          <cell r="AF937">
            <v>0.10005652911249301</v>
          </cell>
          <cell r="AG937">
            <v>0.83321085358959868</v>
          </cell>
          <cell r="AH937">
            <v>19</v>
          </cell>
          <cell r="AI937">
            <v>19</v>
          </cell>
          <cell r="AJ937">
            <v>0.16210526315789475</v>
          </cell>
          <cell r="AK937">
            <v>19</v>
          </cell>
          <cell r="AL937">
            <v>19</v>
          </cell>
          <cell r="AM937">
            <v>0.16210526315789475</v>
          </cell>
          <cell r="AN937">
            <v>19.5</v>
          </cell>
          <cell r="AO937">
            <v>20</v>
          </cell>
          <cell r="AP937">
            <v>20.5</v>
          </cell>
          <cell r="AQ937">
            <v>0</v>
          </cell>
          <cell r="AS937">
            <v>21</v>
          </cell>
        </row>
        <row r="938">
          <cell r="B938" t="str">
            <v>AC</v>
          </cell>
          <cell r="C938" t="str">
            <v>PMP</v>
          </cell>
          <cell r="D938" t="str">
            <v>BT</v>
          </cell>
          <cell r="E938" t="str">
            <v>NLA</v>
          </cell>
          <cell r="F938">
            <v>39924</v>
          </cell>
          <cell r="G938">
            <v>40001</v>
          </cell>
          <cell r="H938" t="str">
            <v>15BAR9010A</v>
          </cell>
          <cell r="K938" t="str">
            <v>Small custom size universal feed support kit</v>
          </cell>
          <cell r="L938">
            <v>2993</v>
          </cell>
          <cell r="M938">
            <v>1181</v>
          </cell>
          <cell r="N938">
            <v>1240.05</v>
          </cell>
          <cell r="O938">
            <v>7.7673152445555199E-2</v>
          </cell>
          <cell r="P938">
            <v>1344.48</v>
          </cell>
          <cell r="Q938">
            <v>1251.8599999999999</v>
          </cell>
          <cell r="R938">
            <v>1414.6</v>
          </cell>
          <cell r="S938">
            <v>1680.6</v>
          </cell>
          <cell r="T938">
            <v>0.2621385219564441</v>
          </cell>
          <cell r="U938">
            <v>1445.3159999999998</v>
          </cell>
          <cell r="V938">
            <v>0.14202153715865587</v>
          </cell>
          <cell r="W938">
            <v>1344.48</v>
          </cell>
          <cell r="X938">
            <v>0.8</v>
          </cell>
          <cell r="AA938">
            <v>1627</v>
          </cell>
          <cell r="AB938">
            <v>1345</v>
          </cell>
          <cell r="AC938">
            <v>1494</v>
          </cell>
          <cell r="AD938">
            <v>1577</v>
          </cell>
          <cell r="AE938">
            <v>1659.85</v>
          </cell>
          <cell r="AF938">
            <v>0.18999909630388281</v>
          </cell>
          <cell r="AG938">
            <v>0.2529144199777088</v>
          </cell>
          <cell r="AH938">
            <v>1846</v>
          </cell>
          <cell r="AI938">
            <v>2031</v>
          </cell>
          <cell r="AJ938">
            <v>0.33802067946824221</v>
          </cell>
          <cell r="AK938">
            <v>2216</v>
          </cell>
          <cell r="AL938">
            <v>2401</v>
          </cell>
          <cell r="AM938">
            <v>0.44003331945022905</v>
          </cell>
          <cell r="AN938">
            <v>2549</v>
          </cell>
          <cell r="AO938">
            <v>2697</v>
          </cell>
          <cell r="AP938">
            <v>2845</v>
          </cell>
          <cell r="AQ938">
            <v>0</v>
          </cell>
          <cell r="AS938">
            <v>2993</v>
          </cell>
        </row>
        <row r="939">
          <cell r="B939" t="str">
            <v>AC</v>
          </cell>
          <cell r="C939" t="str">
            <v>PMP</v>
          </cell>
          <cell r="D939" t="str">
            <v>BT</v>
          </cell>
          <cell r="E939" t="str">
            <v>08</v>
          </cell>
          <cell r="F939">
            <v>40038</v>
          </cell>
          <cell r="G939">
            <v>40038</v>
          </cell>
          <cell r="H939" t="str">
            <v>A0W6WY1</v>
          </cell>
          <cell r="I939" t="str">
            <v>3KMKA0W6WY1</v>
          </cell>
          <cell r="K939" t="str">
            <v>RH-101 Removable HDD Kit for 1200/1051</v>
          </cell>
          <cell r="L939">
            <v>3290</v>
          </cell>
          <cell r="M939">
            <v>1000</v>
          </cell>
          <cell r="N939">
            <v>1050</v>
          </cell>
          <cell r="O939">
            <v>0.2857142857142857</v>
          </cell>
          <cell r="P939">
            <v>1470</v>
          </cell>
          <cell r="Q939">
            <v>1060</v>
          </cell>
          <cell r="R939">
            <v>1197.8</v>
          </cell>
          <cell r="S939">
            <v>1837.5</v>
          </cell>
          <cell r="T939">
            <v>0.42857142857142855</v>
          </cell>
          <cell r="U939">
            <v>1422.96</v>
          </cell>
          <cell r="V939">
            <v>0.26210153482880755</v>
          </cell>
          <cell r="W939">
            <v>1470</v>
          </cell>
          <cell r="X939">
            <v>0.8</v>
          </cell>
          <cell r="Y939">
            <v>1600</v>
          </cell>
          <cell r="Z939">
            <v>1000</v>
          </cell>
          <cell r="AA939">
            <v>1779</v>
          </cell>
          <cell r="AB939">
            <v>1470</v>
          </cell>
          <cell r="AC939">
            <v>1634</v>
          </cell>
          <cell r="AD939">
            <v>1725</v>
          </cell>
          <cell r="AE939">
            <v>1814.81</v>
          </cell>
          <cell r="AF939">
            <v>0.18999785101470676</v>
          </cell>
          <cell r="AG939">
            <v>0.42142703643907625</v>
          </cell>
          <cell r="AH939">
            <v>2018</v>
          </cell>
          <cell r="AI939">
            <v>2220</v>
          </cell>
          <cell r="AJ939">
            <v>0.33783783783783783</v>
          </cell>
          <cell r="AK939">
            <v>2422.5</v>
          </cell>
          <cell r="AL939">
            <v>2625</v>
          </cell>
          <cell r="AM939">
            <v>0.44</v>
          </cell>
          <cell r="AN939">
            <v>2791.25</v>
          </cell>
          <cell r="AO939">
            <v>2957.5</v>
          </cell>
          <cell r="AP939">
            <v>3123.75</v>
          </cell>
          <cell r="AQ939">
            <v>0</v>
          </cell>
          <cell r="AS939">
            <v>3290</v>
          </cell>
        </row>
        <row r="940">
          <cell r="B940" t="str">
            <v>AC</v>
          </cell>
          <cell r="C940" t="str">
            <v>PMP</v>
          </cell>
          <cell r="D940" t="str">
            <v>BT</v>
          </cell>
          <cell r="E940" t="str">
            <v>08</v>
          </cell>
          <cell r="F940">
            <v>40038</v>
          </cell>
          <cell r="G940">
            <v>40038</v>
          </cell>
          <cell r="H940" t="str">
            <v>A0W5WY1</v>
          </cell>
          <cell r="I940" t="str">
            <v>3KMKA0W5WY1</v>
          </cell>
          <cell r="K940" t="str">
            <v>HD-511 Removable HDD Inner Case Kit for 1200/1051</v>
          </cell>
          <cell r="L940">
            <v>1330</v>
          </cell>
          <cell r="M940">
            <v>420</v>
          </cell>
          <cell r="N940">
            <v>441</v>
          </cell>
          <cell r="O940">
            <v>0.25506756756756754</v>
          </cell>
          <cell r="P940">
            <v>592</v>
          </cell>
          <cell r="Q940">
            <v>445.2</v>
          </cell>
          <cell r="R940">
            <v>503.08</v>
          </cell>
          <cell r="S940">
            <v>740</v>
          </cell>
          <cell r="T940">
            <v>0.40405405405405403</v>
          </cell>
          <cell r="U940">
            <v>573.05600000000004</v>
          </cell>
          <cell r="V940">
            <v>0.23044170203261119</v>
          </cell>
          <cell r="W940">
            <v>592</v>
          </cell>
          <cell r="X940">
            <v>0.8</v>
          </cell>
          <cell r="AA940">
            <v>716</v>
          </cell>
          <cell r="AB940">
            <v>592</v>
          </cell>
          <cell r="AC940">
            <v>658</v>
          </cell>
          <cell r="AD940">
            <v>695</v>
          </cell>
          <cell r="AE940">
            <v>730.86</v>
          </cell>
          <cell r="AF940">
            <v>0.18999534794625511</v>
          </cell>
          <cell r="AG940">
            <v>0.39660126426401776</v>
          </cell>
          <cell r="AH940">
            <v>813</v>
          </cell>
          <cell r="AI940">
            <v>895</v>
          </cell>
          <cell r="AJ940">
            <v>0.33854748603351953</v>
          </cell>
          <cell r="AK940">
            <v>976.5</v>
          </cell>
          <cell r="AL940">
            <v>1058</v>
          </cell>
          <cell r="AM940">
            <v>0.44045368620037806</v>
          </cell>
          <cell r="AN940">
            <v>1126</v>
          </cell>
          <cell r="AO940">
            <v>1194</v>
          </cell>
          <cell r="AP940">
            <v>1262</v>
          </cell>
          <cell r="AQ940">
            <v>0</v>
          </cell>
          <cell r="AS940">
            <v>1330</v>
          </cell>
        </row>
        <row r="941">
          <cell r="B941" t="str">
            <v>AC</v>
          </cell>
          <cell r="C941" t="str">
            <v>IMP</v>
          </cell>
          <cell r="D941" t="str">
            <v>BT</v>
          </cell>
          <cell r="E941" t="str">
            <v>P3</v>
          </cell>
          <cell r="F941">
            <v>39990</v>
          </cell>
          <cell r="G941">
            <v>40001</v>
          </cell>
          <cell r="H941" t="str">
            <v>4348412</v>
          </cell>
          <cell r="K941" t="str">
            <v>2 way Paper Feed Cabinet (PF-210)</v>
          </cell>
          <cell r="L941">
            <v>1070</v>
          </cell>
          <cell r="M941">
            <v>5355</v>
          </cell>
          <cell r="N941">
            <v>458</v>
          </cell>
          <cell r="O941">
            <v>0.12587362715732422</v>
          </cell>
          <cell r="P941">
            <v>6309.9</v>
          </cell>
          <cell r="Q941">
            <v>5676.3</v>
          </cell>
          <cell r="R941">
            <v>6130.4</v>
          </cell>
          <cell r="S941">
            <v>7887.3794999999991</v>
          </cell>
          <cell r="T941">
            <v>0.30069930069930068</v>
          </cell>
          <cell r="W941">
            <v>389.3</v>
          </cell>
          <cell r="X941">
            <v>0.79999954357464353</v>
          </cell>
          <cell r="AA941">
            <v>7450</v>
          </cell>
          <cell r="AB941">
            <v>389.3</v>
          </cell>
          <cell r="AC941">
            <v>432.56</v>
          </cell>
          <cell r="AD941">
            <v>456.59</v>
          </cell>
          <cell r="AE941">
            <v>480.62</v>
          </cell>
          <cell r="AF941">
            <v>0.19000457742083141</v>
          </cell>
          <cell r="AG941">
            <v>4.7064208730389925E-2</v>
          </cell>
          <cell r="AH941">
            <v>490.24</v>
          </cell>
          <cell r="AI941">
            <v>499.85</v>
          </cell>
          <cell r="AJ941">
            <v>0.2211663499049715</v>
          </cell>
          <cell r="AK941">
            <v>509.46</v>
          </cell>
          <cell r="AL941">
            <v>519.07000000000005</v>
          </cell>
          <cell r="AM941">
            <v>0.25000481630608595</v>
          </cell>
          <cell r="AN941">
            <v>592.05999999999995</v>
          </cell>
          <cell r="AO941">
            <v>665.05</v>
          </cell>
          <cell r="AP941">
            <v>738.04</v>
          </cell>
          <cell r="AQ941">
            <v>0</v>
          </cell>
          <cell r="AS941">
            <v>1070</v>
          </cell>
        </row>
        <row r="942">
          <cell r="B942" t="str">
            <v>DI</v>
          </cell>
          <cell r="C942" t="str">
            <v>DI</v>
          </cell>
          <cell r="D942" t="str">
            <v>KMBS</v>
          </cell>
          <cell r="E942" t="str">
            <v>21</v>
          </cell>
          <cell r="F942">
            <v>39924</v>
          </cell>
          <cell r="G942">
            <v>39924</v>
          </cell>
          <cell r="H942" t="str">
            <v>7670525499</v>
          </cell>
          <cell r="I942" t="str">
            <v>DIS</v>
          </cell>
          <cell r="K942" t="str">
            <v>Delivery Charge - Level One</v>
          </cell>
          <cell r="L942">
            <v>150</v>
          </cell>
          <cell r="M942">
            <v>0</v>
          </cell>
          <cell r="N942">
            <v>320</v>
          </cell>
          <cell r="P942" t="str">
            <v>N/A</v>
          </cell>
          <cell r="Q942" t="str">
            <v>N/A</v>
          </cell>
          <cell r="S942" t="str">
            <v>N/A</v>
          </cell>
          <cell r="W942">
            <v>272</v>
          </cell>
          <cell r="AA942">
            <v>150</v>
          </cell>
          <cell r="AB942">
            <v>150</v>
          </cell>
          <cell r="AC942">
            <v>150</v>
          </cell>
          <cell r="AD942">
            <v>150</v>
          </cell>
          <cell r="AE942">
            <v>150</v>
          </cell>
          <cell r="AF942">
            <v>0.18999404407385351</v>
          </cell>
          <cell r="AG942">
            <v>4.7051816557474722E-2</v>
          </cell>
          <cell r="AH942">
            <v>150</v>
          </cell>
          <cell r="AI942">
            <v>150</v>
          </cell>
          <cell r="AJ942">
            <v>0.22116596037109154</v>
          </cell>
          <cell r="AK942">
            <v>150</v>
          </cell>
          <cell r="AL942">
            <v>150</v>
          </cell>
          <cell r="AM942">
            <v>0.25000689331899528</v>
          </cell>
          <cell r="AN942">
            <v>150</v>
          </cell>
          <cell r="AO942">
            <v>150</v>
          </cell>
          <cell r="AP942">
            <v>150</v>
          </cell>
          <cell r="AQ942">
            <v>0</v>
          </cell>
          <cell r="AS942">
            <v>150</v>
          </cell>
        </row>
        <row r="943">
          <cell r="B943" t="str">
            <v>DI</v>
          </cell>
          <cell r="C943" t="str">
            <v>DI</v>
          </cell>
          <cell r="D943" t="str">
            <v>KMBS</v>
          </cell>
          <cell r="E943" t="str">
            <v>21</v>
          </cell>
          <cell r="F943">
            <v>39924</v>
          </cell>
          <cell r="G943">
            <v>39924</v>
          </cell>
          <cell r="H943" t="str">
            <v>7670525500</v>
          </cell>
          <cell r="I943" t="str">
            <v>DIS</v>
          </cell>
          <cell r="K943" t="str">
            <v>Delivery Charge - Level Two</v>
          </cell>
          <cell r="L943">
            <v>250</v>
          </cell>
          <cell r="M943">
            <v>0</v>
          </cell>
          <cell r="N943">
            <v>458</v>
          </cell>
          <cell r="P943" t="str">
            <v>N/A</v>
          </cell>
          <cell r="Q943" t="str">
            <v>N/A</v>
          </cell>
          <cell r="S943" t="str">
            <v>N/A</v>
          </cell>
          <cell r="W943">
            <v>389.3</v>
          </cell>
          <cell r="AA943">
            <v>250</v>
          </cell>
          <cell r="AB943">
            <v>250</v>
          </cell>
          <cell r="AC943">
            <v>250</v>
          </cell>
          <cell r="AD943">
            <v>250</v>
          </cell>
          <cell r="AE943">
            <v>250</v>
          </cell>
          <cell r="AF943">
            <v>0.19000457742083141</v>
          </cell>
          <cell r="AG943">
            <v>4.7064208730389925E-2</v>
          </cell>
          <cell r="AH943">
            <v>250</v>
          </cell>
          <cell r="AI943">
            <v>250</v>
          </cell>
          <cell r="AJ943">
            <v>0.2211663499049715</v>
          </cell>
          <cell r="AK943">
            <v>250</v>
          </cell>
          <cell r="AL943">
            <v>250</v>
          </cell>
          <cell r="AM943">
            <v>0.25000481630608595</v>
          </cell>
          <cell r="AN943">
            <v>250</v>
          </cell>
          <cell r="AO943">
            <v>250</v>
          </cell>
          <cell r="AP943">
            <v>250</v>
          </cell>
          <cell r="AQ943">
            <v>0</v>
          </cell>
          <cell r="AS943">
            <v>250</v>
          </cell>
        </row>
        <row r="944">
          <cell r="B944" t="str">
            <v>DI</v>
          </cell>
          <cell r="C944" t="str">
            <v>DI</v>
          </cell>
          <cell r="D944" t="str">
            <v>KMBS</v>
          </cell>
          <cell r="E944" t="str">
            <v>21</v>
          </cell>
          <cell r="F944">
            <v>39924</v>
          </cell>
          <cell r="G944">
            <v>39924</v>
          </cell>
          <cell r="H944" t="str">
            <v>7670525501</v>
          </cell>
          <cell r="I944" t="str">
            <v>DIS</v>
          </cell>
          <cell r="K944" t="str">
            <v>Delivery Charge - Level Three</v>
          </cell>
          <cell r="L944">
            <v>800</v>
          </cell>
          <cell r="M944">
            <v>0</v>
          </cell>
          <cell r="N944">
            <v>72</v>
          </cell>
          <cell r="P944" t="str">
            <v>N/A</v>
          </cell>
          <cell r="Q944" t="str">
            <v>N/A</v>
          </cell>
          <cell r="S944" t="str">
            <v>N/A</v>
          </cell>
          <cell r="W944">
            <v>61.199999999999996</v>
          </cell>
          <cell r="AA944">
            <v>800</v>
          </cell>
          <cell r="AB944">
            <v>800</v>
          </cell>
          <cell r="AC944">
            <v>800</v>
          </cell>
          <cell r="AD944">
            <v>800</v>
          </cell>
          <cell r="AE944">
            <v>800</v>
          </cell>
          <cell r="AF944">
            <v>0.19004764425622031</v>
          </cell>
          <cell r="AG944">
            <v>4.7114875595553232E-2</v>
          </cell>
          <cell r="AH944">
            <v>800</v>
          </cell>
          <cell r="AI944">
            <v>800</v>
          </cell>
          <cell r="AJ944">
            <v>0.22117587172308478</v>
          </cell>
          <cell r="AK944">
            <v>800</v>
          </cell>
          <cell r="AL944">
            <v>800</v>
          </cell>
          <cell r="AM944">
            <v>0.25</v>
          </cell>
          <cell r="AN944">
            <v>800</v>
          </cell>
          <cell r="AO944">
            <v>800</v>
          </cell>
          <cell r="AP944">
            <v>800</v>
          </cell>
          <cell r="AQ944">
            <v>0</v>
          </cell>
          <cell r="AS944">
            <v>800</v>
          </cell>
        </row>
        <row r="945">
          <cell r="B945" t="str">
            <v>DI</v>
          </cell>
          <cell r="C945" t="str">
            <v>DI</v>
          </cell>
          <cell r="D945" t="str">
            <v>KMBS</v>
          </cell>
          <cell r="E945" t="str">
            <v>21</v>
          </cell>
          <cell r="F945">
            <v>39924</v>
          </cell>
          <cell r="G945">
            <v>39924</v>
          </cell>
          <cell r="H945" t="str">
            <v>7670527699</v>
          </cell>
          <cell r="I945" t="str">
            <v>DIS</v>
          </cell>
          <cell r="K945" t="str">
            <v>Installation Charge - Level One</v>
          </cell>
          <cell r="L945">
            <v>175</v>
          </cell>
          <cell r="M945">
            <v>0</v>
          </cell>
          <cell r="N945">
            <v>607</v>
          </cell>
          <cell r="P945" t="str">
            <v>N/A</v>
          </cell>
          <cell r="Q945" t="str">
            <v>N/A</v>
          </cell>
          <cell r="S945" t="str">
            <v>N/A</v>
          </cell>
          <cell r="W945">
            <v>515.94999999999993</v>
          </cell>
          <cell r="AA945">
            <v>175</v>
          </cell>
          <cell r="AB945">
            <v>175</v>
          </cell>
          <cell r="AC945">
            <v>175</v>
          </cell>
          <cell r="AD945">
            <v>175</v>
          </cell>
          <cell r="AE945">
            <v>175</v>
          </cell>
          <cell r="AF945">
            <v>0.19000596565041303</v>
          </cell>
          <cell r="AG945">
            <v>4.7065841941662245E-2</v>
          </cell>
          <cell r="AH945">
            <v>175</v>
          </cell>
          <cell r="AI945">
            <v>175</v>
          </cell>
          <cell r="AJ945">
            <v>0.22116052289949598</v>
          </cell>
          <cell r="AK945">
            <v>175</v>
          </cell>
          <cell r="AL945">
            <v>175</v>
          </cell>
          <cell r="AM945">
            <v>0.24999636590932223</v>
          </cell>
          <cell r="AN945">
            <v>175</v>
          </cell>
          <cell r="AO945">
            <v>175</v>
          </cell>
          <cell r="AP945">
            <v>175</v>
          </cell>
          <cell r="AQ945">
            <v>0</v>
          </cell>
          <cell r="AS945">
            <v>175</v>
          </cell>
        </row>
        <row r="946">
          <cell r="B946" t="str">
            <v>DI</v>
          </cell>
          <cell r="C946" t="str">
            <v>DI</v>
          </cell>
          <cell r="D946" t="str">
            <v>KMBS</v>
          </cell>
          <cell r="E946" t="str">
            <v>21</v>
          </cell>
          <cell r="F946">
            <v>39924</v>
          </cell>
          <cell r="G946">
            <v>39924</v>
          </cell>
          <cell r="H946" t="str">
            <v>7670527700</v>
          </cell>
          <cell r="I946" t="str">
            <v>DIS</v>
          </cell>
          <cell r="K946" t="str">
            <v>Installation Charge - Level Two</v>
          </cell>
          <cell r="L946">
            <v>300</v>
          </cell>
          <cell r="M946">
            <v>0</v>
          </cell>
          <cell r="N946">
            <v>1729</v>
          </cell>
          <cell r="P946" t="str">
            <v>N/A</v>
          </cell>
          <cell r="Q946" t="str">
            <v>N/A</v>
          </cell>
          <cell r="S946" t="str">
            <v>N/A</v>
          </cell>
          <cell r="W946">
            <v>1469.6499999999999</v>
          </cell>
          <cell r="AA946">
            <v>300</v>
          </cell>
          <cell r="AB946">
            <v>300</v>
          </cell>
          <cell r="AC946">
            <v>300</v>
          </cell>
          <cell r="AD946">
            <v>300</v>
          </cell>
          <cell r="AE946">
            <v>300</v>
          </cell>
          <cell r="AF946">
            <v>0.18999878746458859</v>
          </cell>
          <cell r="AG946">
            <v>4.7057397017162945E-2</v>
          </cell>
          <cell r="AH946">
            <v>300</v>
          </cell>
          <cell r="AI946">
            <v>300</v>
          </cell>
          <cell r="AJ946">
            <v>0.22115466146606191</v>
          </cell>
          <cell r="AK946">
            <v>300</v>
          </cell>
          <cell r="AL946">
            <v>300</v>
          </cell>
          <cell r="AM946">
            <v>0.24999872418386049</v>
          </cell>
          <cell r="AN946">
            <v>300</v>
          </cell>
          <cell r="AO946">
            <v>300</v>
          </cell>
          <cell r="AP946">
            <v>300</v>
          </cell>
          <cell r="AQ946">
            <v>0</v>
          </cell>
          <cell r="AS946">
            <v>300</v>
          </cell>
        </row>
        <row r="947">
          <cell r="B947" t="str">
            <v>DI</v>
          </cell>
          <cell r="C947" t="str">
            <v>DI</v>
          </cell>
          <cell r="D947" t="str">
            <v>KMBS</v>
          </cell>
          <cell r="E947" t="str">
            <v>21</v>
          </cell>
          <cell r="F947">
            <v>39924</v>
          </cell>
          <cell r="G947">
            <v>39924</v>
          </cell>
          <cell r="H947" t="str">
            <v>7670527701</v>
          </cell>
          <cell r="I947" t="str">
            <v>DIS</v>
          </cell>
          <cell r="K947" t="str">
            <v>Installation Charge - Level Three</v>
          </cell>
          <cell r="L947">
            <v>500</v>
          </cell>
          <cell r="M947">
            <v>0</v>
          </cell>
          <cell r="N947">
            <v>2450</v>
          </cell>
          <cell r="P947" t="str">
            <v>N/A</v>
          </cell>
          <cell r="Q947" t="str">
            <v>N/A</v>
          </cell>
          <cell r="S947" t="str">
            <v>N/A</v>
          </cell>
          <cell r="W947">
            <v>2082.5</v>
          </cell>
          <cell r="AA947">
            <v>500</v>
          </cell>
          <cell r="AB947">
            <v>500</v>
          </cell>
          <cell r="AC947">
            <v>500</v>
          </cell>
          <cell r="AD947">
            <v>500</v>
          </cell>
          <cell r="AE947">
            <v>500</v>
          </cell>
          <cell r="AF947">
            <v>0.19000073901493192</v>
          </cell>
          <cell r="AG947">
            <v>4.7059692958743439E-2</v>
          </cell>
          <cell r="AH947">
            <v>500</v>
          </cell>
          <cell r="AI947">
            <v>500</v>
          </cell>
          <cell r="AJ947">
            <v>0.2211546732589581</v>
          </cell>
          <cell r="AK947">
            <v>500</v>
          </cell>
          <cell r="AL947">
            <v>500</v>
          </cell>
          <cell r="AM947">
            <v>0.25000090035906319</v>
          </cell>
          <cell r="AN947">
            <v>500</v>
          </cell>
          <cell r="AO947">
            <v>500</v>
          </cell>
          <cell r="AP947">
            <v>500</v>
          </cell>
          <cell r="AQ947">
            <v>0</v>
          </cell>
          <cell r="AS947">
            <v>500</v>
          </cell>
        </row>
        <row r="948">
          <cell r="B948" t="str">
            <v>DI</v>
          </cell>
          <cell r="C948" t="str">
            <v>DI</v>
          </cell>
          <cell r="D948" t="str">
            <v>KMBS</v>
          </cell>
          <cell r="E948" t="str">
            <v>21</v>
          </cell>
          <cell r="F948">
            <v>39924</v>
          </cell>
          <cell r="G948">
            <v>39924</v>
          </cell>
          <cell r="H948" t="str">
            <v>7670525502</v>
          </cell>
          <cell r="I948" t="str">
            <v>DIS</v>
          </cell>
          <cell r="K948" t="str">
            <v>Delivery Charge - Level Zero</v>
          </cell>
          <cell r="L948">
            <v>60</v>
          </cell>
          <cell r="M948">
            <v>0</v>
          </cell>
          <cell r="N948">
            <v>409</v>
          </cell>
          <cell r="P948" t="str">
            <v>N/A</v>
          </cell>
          <cell r="Q948" t="str">
            <v>N/A</v>
          </cell>
          <cell r="S948" t="str">
            <v>N/A</v>
          </cell>
          <cell r="W948">
            <v>347.65</v>
          </cell>
          <cell r="AA948">
            <v>60</v>
          </cell>
          <cell r="AB948">
            <v>60</v>
          </cell>
          <cell r="AC948">
            <v>60</v>
          </cell>
          <cell r="AD948">
            <v>60</v>
          </cell>
          <cell r="AE948">
            <v>60</v>
          </cell>
          <cell r="AF948">
            <v>0.19000465983224607</v>
          </cell>
          <cell r="AG948">
            <v>4.7064305684995318E-2</v>
          </cell>
          <cell r="AH948">
            <v>60</v>
          </cell>
          <cell r="AI948">
            <v>60</v>
          </cell>
          <cell r="AJ948">
            <v>0.22116181643031571</v>
          </cell>
          <cell r="AK948">
            <v>60</v>
          </cell>
          <cell r="AL948">
            <v>60</v>
          </cell>
          <cell r="AM948">
            <v>0.24999460660582917</v>
          </cell>
          <cell r="AN948">
            <v>60</v>
          </cell>
          <cell r="AO948">
            <v>60</v>
          </cell>
          <cell r="AP948">
            <v>60</v>
          </cell>
          <cell r="AQ948">
            <v>0</v>
          </cell>
          <cell r="AS948">
            <v>60</v>
          </cell>
        </row>
        <row r="949">
          <cell r="B949" t="str">
            <v>DI</v>
          </cell>
          <cell r="C949" t="str">
            <v>DI</v>
          </cell>
          <cell r="D949" t="str">
            <v>KMBS</v>
          </cell>
          <cell r="E949" t="str">
            <v>21</v>
          </cell>
          <cell r="F949">
            <v>39924</v>
          </cell>
          <cell r="G949">
            <v>39924</v>
          </cell>
          <cell r="H949" t="str">
            <v>7670525503</v>
          </cell>
          <cell r="I949" t="str">
            <v>DIS</v>
          </cell>
          <cell r="J949">
            <v>3000003474</v>
          </cell>
          <cell r="K949" t="str">
            <v>Delivery Charge - Level Four</v>
          </cell>
          <cell r="L949">
            <v>1600</v>
          </cell>
          <cell r="M949">
            <v>1500</v>
          </cell>
          <cell r="N949">
            <v>2663</v>
          </cell>
          <cell r="O949">
            <v>4.5103092783505151E-3</v>
          </cell>
          <cell r="P949">
            <v>1552</v>
          </cell>
          <cell r="Q949">
            <v>1590</v>
          </cell>
          <cell r="R949">
            <v>1717.2</v>
          </cell>
          <cell r="S949">
            <v>1940</v>
          </cell>
          <cell r="T949">
            <v>0.20360824742268041</v>
          </cell>
          <cell r="U949">
            <v>1668.3999999999999</v>
          </cell>
          <cell r="V949">
            <v>7.3963078398465526E-2</v>
          </cell>
          <cell r="W949">
            <v>2263.5499999999997</v>
          </cell>
          <cell r="X949">
            <v>0.8</v>
          </cell>
          <cell r="Y949">
            <v>0</v>
          </cell>
          <cell r="Z949">
            <v>0</v>
          </cell>
          <cell r="AA949">
            <v>1600</v>
          </cell>
          <cell r="AB949">
            <v>1600</v>
          </cell>
          <cell r="AC949">
            <v>1600</v>
          </cell>
          <cell r="AD949">
            <v>1600</v>
          </cell>
          <cell r="AE949">
            <v>1600</v>
          </cell>
          <cell r="AF949">
            <v>0.19000110931791278</v>
          </cell>
          <cell r="AG949">
            <v>4.706012860930904E-2</v>
          </cell>
          <cell r="AH949">
            <v>1600</v>
          </cell>
          <cell r="AI949">
            <v>1600</v>
          </cell>
          <cell r="AJ949">
            <v>0.2211548056112777</v>
          </cell>
          <cell r="AK949">
            <v>1600</v>
          </cell>
          <cell r="AL949">
            <v>1600</v>
          </cell>
          <cell r="AM949">
            <v>0.25000082834394177</v>
          </cell>
          <cell r="AN949">
            <v>1600</v>
          </cell>
          <cell r="AO949">
            <v>1600</v>
          </cell>
          <cell r="AP949">
            <v>1600</v>
          </cell>
          <cell r="AQ949">
            <v>0</v>
          </cell>
          <cell r="AS949">
            <v>1600</v>
          </cell>
        </row>
        <row r="950">
          <cell r="B950" t="str">
            <v>DI</v>
          </cell>
          <cell r="C950" t="str">
            <v>DI</v>
          </cell>
          <cell r="D950" t="str">
            <v>KMBS</v>
          </cell>
          <cell r="E950" t="str">
            <v>21</v>
          </cell>
          <cell r="F950">
            <v>39924</v>
          </cell>
          <cell r="G950">
            <v>39924</v>
          </cell>
          <cell r="H950" t="str">
            <v>7670525504</v>
          </cell>
          <cell r="I950" t="str">
            <v>DIS</v>
          </cell>
          <cell r="J950">
            <v>3000003476</v>
          </cell>
          <cell r="K950" t="str">
            <v>Delivery Charge - FAX</v>
          </cell>
          <cell r="L950">
            <v>50</v>
          </cell>
          <cell r="M950">
            <v>2875</v>
          </cell>
          <cell r="N950">
            <v>3556</v>
          </cell>
          <cell r="O950">
            <v>0</v>
          </cell>
          <cell r="P950">
            <v>2961.25</v>
          </cell>
          <cell r="Q950">
            <v>3047.5</v>
          </cell>
          <cell r="R950">
            <v>3291.3</v>
          </cell>
          <cell r="S950">
            <v>3500</v>
          </cell>
          <cell r="T950">
            <v>0.15392857142857144</v>
          </cell>
          <cell r="U950">
            <v>3010</v>
          </cell>
          <cell r="V950">
            <v>1.6196013289036543E-2</v>
          </cell>
          <cell r="W950">
            <v>3022.6</v>
          </cell>
          <cell r="X950">
            <v>0.84607142857142859</v>
          </cell>
          <cell r="Y950">
            <v>0</v>
          </cell>
          <cell r="Z950">
            <v>0</v>
          </cell>
          <cell r="AA950">
            <v>50</v>
          </cell>
          <cell r="AB950">
            <v>50</v>
          </cell>
          <cell r="AC950">
            <v>50</v>
          </cell>
          <cell r="AD950">
            <v>50</v>
          </cell>
          <cell r="AE950">
            <v>50</v>
          </cell>
          <cell r="AF950">
            <v>0.18999892807374852</v>
          </cell>
          <cell r="AG950">
            <v>4.7057562439704125E-2</v>
          </cell>
          <cell r="AH950">
            <v>50</v>
          </cell>
          <cell r="AI950">
            <v>50</v>
          </cell>
          <cell r="AJ950">
            <v>0.22115401958839126</v>
          </cell>
          <cell r="AK950">
            <v>50</v>
          </cell>
          <cell r="AL950">
            <v>50</v>
          </cell>
          <cell r="AM950">
            <v>0.24999937967261607</v>
          </cell>
          <cell r="AN950">
            <v>50</v>
          </cell>
          <cell r="AO950">
            <v>50</v>
          </cell>
          <cell r="AP950">
            <v>50</v>
          </cell>
          <cell r="AQ950">
            <v>0</v>
          </cell>
          <cell r="AS950">
            <v>50</v>
          </cell>
        </row>
        <row r="951">
          <cell r="B951" t="str">
            <v>DI</v>
          </cell>
          <cell r="C951" t="str">
            <v>DI</v>
          </cell>
          <cell r="D951" t="str">
            <v>KMBS</v>
          </cell>
          <cell r="E951" t="str">
            <v>21</v>
          </cell>
          <cell r="F951">
            <v>39924</v>
          </cell>
          <cell r="G951">
            <v>39924</v>
          </cell>
          <cell r="H951" t="str">
            <v>7670527702</v>
          </cell>
          <cell r="I951" t="str">
            <v>DIS</v>
          </cell>
          <cell r="K951" t="str">
            <v>Installation Charge - Level Zero</v>
          </cell>
          <cell r="L951">
            <v>70</v>
          </cell>
          <cell r="M951">
            <v>127</v>
          </cell>
          <cell r="N951">
            <v>250</v>
          </cell>
          <cell r="O951">
            <v>0.26676008968609866</v>
          </cell>
          <cell r="P951">
            <v>178.4</v>
          </cell>
          <cell r="Q951">
            <v>134.62</v>
          </cell>
          <cell r="R951">
            <v>145.38999999999999</v>
          </cell>
          <cell r="S951">
            <v>223</v>
          </cell>
          <cell r="T951">
            <v>0.41340807174887889</v>
          </cell>
          <cell r="U951">
            <v>172.69119999999998</v>
          </cell>
          <cell r="V951">
            <v>0.24252075380795307</v>
          </cell>
          <cell r="W951">
            <v>212.5</v>
          </cell>
          <cell r="X951">
            <v>0.8</v>
          </cell>
          <cell r="AA951">
            <v>70</v>
          </cell>
          <cell r="AB951">
            <v>70</v>
          </cell>
          <cell r="AC951">
            <v>70</v>
          </cell>
          <cell r="AD951">
            <v>70</v>
          </cell>
          <cell r="AE951">
            <v>70</v>
          </cell>
          <cell r="AF951">
            <v>0.19001334095673725</v>
          </cell>
          <cell r="AG951">
            <v>4.7074518772632065E-2</v>
          </cell>
          <cell r="AH951">
            <v>70</v>
          </cell>
          <cell r="AI951">
            <v>70</v>
          </cell>
          <cell r="AJ951">
            <v>0.22115525582759119</v>
          </cell>
          <cell r="AK951">
            <v>70</v>
          </cell>
          <cell r="AL951">
            <v>70</v>
          </cell>
          <cell r="AM951">
            <v>0.24999117636678075</v>
          </cell>
          <cell r="AN951">
            <v>70</v>
          </cell>
          <cell r="AO951">
            <v>70</v>
          </cell>
          <cell r="AP951">
            <v>70</v>
          </cell>
          <cell r="AQ951">
            <v>0</v>
          </cell>
          <cell r="AS951">
            <v>70</v>
          </cell>
        </row>
        <row r="952">
          <cell r="B952" t="str">
            <v>DI</v>
          </cell>
          <cell r="C952" t="str">
            <v>DI</v>
          </cell>
          <cell r="D952" t="str">
            <v>KMBS</v>
          </cell>
          <cell r="E952" t="str">
            <v>21</v>
          </cell>
          <cell r="F952">
            <v>39924</v>
          </cell>
          <cell r="G952">
            <v>39924</v>
          </cell>
          <cell r="H952" t="str">
            <v>7670527703</v>
          </cell>
          <cell r="I952" t="str">
            <v>DIS</v>
          </cell>
          <cell r="K952" t="str">
            <v>Installation Charge - Level Four</v>
          </cell>
          <cell r="L952">
            <v>1000</v>
          </cell>
          <cell r="M952">
            <v>146.16</v>
          </cell>
          <cell r="N952">
            <v>294</v>
          </cell>
          <cell r="O952">
            <v>0.12587412587412591</v>
          </cell>
          <cell r="P952">
            <v>172.21776</v>
          </cell>
          <cell r="Q952">
            <v>154.91999999999999</v>
          </cell>
          <cell r="R952">
            <v>167.31</v>
          </cell>
          <cell r="S952">
            <v>215.27219999999997</v>
          </cell>
          <cell r="T952">
            <v>0.30069930069930062</v>
          </cell>
          <cell r="W952">
            <v>249.9</v>
          </cell>
          <cell r="X952">
            <v>0.80000000000000016</v>
          </cell>
          <cell r="AA952">
            <v>1000</v>
          </cell>
          <cell r="AB952">
            <v>1000</v>
          </cell>
          <cell r="AC952">
            <v>1000</v>
          </cell>
          <cell r="AD952">
            <v>1000</v>
          </cell>
          <cell r="AE952">
            <v>1000</v>
          </cell>
          <cell r="AF952">
            <v>0.190003889537145</v>
          </cell>
          <cell r="AG952">
            <v>4.7063399455464741E-2</v>
          </cell>
          <cell r="AH952">
            <v>1000</v>
          </cell>
          <cell r="AI952">
            <v>1000</v>
          </cell>
          <cell r="AJ952">
            <v>0.22115564420619585</v>
          </cell>
          <cell r="AK952">
            <v>1000</v>
          </cell>
          <cell r="AL952">
            <v>1000</v>
          </cell>
          <cell r="AM952">
            <v>0.24999999999999994</v>
          </cell>
          <cell r="AN952">
            <v>1000</v>
          </cell>
          <cell r="AO952">
            <v>1000</v>
          </cell>
          <cell r="AP952">
            <v>1000</v>
          </cell>
          <cell r="AQ952">
            <v>0</v>
          </cell>
          <cell r="AS952">
            <v>1000</v>
          </cell>
        </row>
        <row r="953">
          <cell r="B953" t="str">
            <v>DI</v>
          </cell>
          <cell r="C953" t="str">
            <v>DI</v>
          </cell>
          <cell r="D953" t="str">
            <v>KMBS</v>
          </cell>
          <cell r="E953" t="str">
            <v>21</v>
          </cell>
          <cell r="F953">
            <v>39924</v>
          </cell>
          <cell r="G953">
            <v>39924</v>
          </cell>
          <cell r="H953" t="str">
            <v>7670527704</v>
          </cell>
          <cell r="I953" t="str">
            <v>DIS</v>
          </cell>
          <cell r="J953" t="str">
            <v>KHR696621A00</v>
          </cell>
          <cell r="K953" t="str">
            <v>Installation Charge - FAX</v>
          </cell>
          <cell r="L953">
            <v>50</v>
          </cell>
          <cell r="M953" t="str">
            <v>Refer Solutions</v>
          </cell>
          <cell r="N953">
            <v>250</v>
          </cell>
          <cell r="S953">
            <v>0</v>
          </cell>
          <cell r="W953">
            <v>212.5</v>
          </cell>
          <cell r="AA953">
            <v>50</v>
          </cell>
          <cell r="AB953">
            <v>50</v>
          </cell>
          <cell r="AC953">
            <v>50</v>
          </cell>
          <cell r="AD953">
            <v>50</v>
          </cell>
          <cell r="AE953">
            <v>50</v>
          </cell>
          <cell r="AF953">
            <v>0.19001334095673725</v>
          </cell>
          <cell r="AG953">
            <v>4.7074518772632065E-2</v>
          </cell>
          <cell r="AH953">
            <v>50</v>
          </cell>
          <cell r="AI953">
            <v>50</v>
          </cell>
          <cell r="AJ953">
            <v>0.22115525582759119</v>
          </cell>
          <cell r="AK953">
            <v>50</v>
          </cell>
          <cell r="AL953">
            <v>50</v>
          </cell>
          <cell r="AM953">
            <v>0.24999117636678075</v>
          </cell>
          <cell r="AN953">
            <v>50</v>
          </cell>
          <cell r="AO953">
            <v>50</v>
          </cell>
          <cell r="AP953">
            <v>50</v>
          </cell>
          <cell r="AQ953">
            <v>0</v>
          </cell>
          <cell r="AS953">
            <v>50</v>
          </cell>
        </row>
        <row r="954">
          <cell r="B954" t="str">
            <v>DI</v>
          </cell>
          <cell r="C954" t="str">
            <v>DI</v>
          </cell>
          <cell r="D954" t="str">
            <v>KMBS</v>
          </cell>
          <cell r="E954" t="str">
            <v>21</v>
          </cell>
          <cell r="F954">
            <v>39924</v>
          </cell>
          <cell r="G954">
            <v>39924</v>
          </cell>
          <cell r="H954" t="str">
            <v>VCAREACT-O</v>
          </cell>
          <cell r="I954" t="str">
            <v>TBD</v>
          </cell>
          <cell r="J954" t="str">
            <v>KHR69662200</v>
          </cell>
          <cell r="K954" t="str">
            <v>vCare activation for MFPs with Konica Minolta email Address for MFPs supporting One-Way email communication.</v>
          </cell>
          <cell r="L954">
            <v>0</v>
          </cell>
          <cell r="M954" t="str">
            <v>Refer Solutions</v>
          </cell>
          <cell r="N954">
            <v>44</v>
          </cell>
          <cell r="S954">
            <v>0</v>
          </cell>
          <cell r="W954">
            <v>37.4</v>
          </cell>
          <cell r="AA954">
            <v>0</v>
          </cell>
          <cell r="AB954">
            <v>0</v>
          </cell>
          <cell r="AC954">
            <v>0</v>
          </cell>
          <cell r="AD954">
            <v>0</v>
          </cell>
          <cell r="AE954">
            <v>0</v>
          </cell>
          <cell r="AF954">
            <v>0.18995018410223094</v>
          </cell>
          <cell r="AG954">
            <v>4.70002165908599E-2</v>
          </cell>
          <cell r="AH954">
            <v>0</v>
          </cell>
          <cell r="AI954">
            <v>0</v>
          </cell>
          <cell r="AJ954">
            <v>0.22115785089546031</v>
          </cell>
          <cell r="AK954">
            <v>0</v>
          </cell>
          <cell r="AL954">
            <v>0</v>
          </cell>
          <cell r="AM954">
            <v>0.25005013033888107</v>
          </cell>
          <cell r="AN954">
            <v>0</v>
          </cell>
          <cell r="AO954">
            <v>0</v>
          </cell>
          <cell r="AP954">
            <v>0</v>
          </cell>
          <cell r="AQ954">
            <v>0</v>
          </cell>
          <cell r="AS954">
            <v>0</v>
          </cell>
        </row>
        <row r="955">
          <cell r="B955" t="str">
            <v>DI</v>
          </cell>
          <cell r="C955" t="str">
            <v>DI</v>
          </cell>
          <cell r="D955" t="str">
            <v>KMBS</v>
          </cell>
          <cell r="E955" t="str">
            <v>21</v>
          </cell>
          <cell r="F955">
            <v>39924</v>
          </cell>
          <cell r="G955">
            <v>39924</v>
          </cell>
          <cell r="H955" t="str">
            <v>VCAREACT</v>
          </cell>
          <cell r="I955" t="str">
            <v>TBD</v>
          </cell>
          <cell r="J955" t="str">
            <v>KHR696627A00</v>
          </cell>
          <cell r="K955" t="str">
            <v>vCare activation for MFPs with Konica Minolta email Address for MFPs supporting Two-Way email communication.</v>
          </cell>
          <cell r="L955">
            <v>0</v>
          </cell>
          <cell r="M955" t="str">
            <v>Refer Solutions</v>
          </cell>
          <cell r="N955">
            <v>426</v>
          </cell>
          <cell r="S955">
            <v>0</v>
          </cell>
          <cell r="W955">
            <v>362.09999999999997</v>
          </cell>
          <cell r="AA955">
            <v>0</v>
          </cell>
          <cell r="AB955">
            <v>0</v>
          </cell>
          <cell r="AC955">
            <v>0</v>
          </cell>
          <cell r="AD955">
            <v>0</v>
          </cell>
          <cell r="AE955">
            <v>0</v>
          </cell>
          <cell r="AF955">
            <v>0.19000536864710105</v>
          </cell>
          <cell r="AG955">
            <v>4.7065139584824667E-2</v>
          </cell>
          <cell r="AH955">
            <v>0</v>
          </cell>
          <cell r="AI955">
            <v>0</v>
          </cell>
          <cell r="AJ955">
            <v>0.2211563279704036</v>
          </cell>
          <cell r="AK955">
            <v>0</v>
          </cell>
          <cell r="AL955">
            <v>0</v>
          </cell>
          <cell r="AM955">
            <v>0.25000000000000011</v>
          </cell>
          <cell r="AN955">
            <v>0</v>
          </cell>
          <cell r="AO955">
            <v>0</v>
          </cell>
          <cell r="AP955">
            <v>0</v>
          </cell>
          <cell r="AQ955">
            <v>0</v>
          </cell>
          <cell r="AS955">
            <v>0</v>
          </cell>
        </row>
        <row r="956">
          <cell r="B956" t="str">
            <v>AC</v>
          </cell>
          <cell r="C956" t="str">
            <v>IMP</v>
          </cell>
          <cell r="D956" t="str">
            <v>BT</v>
          </cell>
          <cell r="E956" t="str">
            <v>P3</v>
          </cell>
          <cell r="F956">
            <v>39990</v>
          </cell>
          <cell r="G956">
            <v>40001</v>
          </cell>
          <cell r="H956" t="str">
            <v>4388602</v>
          </cell>
          <cell r="I956">
            <v>7640014186</v>
          </cell>
          <cell r="J956" t="str">
            <v>KHR696630A00</v>
          </cell>
          <cell r="K956" t="str">
            <v>Internet Fax, PC Fax &amp; Network Scan Kit (SU-3)</v>
          </cell>
          <cell r="L956">
            <v>1500</v>
          </cell>
          <cell r="M956" t="str">
            <v>Refer Solutions</v>
          </cell>
          <cell r="N956">
            <v>629</v>
          </cell>
          <cell r="S956">
            <v>0</v>
          </cell>
          <cell r="W956">
            <v>534.65</v>
          </cell>
          <cell r="AB956">
            <v>534.65</v>
          </cell>
          <cell r="AC956">
            <v>594.05999999999995</v>
          </cell>
          <cell r="AD956">
            <v>627.05999999999995</v>
          </cell>
          <cell r="AE956">
            <v>660.06</v>
          </cell>
          <cell r="AF956">
            <v>0.1899978789806987</v>
          </cell>
          <cell r="AG956">
            <v>4.7056328212586658E-2</v>
          </cell>
          <cell r="AH956">
            <v>673.27</v>
          </cell>
          <cell r="AI956">
            <v>686.47</v>
          </cell>
          <cell r="AJ956">
            <v>0.22116042944338432</v>
          </cell>
          <cell r="AK956">
            <v>699.67</v>
          </cell>
          <cell r="AL956">
            <v>712.87</v>
          </cell>
          <cell r="AM956">
            <v>0.2500035069507765</v>
          </cell>
          <cell r="AN956">
            <v>813.12</v>
          </cell>
          <cell r="AO956">
            <v>913.37</v>
          </cell>
          <cell r="AP956">
            <v>1013.62</v>
          </cell>
          <cell r="AQ956">
            <v>0</v>
          </cell>
          <cell r="AS956">
            <v>1500</v>
          </cell>
        </row>
        <row r="957">
          <cell r="B957" t="str">
            <v>MB</v>
          </cell>
          <cell r="C957" t="str">
            <v>DDP</v>
          </cell>
          <cell r="D957" t="str">
            <v>Oce</v>
          </cell>
          <cell r="E957" t="str">
            <v>08</v>
          </cell>
          <cell r="F957">
            <v>39924</v>
          </cell>
          <cell r="G957">
            <v>39924</v>
          </cell>
          <cell r="H957" t="str">
            <v>A0X1600P</v>
          </cell>
          <cell r="I957" t="str">
            <v>9KMBHPRO1600P_N</v>
          </cell>
          <cell r="J957" t="str">
            <v>KHR696629A00</v>
          </cell>
          <cell r="K957" t="str">
            <v>bizhub PRO 1600P</v>
          </cell>
          <cell r="L957">
            <v>138400</v>
          </cell>
          <cell r="M957">
            <v>50840.36</v>
          </cell>
          <cell r="N957">
            <v>50840.36</v>
          </cell>
          <cell r="O957">
            <v>0.27876295387321692</v>
          </cell>
          <cell r="P957">
            <v>70490.5</v>
          </cell>
          <cell r="Q957">
            <v>52321.15</v>
          </cell>
          <cell r="R957">
            <v>59122.9</v>
          </cell>
          <cell r="S957">
            <v>82930</v>
          </cell>
          <cell r="T957">
            <v>0.38694851079223441</v>
          </cell>
          <cell r="U957">
            <v>58051</v>
          </cell>
          <cell r="V957">
            <v>0.12421215827462058</v>
          </cell>
          <cell r="W957">
            <v>70490.5</v>
          </cell>
          <cell r="X957">
            <v>0.85</v>
          </cell>
          <cell r="Y957">
            <v>1600</v>
          </cell>
          <cell r="Z957">
            <v>1000</v>
          </cell>
          <cell r="AA957">
            <v>108821</v>
          </cell>
          <cell r="AB957">
            <v>70491</v>
          </cell>
          <cell r="AC957">
            <v>85965</v>
          </cell>
          <cell r="AD957">
            <v>98504</v>
          </cell>
          <cell r="AE957">
            <v>111042</v>
          </cell>
          <cell r="AF957">
            <v>0.36519064858341888</v>
          </cell>
          <cell r="AG957">
            <v>0.54215197853064601</v>
          </cell>
          <cell r="AH957">
            <v>116514</v>
          </cell>
          <cell r="AI957">
            <v>121986</v>
          </cell>
          <cell r="AJ957">
            <v>0.42214270490056238</v>
          </cell>
          <cell r="AK957">
            <v>127457.5</v>
          </cell>
          <cell r="AL957">
            <v>132929</v>
          </cell>
          <cell r="AM957">
            <v>0.46971315514297107</v>
          </cell>
          <cell r="AN957">
            <v>138400</v>
          </cell>
          <cell r="AO957" t="str">
            <v>n/a</v>
          </cell>
          <cell r="AP957" t="str">
            <v>n/a</v>
          </cell>
          <cell r="AQ957">
            <v>0</v>
          </cell>
          <cell r="AS957">
            <v>138400</v>
          </cell>
        </row>
        <row r="958">
          <cell r="B958" t="str">
            <v>MB</v>
          </cell>
          <cell r="C958" t="str">
            <v>DDP</v>
          </cell>
          <cell r="D958" t="str">
            <v>Oce</v>
          </cell>
          <cell r="E958" t="str">
            <v>08</v>
          </cell>
          <cell r="F958">
            <v>39924</v>
          </cell>
          <cell r="G958">
            <v>39924</v>
          </cell>
          <cell r="H958" t="str">
            <v>A0X2000P</v>
          </cell>
          <cell r="I958" t="str">
            <v>9KMBHPRO2000P_N</v>
          </cell>
          <cell r="J958" t="str">
            <v>KHR696623A00</v>
          </cell>
          <cell r="K958" t="str">
            <v>bizhub PRO 2000P</v>
          </cell>
          <cell r="L958">
            <v>188100</v>
          </cell>
          <cell r="M958">
            <v>60840.36</v>
          </cell>
          <cell r="N958">
            <v>60840.36</v>
          </cell>
          <cell r="O958">
            <v>0.35183469965003117</v>
          </cell>
          <cell r="P958">
            <v>93865.5</v>
          </cell>
          <cell r="Q958">
            <v>62612.41</v>
          </cell>
          <cell r="R958">
            <v>70752.02</v>
          </cell>
          <cell r="S958">
            <v>110430</v>
          </cell>
          <cell r="T958">
            <v>0.44905949470252648</v>
          </cell>
          <cell r="U958">
            <v>77301</v>
          </cell>
          <cell r="V958">
            <v>0.21294213528932354</v>
          </cell>
          <cell r="W958">
            <v>93865.5</v>
          </cell>
          <cell r="X958">
            <v>0.85</v>
          </cell>
          <cell r="Y958">
            <v>1600</v>
          </cell>
          <cell r="Z958">
            <v>1000</v>
          </cell>
          <cell r="AA958">
            <v>144077</v>
          </cell>
          <cell r="AB958">
            <v>93866</v>
          </cell>
          <cell r="AC958">
            <v>114471</v>
          </cell>
          <cell r="AD958">
            <v>130744</v>
          </cell>
          <cell r="AE958">
            <v>147017</v>
          </cell>
          <cell r="AF958">
            <v>0.36153301999088538</v>
          </cell>
          <cell r="AG958">
            <v>0.58616785813885464</v>
          </cell>
          <cell r="AH958">
            <v>155234</v>
          </cell>
          <cell r="AI958">
            <v>163451</v>
          </cell>
          <cell r="AJ958">
            <v>0.42572697628035311</v>
          </cell>
          <cell r="AK958">
            <v>171667.5</v>
          </cell>
          <cell r="AL958">
            <v>179884</v>
          </cell>
          <cell r="AM958">
            <v>0.47818872162059994</v>
          </cell>
          <cell r="AN958">
            <v>188100</v>
          </cell>
          <cell r="AO958" t="str">
            <v>n/a</v>
          </cell>
          <cell r="AP958" t="str">
            <v>n/a</v>
          </cell>
          <cell r="AQ958">
            <v>0</v>
          </cell>
          <cell r="AS958">
            <v>188100</v>
          </cell>
        </row>
        <row r="959">
          <cell r="B959" t="str">
            <v>MB</v>
          </cell>
          <cell r="C959" t="str">
            <v>DDP</v>
          </cell>
          <cell r="D959" t="str">
            <v>Oce</v>
          </cell>
          <cell r="E959" t="str">
            <v>08</v>
          </cell>
          <cell r="F959">
            <v>39924</v>
          </cell>
          <cell r="G959">
            <v>39924</v>
          </cell>
          <cell r="H959" t="str">
            <v>A0X2500P</v>
          </cell>
          <cell r="I959" t="str">
            <v>9KMBHPRO2500P_N</v>
          </cell>
          <cell r="J959" t="str">
            <v>KHR696628A00</v>
          </cell>
          <cell r="K959" t="str">
            <v>bizhub PRO 2500P</v>
          </cell>
          <cell r="L959">
            <v>229200</v>
          </cell>
          <cell r="M959">
            <v>80840.36</v>
          </cell>
          <cell r="N959">
            <v>80840.36</v>
          </cell>
          <cell r="O959">
            <v>0.31047411090877297</v>
          </cell>
          <cell r="P959">
            <v>117240.5</v>
          </cell>
          <cell r="Q959">
            <v>83194.929999999993</v>
          </cell>
          <cell r="R959">
            <v>94010.27</v>
          </cell>
          <cell r="S959">
            <v>137930</v>
          </cell>
          <cell r="T959">
            <v>0.41390299427245703</v>
          </cell>
          <cell r="U959">
            <v>96551</v>
          </cell>
          <cell r="V959">
            <v>0.16271856324636719</v>
          </cell>
          <cell r="W959">
            <v>117240.5</v>
          </cell>
          <cell r="X959">
            <v>0.85</v>
          </cell>
          <cell r="Y959">
            <v>1600</v>
          </cell>
          <cell r="Z959">
            <v>1000</v>
          </cell>
          <cell r="AA959">
            <v>179333</v>
          </cell>
          <cell r="AB959">
            <v>117241</v>
          </cell>
          <cell r="AC959">
            <v>142977</v>
          </cell>
          <cell r="AD959">
            <v>162985</v>
          </cell>
          <cell r="AE959">
            <v>182993</v>
          </cell>
          <cell r="AF959">
            <v>0.35931702305552671</v>
          </cell>
          <cell r="AG959">
            <v>0.55823250069674801</v>
          </cell>
          <cell r="AH959">
            <v>192235</v>
          </cell>
          <cell r="AI959">
            <v>201476</v>
          </cell>
          <cell r="AJ959">
            <v>0.41809198117889973</v>
          </cell>
          <cell r="AK959">
            <v>210717.5</v>
          </cell>
          <cell r="AL959">
            <v>219959</v>
          </cell>
          <cell r="AM959">
            <v>0.46698930255183918</v>
          </cell>
          <cell r="AN959">
            <v>229200</v>
          </cell>
          <cell r="AO959" t="str">
            <v>n/a</v>
          </cell>
          <cell r="AP959" t="str">
            <v>n/a</v>
          </cell>
          <cell r="AQ959">
            <v>0</v>
          </cell>
          <cell r="AS959">
            <v>229200</v>
          </cell>
        </row>
        <row r="960">
          <cell r="B960" t="str">
            <v>AC</v>
          </cell>
          <cell r="C960" t="str">
            <v>IMP</v>
          </cell>
          <cell r="D960" t="str">
            <v>BT</v>
          </cell>
          <cell r="E960" t="str">
            <v>P3</v>
          </cell>
          <cell r="F960">
            <v>39990</v>
          </cell>
          <cell r="G960">
            <v>40001</v>
          </cell>
          <cell r="H960" t="str">
            <v>4388608</v>
          </cell>
          <cell r="I960">
            <v>7640014190</v>
          </cell>
          <cell r="J960" t="str">
            <v>KHR696618A00</v>
          </cell>
          <cell r="K960" t="str">
            <v>Network Interface Card (NC-4)</v>
          </cell>
          <cell r="L960">
            <v>360</v>
          </cell>
          <cell r="M960" t="str">
            <v>Refer Solutions</v>
          </cell>
          <cell r="N960">
            <v>137</v>
          </cell>
          <cell r="S960">
            <v>0</v>
          </cell>
          <cell r="W960">
            <v>116.45</v>
          </cell>
          <cell r="AB960">
            <v>116.45</v>
          </cell>
          <cell r="AC960">
            <v>129.38999999999999</v>
          </cell>
          <cell r="AD960">
            <v>136.58000000000001</v>
          </cell>
          <cell r="AE960">
            <v>143.77000000000001</v>
          </cell>
          <cell r="AF960">
            <v>0.19002573554983659</v>
          </cell>
          <cell r="AG960">
            <v>4.708910064686659E-2</v>
          </cell>
          <cell r="AH960">
            <v>146.65</v>
          </cell>
          <cell r="AI960">
            <v>149.52000000000001</v>
          </cell>
          <cell r="AJ960">
            <v>0.22117442482611024</v>
          </cell>
          <cell r="AK960">
            <v>152.4</v>
          </cell>
          <cell r="AL960">
            <v>155.27000000000001</v>
          </cell>
          <cell r="AM960">
            <v>0.25001610098538035</v>
          </cell>
          <cell r="AN960">
            <v>177.1</v>
          </cell>
          <cell r="AO960">
            <v>198.93</v>
          </cell>
          <cell r="AP960">
            <v>220.76</v>
          </cell>
          <cell r="AQ960">
            <v>0</v>
          </cell>
          <cell r="AS960">
            <v>360</v>
          </cell>
        </row>
        <row r="961">
          <cell r="B961" t="str">
            <v>MB</v>
          </cell>
          <cell r="C961" t="str">
            <v>DOM</v>
          </cell>
          <cell r="D961" t="str">
            <v>EK</v>
          </cell>
          <cell r="E961" t="str">
            <v>21</v>
          </cell>
          <cell r="F961">
            <v>39924</v>
          </cell>
          <cell r="G961">
            <v>40015</v>
          </cell>
          <cell r="H961" t="str">
            <v>7640005230</v>
          </cell>
          <cell r="I961" t="str">
            <v>9KDEX110G_N</v>
          </cell>
          <cell r="J961" t="str">
            <v>KHB694141A00</v>
          </cell>
          <cell r="K961" t="str">
            <v>DM EX 110 Marking Engine 60Hz</v>
          </cell>
          <cell r="L961">
            <v>107752</v>
          </cell>
          <cell r="M961">
            <v>37617</v>
          </cell>
          <cell r="N961">
            <v>38745.51</v>
          </cell>
          <cell r="O961">
            <v>0</v>
          </cell>
          <cell r="P961">
            <v>38745.51</v>
          </cell>
          <cell r="Q961">
            <v>39874.019999999997</v>
          </cell>
          <cell r="R961">
            <v>45057.64</v>
          </cell>
          <cell r="S961">
            <v>0</v>
          </cell>
          <cell r="T961" t="e">
            <v>#DIV/0!</v>
          </cell>
          <cell r="W961">
            <v>38745.51</v>
          </cell>
          <cell r="X961" t="e">
            <v>#DIV/0!</v>
          </cell>
          <cell r="Y961">
            <v>1600</v>
          </cell>
          <cell r="Z961">
            <v>1000</v>
          </cell>
          <cell r="AA961">
            <v>43820</v>
          </cell>
          <cell r="AB961">
            <v>38746</v>
          </cell>
          <cell r="AC961">
            <v>41219</v>
          </cell>
          <cell r="AD961">
            <v>42967</v>
          </cell>
          <cell r="AE961">
            <v>44714.68</v>
          </cell>
          <cell r="AF961">
            <v>0.13349463755527263</v>
          </cell>
          <cell r="AG961">
            <v>0.13349463755527263</v>
          </cell>
          <cell r="AH961">
            <v>49546</v>
          </cell>
          <cell r="AI961">
            <v>54376</v>
          </cell>
          <cell r="AJ961">
            <v>0.28745200088274236</v>
          </cell>
          <cell r="AK961">
            <v>59206.5</v>
          </cell>
          <cell r="AL961">
            <v>64037</v>
          </cell>
          <cell r="AM961">
            <v>0.39495120008744944</v>
          </cell>
          <cell r="AN961">
            <v>74965.75</v>
          </cell>
          <cell r="AO961">
            <v>85894.5</v>
          </cell>
          <cell r="AP961">
            <v>96823.25</v>
          </cell>
          <cell r="AQ961">
            <v>0</v>
          </cell>
          <cell r="AS961">
            <v>107752</v>
          </cell>
        </row>
        <row r="962">
          <cell r="B962" t="str">
            <v>MB</v>
          </cell>
          <cell r="C962" t="str">
            <v>DOM</v>
          </cell>
          <cell r="D962" t="str">
            <v>EK</v>
          </cell>
          <cell r="E962" t="str">
            <v>21</v>
          </cell>
          <cell r="F962">
            <v>39924</v>
          </cell>
          <cell r="G962">
            <v>40015</v>
          </cell>
          <cell r="H962" t="str">
            <v>7640005231</v>
          </cell>
          <cell r="I962" t="str">
            <v>9KDEX125G_N</v>
          </cell>
          <cell r="J962" t="str">
            <v>KHB694143A00</v>
          </cell>
          <cell r="K962" t="str">
            <v>DM EX 125 Marking Engine 60Hz</v>
          </cell>
          <cell r="L962">
            <v>119652</v>
          </cell>
          <cell r="M962">
            <v>42617</v>
          </cell>
          <cell r="N962">
            <v>43895.51</v>
          </cell>
          <cell r="O962">
            <v>0</v>
          </cell>
          <cell r="P962">
            <v>43895.51</v>
          </cell>
          <cell r="Q962">
            <v>45174.02</v>
          </cell>
          <cell r="R962">
            <v>51046.64</v>
          </cell>
          <cell r="S962">
            <v>0</v>
          </cell>
          <cell r="T962" t="e">
            <v>#DIV/0!</v>
          </cell>
          <cell r="W962">
            <v>43895.51</v>
          </cell>
          <cell r="X962" t="e">
            <v>#DIV/0!</v>
          </cell>
          <cell r="Y962">
            <v>1600</v>
          </cell>
          <cell r="Z962">
            <v>1000</v>
          </cell>
          <cell r="AA962">
            <v>49306</v>
          </cell>
          <cell r="AB962">
            <v>43896</v>
          </cell>
          <cell r="AC962">
            <v>46698</v>
          </cell>
          <cell r="AD962">
            <v>48506</v>
          </cell>
          <cell r="AE962">
            <v>50312.51</v>
          </cell>
          <cell r="AF962">
            <v>0.12754283179272907</v>
          </cell>
          <cell r="AG962">
            <v>0.12754283179272907</v>
          </cell>
          <cell r="AH962">
            <v>56431</v>
          </cell>
          <cell r="AI962">
            <v>62549</v>
          </cell>
          <cell r="AJ962">
            <v>0.29822203392540247</v>
          </cell>
          <cell r="AK962">
            <v>68667</v>
          </cell>
          <cell r="AL962">
            <v>74785</v>
          </cell>
          <cell r="AM962">
            <v>0.41304392592097344</v>
          </cell>
          <cell r="AN962">
            <v>86001.75</v>
          </cell>
          <cell r="AO962">
            <v>97218.5</v>
          </cell>
          <cell r="AP962">
            <v>108435.25</v>
          </cell>
          <cell r="AQ962">
            <v>0</v>
          </cell>
          <cell r="AS962">
            <v>119652</v>
          </cell>
        </row>
        <row r="963">
          <cell r="B963" t="str">
            <v>MB</v>
          </cell>
          <cell r="C963" t="str">
            <v>DOM</v>
          </cell>
          <cell r="D963" t="str">
            <v>EK</v>
          </cell>
          <cell r="E963" t="str">
            <v>21</v>
          </cell>
          <cell r="F963">
            <v>39924</v>
          </cell>
          <cell r="G963">
            <v>40015</v>
          </cell>
          <cell r="H963" t="str">
            <v>7640005232</v>
          </cell>
          <cell r="I963" t="str">
            <v>9KDEX138G_N</v>
          </cell>
          <cell r="J963" t="str">
            <v>KHB694145A00</v>
          </cell>
          <cell r="K963" t="str">
            <v>DM EX 138 Marking Engine 60Hz</v>
          </cell>
          <cell r="L963">
            <v>184652</v>
          </cell>
          <cell r="M963">
            <v>53617</v>
          </cell>
          <cell r="N963">
            <v>55225.51</v>
          </cell>
          <cell r="O963">
            <v>0</v>
          </cell>
          <cell r="P963">
            <v>55225.51</v>
          </cell>
          <cell r="Q963">
            <v>56834.02</v>
          </cell>
          <cell r="R963">
            <v>64222.44</v>
          </cell>
          <cell r="S963">
            <v>0</v>
          </cell>
          <cell r="T963" t="e">
            <v>#DIV/0!</v>
          </cell>
          <cell r="W963">
            <v>55225.51</v>
          </cell>
          <cell r="X963" t="e">
            <v>#DIV/0!</v>
          </cell>
          <cell r="Y963">
            <v>1600</v>
          </cell>
          <cell r="Z963">
            <v>1000</v>
          </cell>
          <cell r="AA963">
            <v>61375</v>
          </cell>
          <cell r="AB963">
            <v>55226</v>
          </cell>
          <cell r="AC963">
            <v>58751</v>
          </cell>
          <cell r="AD963">
            <v>60690</v>
          </cell>
          <cell r="AE963">
            <v>62627.73</v>
          </cell>
          <cell r="AF963">
            <v>0.11819396934872142</v>
          </cell>
          <cell r="AG963">
            <v>0.11819396934872142</v>
          </cell>
          <cell r="AH963">
            <v>74172</v>
          </cell>
          <cell r="AI963">
            <v>85716</v>
          </cell>
          <cell r="AJ963">
            <v>0.35571526902795275</v>
          </cell>
          <cell r="AK963">
            <v>97260</v>
          </cell>
          <cell r="AL963">
            <v>108804</v>
          </cell>
          <cell r="AM963">
            <v>0.4924312525274806</v>
          </cell>
          <cell r="AN963">
            <v>127766</v>
          </cell>
          <cell r="AO963">
            <v>146728</v>
          </cell>
          <cell r="AP963">
            <v>165690</v>
          </cell>
          <cell r="AQ963">
            <v>0</v>
          </cell>
          <cell r="AS963">
            <v>184652</v>
          </cell>
        </row>
        <row r="964">
          <cell r="B964" t="str">
            <v>MB</v>
          </cell>
          <cell r="C964" t="str">
            <v>DOM</v>
          </cell>
          <cell r="D964" t="str">
            <v>EK</v>
          </cell>
          <cell r="E964" t="str">
            <v>21</v>
          </cell>
          <cell r="F964">
            <v>39924</v>
          </cell>
          <cell r="G964">
            <v>40015</v>
          </cell>
          <cell r="H964" t="str">
            <v>7640005233</v>
          </cell>
          <cell r="I964" t="str">
            <v>9KDEX150G_N</v>
          </cell>
          <cell r="J964" t="str">
            <v>KHB694147A00</v>
          </cell>
          <cell r="K964" t="str">
            <v>DM EX 150 Marking Engine 60Hz</v>
          </cell>
          <cell r="L964">
            <v>225252</v>
          </cell>
          <cell r="M964">
            <v>63617</v>
          </cell>
          <cell r="N964">
            <v>65525.51</v>
          </cell>
          <cell r="O964">
            <v>0</v>
          </cell>
          <cell r="P964">
            <v>65525.51</v>
          </cell>
          <cell r="Q964">
            <v>67434.02</v>
          </cell>
          <cell r="R964">
            <v>76200.44</v>
          </cell>
          <cell r="S964">
            <v>0</v>
          </cell>
          <cell r="T964" t="e">
            <v>#DIV/0!</v>
          </cell>
          <cell r="W964">
            <v>65525.51</v>
          </cell>
          <cell r="X964" t="e">
            <v>#DIV/0!</v>
          </cell>
          <cell r="Y964">
            <v>1600</v>
          </cell>
          <cell r="Z964">
            <v>1000</v>
          </cell>
          <cell r="AA964">
            <v>72347</v>
          </cell>
          <cell r="AB964">
            <v>65526</v>
          </cell>
          <cell r="AC964">
            <v>69708</v>
          </cell>
          <cell r="AD964">
            <v>71766</v>
          </cell>
          <cell r="AE964">
            <v>73823.38</v>
          </cell>
          <cell r="AF964">
            <v>0.11240165378502044</v>
          </cell>
          <cell r="AG964">
            <v>0.11240165378502044</v>
          </cell>
          <cell r="AH964">
            <v>88267</v>
          </cell>
          <cell r="AI964">
            <v>102709</v>
          </cell>
          <cell r="AJ964">
            <v>0.362027573046179</v>
          </cell>
          <cell r="AK964">
            <v>117151.5</v>
          </cell>
          <cell r="AL964">
            <v>131594</v>
          </cell>
          <cell r="AM964">
            <v>0.50206308798273469</v>
          </cell>
          <cell r="AN964">
            <v>155008.5</v>
          </cell>
          <cell r="AO964">
            <v>178423</v>
          </cell>
          <cell r="AP964">
            <v>201837.5</v>
          </cell>
          <cell r="AQ964">
            <v>0</v>
          </cell>
          <cell r="AS964">
            <v>225252</v>
          </cell>
        </row>
        <row r="965">
          <cell r="B965" t="str">
            <v>MB</v>
          </cell>
          <cell r="C965" t="str">
            <v>DOM</v>
          </cell>
          <cell r="D965" t="str">
            <v>EK</v>
          </cell>
          <cell r="E965" t="str">
            <v>21</v>
          </cell>
          <cell r="F965">
            <v>40015</v>
          </cell>
          <cell r="G965">
            <v>40015</v>
          </cell>
          <cell r="H965" t="str">
            <v>TBD-EX300FS</v>
          </cell>
          <cell r="K965" t="str">
            <v>DM EX 300FS Marking Engine 60Hz</v>
          </cell>
          <cell r="L965">
            <v>398000</v>
          </cell>
          <cell r="M965">
            <v>175000</v>
          </cell>
          <cell r="N965">
            <v>180250</v>
          </cell>
          <cell r="O965">
            <v>0</v>
          </cell>
          <cell r="P965">
            <v>180250</v>
          </cell>
          <cell r="Q965">
            <v>185500</v>
          </cell>
          <cell r="R965">
            <v>209615</v>
          </cell>
          <cell r="S965">
            <v>108334.74079999999</v>
          </cell>
          <cell r="T965" t="e">
            <v>#DIV/0!</v>
          </cell>
          <cell r="W965">
            <v>180250</v>
          </cell>
          <cell r="X965" t="e">
            <v>#DIV/0!</v>
          </cell>
          <cell r="Y965">
            <v>1600</v>
          </cell>
          <cell r="Z965">
            <v>1000</v>
          </cell>
          <cell r="AA965">
            <v>194553</v>
          </cell>
          <cell r="AB965">
            <v>180250</v>
          </cell>
          <cell r="AC965">
            <v>191756</v>
          </cell>
          <cell r="AD965">
            <v>195140</v>
          </cell>
          <cell r="AE965">
            <v>198523.91</v>
          </cell>
          <cell r="AF965">
            <v>9.2048912395489305E-2</v>
          </cell>
          <cell r="AG965">
            <v>9.2048912395489305E-2</v>
          </cell>
          <cell r="AH965">
            <v>211529</v>
          </cell>
          <cell r="AI965">
            <v>224533</v>
          </cell>
          <cell r="AJ965">
            <v>0.19722267996241086</v>
          </cell>
          <cell r="AK965">
            <v>237537</v>
          </cell>
          <cell r="AL965">
            <v>250541</v>
          </cell>
          <cell r="AM965">
            <v>0.28055687492266734</v>
          </cell>
          <cell r="AN965">
            <v>287405.75</v>
          </cell>
          <cell r="AO965">
            <v>324270.5</v>
          </cell>
          <cell r="AP965">
            <v>361135.25</v>
          </cell>
          <cell r="AQ965">
            <v>0</v>
          </cell>
          <cell r="AS965">
            <v>398000</v>
          </cell>
        </row>
        <row r="966">
          <cell r="B966" t="str">
            <v>MB</v>
          </cell>
          <cell r="C966" t="str">
            <v>DOM</v>
          </cell>
          <cell r="D966" t="str">
            <v>EK</v>
          </cell>
          <cell r="E966" t="str">
            <v>21</v>
          </cell>
          <cell r="F966">
            <v>40015</v>
          </cell>
          <cell r="G966">
            <v>40015</v>
          </cell>
          <cell r="H966" t="str">
            <v>TBD-EX300KIT 110</v>
          </cell>
          <cell r="K966" t="str">
            <v>EX300KIT for EX110</v>
          </cell>
          <cell r="L966">
            <v>140000</v>
          </cell>
          <cell r="M966">
            <v>87000</v>
          </cell>
          <cell r="N966">
            <v>89610</v>
          </cell>
          <cell r="O966">
            <v>0</v>
          </cell>
          <cell r="P966">
            <v>89610</v>
          </cell>
          <cell r="Q966">
            <v>92220</v>
          </cell>
          <cell r="R966">
            <v>104208.6</v>
          </cell>
          <cell r="S966">
            <v>19037.232499999998</v>
          </cell>
          <cell r="T966" t="e">
            <v>#DIV/0!</v>
          </cell>
          <cell r="W966">
            <v>89610</v>
          </cell>
          <cell r="X966" t="e">
            <v>#DIV/0!</v>
          </cell>
          <cell r="Y966">
            <v>1600</v>
          </cell>
          <cell r="Z966">
            <v>1000</v>
          </cell>
          <cell r="AA966">
            <v>100123</v>
          </cell>
          <cell r="AB966">
            <v>89610</v>
          </cell>
          <cell r="AC966">
            <v>95330</v>
          </cell>
          <cell r="AD966">
            <v>98749</v>
          </cell>
          <cell r="AE966">
            <v>102166.67</v>
          </cell>
          <cell r="AF966">
            <v>0.12290378065566783</v>
          </cell>
          <cell r="AG966">
            <v>0.12290378065566783</v>
          </cell>
          <cell r="AH966">
            <v>102053</v>
          </cell>
          <cell r="AI966">
            <v>101939</v>
          </cell>
          <cell r="AJ966">
            <v>0.12094487880006671</v>
          </cell>
          <cell r="AK966">
            <v>101825</v>
          </cell>
          <cell r="AL966">
            <v>101711</v>
          </cell>
          <cell r="AM966">
            <v>0.11897434889048382</v>
          </cell>
          <cell r="AN966">
            <v>111283.25</v>
          </cell>
          <cell r="AO966">
            <v>120855.5</v>
          </cell>
          <cell r="AP966">
            <v>130427.75</v>
          </cell>
          <cell r="AQ966">
            <v>0</v>
          </cell>
          <cell r="AS966">
            <v>140000</v>
          </cell>
        </row>
        <row r="967">
          <cell r="B967" t="str">
            <v>MB</v>
          </cell>
          <cell r="C967" t="str">
            <v>DOM</v>
          </cell>
          <cell r="D967" t="str">
            <v>EK</v>
          </cell>
          <cell r="E967" t="str">
            <v>21</v>
          </cell>
          <cell r="F967">
            <v>40015</v>
          </cell>
          <cell r="G967">
            <v>40015</v>
          </cell>
          <cell r="H967" t="str">
            <v>TBD-EX300KIT 125</v>
          </cell>
          <cell r="K967" t="str">
            <v>EX300KIT for EX125</v>
          </cell>
          <cell r="L967">
            <v>130000</v>
          </cell>
          <cell r="M967">
            <v>76000</v>
          </cell>
          <cell r="N967">
            <v>78280</v>
          </cell>
          <cell r="O967">
            <v>0</v>
          </cell>
          <cell r="P967">
            <v>78280</v>
          </cell>
          <cell r="Q967">
            <v>80560</v>
          </cell>
          <cell r="R967">
            <v>91032.8</v>
          </cell>
          <cell r="S967">
            <v>22792.6842</v>
          </cell>
          <cell r="T967" t="e">
            <v>#DIV/0!</v>
          </cell>
          <cell r="W967">
            <v>78280</v>
          </cell>
          <cell r="X967" t="e">
            <v>#DIV/0!</v>
          </cell>
          <cell r="Y967">
            <v>1600</v>
          </cell>
          <cell r="Z967">
            <v>1000</v>
          </cell>
          <cell r="AA967">
            <v>87786</v>
          </cell>
          <cell r="AB967">
            <v>78280</v>
          </cell>
          <cell r="AC967">
            <v>83277</v>
          </cell>
          <cell r="AD967">
            <v>86428</v>
          </cell>
          <cell r="AE967">
            <v>89577.78</v>
          </cell>
          <cell r="AF967">
            <v>0.12612257191459755</v>
          </cell>
          <cell r="AG967">
            <v>0.12612257191459755</v>
          </cell>
          <cell r="AH967">
            <v>90240</v>
          </cell>
          <cell r="AI967">
            <v>90901</v>
          </cell>
          <cell r="AJ967">
            <v>0.13884335705877823</v>
          </cell>
          <cell r="AK967">
            <v>91562</v>
          </cell>
          <cell r="AL967">
            <v>92223</v>
          </cell>
          <cell r="AM967">
            <v>0.15118788154798696</v>
          </cell>
          <cell r="AN967">
            <v>101667.25</v>
          </cell>
          <cell r="AO967">
            <v>111111.5</v>
          </cell>
          <cell r="AP967">
            <v>120555.75</v>
          </cell>
          <cell r="AQ967">
            <v>0</v>
          </cell>
          <cell r="AS967">
            <v>130000</v>
          </cell>
        </row>
        <row r="968">
          <cell r="B968" t="str">
            <v>MB</v>
          </cell>
          <cell r="C968" t="str">
            <v>DOM</v>
          </cell>
          <cell r="D968" t="str">
            <v>EK</v>
          </cell>
          <cell r="E968" t="str">
            <v>21</v>
          </cell>
          <cell r="F968">
            <v>40015</v>
          </cell>
          <cell r="G968">
            <v>40015</v>
          </cell>
          <cell r="H968" t="str">
            <v>TBD-EX300KIT 138</v>
          </cell>
          <cell r="K968" t="str">
            <v>EX300KIT for EX138</v>
          </cell>
          <cell r="L968">
            <v>115000</v>
          </cell>
          <cell r="M968">
            <v>65000</v>
          </cell>
          <cell r="N968">
            <v>66950</v>
          </cell>
          <cell r="O968">
            <v>0</v>
          </cell>
          <cell r="P968">
            <v>66950</v>
          </cell>
          <cell r="Q968">
            <v>68900</v>
          </cell>
          <cell r="R968">
            <v>77857</v>
          </cell>
          <cell r="S968">
            <v>22792.6842</v>
          </cell>
          <cell r="T968" t="e">
            <v>#DIV/0!</v>
          </cell>
          <cell r="W968">
            <v>66950</v>
          </cell>
          <cell r="X968" t="e">
            <v>#DIV/0!</v>
          </cell>
          <cell r="Y968">
            <v>1600</v>
          </cell>
          <cell r="Z968">
            <v>1000</v>
          </cell>
          <cell r="AA968">
            <v>75449</v>
          </cell>
          <cell r="AB968">
            <v>66950</v>
          </cell>
          <cell r="AC968">
            <v>71224</v>
          </cell>
          <cell r="AD968">
            <v>74107</v>
          </cell>
          <cell r="AE968">
            <v>76988.89</v>
          </cell>
          <cell r="AF968">
            <v>0.13039400879789279</v>
          </cell>
          <cell r="AG968">
            <v>0.13039400879789279</v>
          </cell>
          <cell r="AH968">
            <v>77901</v>
          </cell>
          <cell r="AI968">
            <v>78813</v>
          </cell>
          <cell r="AJ968">
            <v>0.15052085315874283</v>
          </cell>
          <cell r="AK968">
            <v>79724.5</v>
          </cell>
          <cell r="AL968">
            <v>80636</v>
          </cell>
          <cell r="AM968">
            <v>0.16972568083734313</v>
          </cell>
          <cell r="AN968">
            <v>89227</v>
          </cell>
          <cell r="AO968">
            <v>97818</v>
          </cell>
          <cell r="AP968">
            <v>106409</v>
          </cell>
          <cell r="AQ968">
            <v>0</v>
          </cell>
          <cell r="AS968">
            <v>115000</v>
          </cell>
        </row>
        <row r="969">
          <cell r="B969" t="str">
            <v>MB</v>
          </cell>
          <cell r="C969" t="str">
            <v>DOM</v>
          </cell>
          <cell r="D969" t="str">
            <v>EK</v>
          </cell>
          <cell r="E969" t="str">
            <v>21</v>
          </cell>
          <cell r="F969">
            <v>40015</v>
          </cell>
          <cell r="G969">
            <v>40015</v>
          </cell>
          <cell r="H969" t="str">
            <v>TBD-EX300KIT 150</v>
          </cell>
          <cell r="K969" t="str">
            <v>EX300KIT for EX150</v>
          </cell>
          <cell r="L969">
            <v>100000</v>
          </cell>
          <cell r="M969">
            <v>55000</v>
          </cell>
          <cell r="N969">
            <v>56650</v>
          </cell>
          <cell r="O969">
            <v>0</v>
          </cell>
          <cell r="P969">
            <v>56650</v>
          </cell>
          <cell r="Q969">
            <v>58300</v>
          </cell>
          <cell r="R969">
            <v>65879</v>
          </cell>
          <cell r="S969">
            <v>736.45</v>
          </cell>
          <cell r="T969" t="e">
            <v>#DIV/0!</v>
          </cell>
          <cell r="W969">
            <v>56650</v>
          </cell>
          <cell r="X969" t="e">
            <v>#DIV/0!</v>
          </cell>
          <cell r="Y969">
            <v>1600</v>
          </cell>
          <cell r="Z969">
            <v>1000</v>
          </cell>
          <cell r="AA969">
            <v>62893</v>
          </cell>
          <cell r="AB969">
            <v>56650</v>
          </cell>
          <cell r="AC969">
            <v>60266</v>
          </cell>
          <cell r="AD969">
            <v>62222</v>
          </cell>
          <cell r="AE969">
            <v>64176.09</v>
          </cell>
          <cell r="AF969">
            <v>0.11727249198260593</v>
          </cell>
          <cell r="AG969">
            <v>0.11727249198260593</v>
          </cell>
          <cell r="AH969">
            <v>65372</v>
          </cell>
          <cell r="AI969">
            <v>66566</v>
          </cell>
          <cell r="AJ969">
            <v>0.14896493705495298</v>
          </cell>
          <cell r="AK969">
            <v>67760</v>
          </cell>
          <cell r="AL969">
            <v>68954</v>
          </cell>
          <cell r="AM969">
            <v>0.17843779911245178</v>
          </cell>
          <cell r="AN969">
            <v>76715.5</v>
          </cell>
          <cell r="AO969">
            <v>84477</v>
          </cell>
          <cell r="AP969">
            <v>92238.5</v>
          </cell>
          <cell r="AQ969">
            <v>0</v>
          </cell>
          <cell r="AS969">
            <v>100000</v>
          </cell>
        </row>
        <row r="970">
          <cell r="B970" t="str">
            <v>AC</v>
          </cell>
          <cell r="C970" t="str">
            <v>IMP</v>
          </cell>
          <cell r="D970" t="str">
            <v>BT</v>
          </cell>
          <cell r="E970" t="str">
            <v>P3</v>
          </cell>
          <cell r="F970">
            <v>39990</v>
          </cell>
          <cell r="G970">
            <v>40001</v>
          </cell>
          <cell r="H970" t="str">
            <v>4511612</v>
          </cell>
          <cell r="K970" t="str">
            <v>Saddle Stitch Kit (SK-1)</v>
          </cell>
          <cell r="L970">
            <v>1290</v>
          </cell>
          <cell r="M970">
            <v>0</v>
          </cell>
          <cell r="N970">
            <v>515</v>
          </cell>
          <cell r="O970" t="e">
            <v>#DIV/0!</v>
          </cell>
          <cell r="P970">
            <v>0</v>
          </cell>
          <cell r="Q970">
            <v>0</v>
          </cell>
          <cell r="R970">
            <v>0</v>
          </cell>
          <cell r="S970">
            <v>0</v>
          </cell>
          <cell r="T970" t="e">
            <v>#DIV/0!</v>
          </cell>
          <cell r="W970">
            <v>437.75</v>
          </cell>
          <cell r="X970" t="e">
            <v>#DIV/0!</v>
          </cell>
          <cell r="AA970">
            <v>0</v>
          </cell>
          <cell r="AB970">
            <v>437.75</v>
          </cell>
          <cell r="AC970">
            <v>486.39</v>
          </cell>
          <cell r="AD970">
            <v>513.41</v>
          </cell>
          <cell r="AE970">
            <v>540.42999999999995</v>
          </cell>
          <cell r="AF970">
            <v>0.18999685435671587</v>
          </cell>
          <cell r="AG970">
            <v>4.7055122772606907E-2</v>
          </cell>
          <cell r="AH970">
            <v>551.24</v>
          </cell>
          <cell r="AI970">
            <v>562.04999999999995</v>
          </cell>
          <cell r="AJ970">
            <v>0.22115470153900893</v>
          </cell>
          <cell r="AK970">
            <v>572.86</v>
          </cell>
          <cell r="AL970">
            <v>583.66999999999996</v>
          </cell>
          <cell r="AM970">
            <v>0.250004283242243</v>
          </cell>
          <cell r="AN970">
            <v>665.75</v>
          </cell>
          <cell r="AO970">
            <v>747.83</v>
          </cell>
          <cell r="AP970">
            <v>829.91</v>
          </cell>
          <cell r="AQ970">
            <v>0</v>
          </cell>
          <cell r="AS970">
            <v>1290</v>
          </cell>
        </row>
        <row r="971">
          <cell r="B971" t="str">
            <v>MB</v>
          </cell>
          <cell r="C971" t="str">
            <v>IMP</v>
          </cell>
          <cell r="D971" t="str">
            <v>BT</v>
          </cell>
          <cell r="E971" t="str">
            <v>08</v>
          </cell>
          <cell r="F971">
            <v>39924</v>
          </cell>
          <cell r="G971">
            <v>40001</v>
          </cell>
          <cell r="H971" t="str">
            <v>1391311</v>
          </cell>
          <cell r="I971" t="str">
            <v>2KM2900_N</v>
          </cell>
          <cell r="K971" t="str">
            <v>FAX2900</v>
          </cell>
          <cell r="L971">
            <v>1574</v>
          </cell>
          <cell r="M971">
            <v>439</v>
          </cell>
          <cell r="N971">
            <v>456.56</v>
          </cell>
          <cell r="O971">
            <v>0.23176846710415608</v>
          </cell>
          <cell r="P971">
            <v>594.29999999999995</v>
          </cell>
          <cell r="Q971">
            <v>465.34</v>
          </cell>
          <cell r="R971">
            <v>525.83000000000004</v>
          </cell>
          <cell r="S971">
            <v>849</v>
          </cell>
          <cell r="T971">
            <v>0.46223792697290933</v>
          </cell>
          <cell r="U971">
            <v>594</v>
          </cell>
          <cell r="V971">
            <v>0.23138047138047138</v>
          </cell>
          <cell r="W971">
            <v>594.29999999999995</v>
          </cell>
          <cell r="X971">
            <v>0.7</v>
          </cell>
          <cell r="Y971">
            <v>50</v>
          </cell>
          <cell r="Z971">
            <v>50</v>
          </cell>
          <cell r="AA971">
            <v>807</v>
          </cell>
          <cell r="AB971">
            <v>595</v>
          </cell>
          <cell r="AC971">
            <v>725</v>
          </cell>
          <cell r="AD971">
            <v>775</v>
          </cell>
          <cell r="AE971">
            <v>823.13</v>
          </cell>
          <cell r="AF971">
            <v>0.27799982991751004</v>
          </cell>
          <cell r="AG971">
            <v>0.44533670258646874</v>
          </cell>
          <cell r="AH971">
            <v>908</v>
          </cell>
          <cell r="AI971">
            <v>991</v>
          </cell>
          <cell r="AJ971">
            <v>0.40030272452068622</v>
          </cell>
          <cell r="AK971">
            <v>1074</v>
          </cell>
          <cell r="AL971">
            <v>1157</v>
          </cell>
          <cell r="AM971">
            <v>0.48634399308556614</v>
          </cell>
          <cell r="AN971">
            <v>1261.25</v>
          </cell>
          <cell r="AO971">
            <v>1365.5</v>
          </cell>
          <cell r="AP971">
            <v>1469.75</v>
          </cell>
          <cell r="AQ971">
            <v>0</v>
          </cell>
          <cell r="AR971">
            <v>180</v>
          </cell>
          <cell r="AS971">
            <v>1574</v>
          </cell>
        </row>
        <row r="972">
          <cell r="B972" t="str">
            <v>MB</v>
          </cell>
          <cell r="C972" t="str">
            <v>IMP</v>
          </cell>
          <cell r="D972" t="str">
            <v>BT</v>
          </cell>
          <cell r="E972" t="str">
            <v>08</v>
          </cell>
          <cell r="F972">
            <v>39924</v>
          </cell>
          <cell r="G972">
            <v>40001</v>
          </cell>
          <cell r="H972" t="str">
            <v>1392311</v>
          </cell>
          <cell r="I972" t="str">
            <v>2KM3900_N</v>
          </cell>
          <cell r="K972" t="str">
            <v>FAX3900</v>
          </cell>
          <cell r="L972">
            <v>1994</v>
          </cell>
          <cell r="M972">
            <v>551</v>
          </cell>
          <cell r="N972">
            <v>573.04</v>
          </cell>
          <cell r="O972">
            <v>0.2391927774827404</v>
          </cell>
          <cell r="P972">
            <v>753.2</v>
          </cell>
          <cell r="Q972">
            <v>584.05999999999995</v>
          </cell>
          <cell r="R972">
            <v>659.99</v>
          </cell>
          <cell r="S972">
            <v>1076</v>
          </cell>
          <cell r="T972">
            <v>0.46743494423791826</v>
          </cell>
          <cell r="U972">
            <v>753</v>
          </cell>
          <cell r="V972">
            <v>0.23899070385126167</v>
          </cell>
          <cell r="W972">
            <v>753.2</v>
          </cell>
          <cell r="X972">
            <v>0.70000000000000007</v>
          </cell>
          <cell r="Y972">
            <v>50</v>
          </cell>
          <cell r="Z972">
            <v>50</v>
          </cell>
          <cell r="AA972">
            <v>1022</v>
          </cell>
          <cell r="AB972">
            <v>754</v>
          </cell>
          <cell r="AC972">
            <v>919</v>
          </cell>
          <cell r="AD972">
            <v>982</v>
          </cell>
          <cell r="AE972">
            <v>1043.21</v>
          </cell>
          <cell r="AF972">
            <v>0.27799771858015165</v>
          </cell>
          <cell r="AG972">
            <v>0.45069544962184033</v>
          </cell>
          <cell r="AH972">
            <v>1150</v>
          </cell>
          <cell r="AI972">
            <v>1255</v>
          </cell>
          <cell r="AJ972">
            <v>0.39984063745019915</v>
          </cell>
          <cell r="AK972">
            <v>1360.5</v>
          </cell>
          <cell r="AL972">
            <v>1466</v>
          </cell>
          <cell r="AM972">
            <v>0.48622100954979536</v>
          </cell>
          <cell r="AN972">
            <v>1598</v>
          </cell>
          <cell r="AO972">
            <v>1730</v>
          </cell>
          <cell r="AP972">
            <v>1862</v>
          </cell>
          <cell r="AQ972">
            <v>0</v>
          </cell>
          <cell r="AR972">
            <v>180</v>
          </cell>
          <cell r="AS972">
            <v>1994</v>
          </cell>
        </row>
        <row r="973">
          <cell r="B973" t="str">
            <v>MB</v>
          </cell>
          <cell r="C973" t="str">
            <v>IMP</v>
          </cell>
          <cell r="D973" t="str">
            <v>BT</v>
          </cell>
          <cell r="E973" t="str">
            <v>P3</v>
          </cell>
          <cell r="F973">
            <v>39924</v>
          </cell>
          <cell r="G973">
            <v>40001</v>
          </cell>
          <cell r="H973" t="str">
            <v>4040311</v>
          </cell>
          <cell r="I973" t="str">
            <v>9KMBH350_N</v>
          </cell>
          <cell r="K973" t="str">
            <v>bizhub 350</v>
          </cell>
          <cell r="L973">
            <v>8033</v>
          </cell>
          <cell r="M973">
            <v>2101</v>
          </cell>
          <cell r="N973">
            <v>2185.04</v>
          </cell>
          <cell r="O973">
            <v>-0.17647058823529418</v>
          </cell>
          <cell r="P973">
            <v>1857.2839999999999</v>
          </cell>
          <cell r="Q973">
            <v>2227.06</v>
          </cell>
          <cell r="R973">
            <v>2516.58</v>
          </cell>
          <cell r="S973">
            <v>4074</v>
          </cell>
          <cell r="T973">
            <v>0.46366224840451647</v>
          </cell>
          <cell r="U973">
            <v>2852</v>
          </cell>
          <cell r="V973">
            <v>0.23385694249649369</v>
          </cell>
          <cell r="W973">
            <v>1857.2839999999999</v>
          </cell>
          <cell r="X973">
            <v>0.45588708885616097</v>
          </cell>
          <cell r="Y973">
            <v>150</v>
          </cell>
          <cell r="Z973">
            <v>300</v>
          </cell>
          <cell r="AA973">
            <v>2521</v>
          </cell>
          <cell r="AB973">
            <v>1858</v>
          </cell>
          <cell r="AC973">
            <v>2064</v>
          </cell>
          <cell r="AD973">
            <v>2319</v>
          </cell>
          <cell r="AE973">
            <v>2572.42</v>
          </cell>
          <cell r="AF973">
            <v>0.27800125951438731</v>
          </cell>
          <cell r="AG973">
            <v>0.15058971707574972</v>
          </cell>
          <cell r="AH973">
            <v>2549</v>
          </cell>
          <cell r="AI973">
            <v>2525</v>
          </cell>
          <cell r="AJ973">
            <v>0.26444198019801984</v>
          </cell>
          <cell r="AK973">
            <v>2501</v>
          </cell>
          <cell r="AL973">
            <v>2477</v>
          </cell>
          <cell r="AM973">
            <v>0.25018813080339125</v>
          </cell>
          <cell r="AN973">
            <v>3866</v>
          </cell>
          <cell r="AO973">
            <v>5255</v>
          </cell>
          <cell r="AP973">
            <v>6644</v>
          </cell>
          <cell r="AQ973">
            <v>0</v>
          </cell>
          <cell r="AR973">
            <v>295</v>
          </cell>
          <cell r="AS973">
            <v>8033</v>
          </cell>
        </row>
        <row r="974">
          <cell r="B974" t="str">
            <v>MB</v>
          </cell>
          <cell r="C974" t="str">
            <v>IMP</v>
          </cell>
          <cell r="D974" t="str">
            <v>BT</v>
          </cell>
          <cell r="E974" t="str">
            <v>P3</v>
          </cell>
          <cell r="F974">
            <v>39924</v>
          </cell>
          <cell r="G974">
            <v>40001</v>
          </cell>
          <cell r="H974" t="str">
            <v>4041311</v>
          </cell>
          <cell r="I974" t="str">
            <v>9KMBH250_N</v>
          </cell>
          <cell r="K974" t="str">
            <v>bizhub 250</v>
          </cell>
          <cell r="L974">
            <v>5985</v>
          </cell>
          <cell r="M974">
            <v>1550</v>
          </cell>
          <cell r="N974">
            <v>1612</v>
          </cell>
          <cell r="O974">
            <v>-0.17647058823529407</v>
          </cell>
          <cell r="P974">
            <v>1370.2</v>
          </cell>
          <cell r="Q974">
            <v>1643</v>
          </cell>
          <cell r="R974">
            <v>1856.59</v>
          </cell>
          <cell r="S974">
            <v>3087</v>
          </cell>
          <cell r="T974">
            <v>0.47781017168772272</v>
          </cell>
          <cell r="U974">
            <v>2161</v>
          </cell>
          <cell r="V974">
            <v>0.25404905136510875</v>
          </cell>
          <cell r="W974">
            <v>1370.2</v>
          </cell>
          <cell r="X974">
            <v>0.4438613540654357</v>
          </cell>
          <cell r="Y974">
            <v>150</v>
          </cell>
          <cell r="Z974">
            <v>175</v>
          </cell>
          <cell r="AA974">
            <v>1860</v>
          </cell>
          <cell r="AB974">
            <v>1371</v>
          </cell>
          <cell r="AC974">
            <v>1523</v>
          </cell>
          <cell r="AD974">
            <v>1711</v>
          </cell>
          <cell r="AE974">
            <v>1897.78</v>
          </cell>
          <cell r="AF974">
            <v>0.27799850351463284</v>
          </cell>
          <cell r="AG974">
            <v>0.1505864747230975</v>
          </cell>
          <cell r="AH974">
            <v>1881</v>
          </cell>
          <cell r="AI974">
            <v>1863</v>
          </cell>
          <cell r="AJ974">
            <v>0.26451959205582393</v>
          </cell>
          <cell r="AK974">
            <v>1845</v>
          </cell>
          <cell r="AL974">
            <v>1827</v>
          </cell>
          <cell r="AM974">
            <v>0.25002736726874658</v>
          </cell>
          <cell r="AN974">
            <v>2866.5</v>
          </cell>
          <cell r="AO974">
            <v>3906</v>
          </cell>
          <cell r="AP974">
            <v>4945.5</v>
          </cell>
          <cell r="AQ974">
            <v>0</v>
          </cell>
          <cell r="AR974">
            <v>295</v>
          </cell>
          <cell r="AS974">
            <v>5985</v>
          </cell>
        </row>
        <row r="975">
          <cell r="B975" t="str">
            <v>MB</v>
          </cell>
          <cell r="C975" t="str">
            <v>IMP</v>
          </cell>
          <cell r="D975" t="str">
            <v>BT</v>
          </cell>
          <cell r="E975" t="str">
            <v>P3</v>
          </cell>
          <cell r="F975">
            <v>39924</v>
          </cell>
          <cell r="G975">
            <v>40001</v>
          </cell>
          <cell r="H975" t="str">
            <v>4042311</v>
          </cell>
          <cell r="I975" t="str">
            <v>9KMBH200_N</v>
          </cell>
          <cell r="K975" t="str">
            <v>bizhub 200</v>
          </cell>
          <cell r="L975">
            <v>5040</v>
          </cell>
          <cell r="M975">
            <v>1408</v>
          </cell>
          <cell r="N975">
            <v>1464.3200000000002</v>
          </cell>
          <cell r="O975">
            <v>-0.17647058823529421</v>
          </cell>
          <cell r="P975">
            <v>1244.672</v>
          </cell>
          <cell r="Q975">
            <v>1492.48</v>
          </cell>
          <cell r="R975">
            <v>1686.5</v>
          </cell>
          <cell r="S975">
            <v>2625</v>
          </cell>
          <cell r="T975">
            <v>0.44216380952380946</v>
          </cell>
          <cell r="U975">
            <v>1838</v>
          </cell>
          <cell r="V975">
            <v>0.20330794341675726</v>
          </cell>
          <cell r="W975">
            <v>1244.672</v>
          </cell>
          <cell r="X975">
            <v>0.47416076190476192</v>
          </cell>
          <cell r="Y975">
            <v>150</v>
          </cell>
          <cell r="Z975">
            <v>175</v>
          </cell>
          <cell r="AA975">
            <v>1689</v>
          </cell>
          <cell r="AB975">
            <v>1245</v>
          </cell>
          <cell r="AC975">
            <v>1383</v>
          </cell>
          <cell r="AD975">
            <v>1554</v>
          </cell>
          <cell r="AE975">
            <v>1723.92</v>
          </cell>
          <cell r="AF975">
            <v>0.27799897907095461</v>
          </cell>
          <cell r="AG975">
            <v>0.15058703420112296</v>
          </cell>
          <cell r="AH975">
            <v>1708</v>
          </cell>
          <cell r="AI975">
            <v>1692</v>
          </cell>
          <cell r="AJ975">
            <v>0.26437825059101655</v>
          </cell>
          <cell r="AK975">
            <v>1676</v>
          </cell>
          <cell r="AL975">
            <v>1660</v>
          </cell>
          <cell r="AM975">
            <v>0.25019759036144579</v>
          </cell>
          <cell r="AN975">
            <v>2505</v>
          </cell>
          <cell r="AO975">
            <v>3350</v>
          </cell>
          <cell r="AP975">
            <v>4195</v>
          </cell>
          <cell r="AQ975">
            <v>0</v>
          </cell>
          <cell r="AR975">
            <v>295</v>
          </cell>
          <cell r="AS975">
            <v>5040</v>
          </cell>
        </row>
        <row r="976">
          <cell r="B976" t="str">
            <v>MB</v>
          </cell>
          <cell r="C976" t="str">
            <v>IMP</v>
          </cell>
          <cell r="D976" t="str">
            <v>BT</v>
          </cell>
          <cell r="E976" t="str">
            <v>08</v>
          </cell>
          <cell r="F976">
            <v>39924</v>
          </cell>
          <cell r="G976">
            <v>40001</v>
          </cell>
          <cell r="H976" t="str">
            <v>4288312</v>
          </cell>
          <cell r="I976" t="str">
            <v>9KMBH200GSA_N</v>
          </cell>
          <cell r="K976" t="str">
            <v>bizhub 350 GSA</v>
          </cell>
          <cell r="L976">
            <v>8033</v>
          </cell>
          <cell r="M976">
            <v>2101</v>
          </cell>
          <cell r="N976">
            <v>2185.04</v>
          </cell>
          <cell r="O976">
            <v>0.23380321200645213</v>
          </cell>
          <cell r="P976">
            <v>2851.8</v>
          </cell>
          <cell r="Q976">
            <v>2227.06</v>
          </cell>
          <cell r="R976">
            <v>2516.58</v>
          </cell>
          <cell r="S976">
            <v>4074</v>
          </cell>
          <cell r="T976">
            <v>0.46366224840451647</v>
          </cell>
          <cell r="U976">
            <v>2852</v>
          </cell>
          <cell r="V976">
            <v>0.23385694249649369</v>
          </cell>
          <cell r="W976">
            <v>2851.8</v>
          </cell>
          <cell r="X976">
            <v>0.70000000000000007</v>
          </cell>
          <cell r="Y976">
            <v>150</v>
          </cell>
          <cell r="Z976">
            <v>300</v>
          </cell>
          <cell r="AA976">
            <v>3871</v>
          </cell>
          <cell r="AB976">
            <v>2852</v>
          </cell>
          <cell r="AC976">
            <v>3478</v>
          </cell>
          <cell r="AD976">
            <v>3714</v>
          </cell>
          <cell r="AE976">
            <v>3949.86</v>
          </cell>
          <cell r="AF976">
            <v>0.27799972657258737</v>
          </cell>
          <cell r="AG976">
            <v>0.44680570956945315</v>
          </cell>
          <cell r="AH976">
            <v>4350</v>
          </cell>
          <cell r="AI976">
            <v>4750</v>
          </cell>
          <cell r="AJ976">
            <v>0.39962105263157893</v>
          </cell>
          <cell r="AK976">
            <v>5149.5</v>
          </cell>
          <cell r="AL976">
            <v>5549</v>
          </cell>
          <cell r="AM976">
            <v>0.48606956208325819</v>
          </cell>
          <cell r="AN976">
            <v>6170</v>
          </cell>
          <cell r="AO976">
            <v>6791</v>
          </cell>
          <cell r="AP976">
            <v>7412</v>
          </cell>
          <cell r="AQ976">
            <v>0</v>
          </cell>
          <cell r="AR976">
            <v>295</v>
          </cell>
          <cell r="AS976">
            <v>8033</v>
          </cell>
        </row>
        <row r="977">
          <cell r="B977" t="str">
            <v>MB</v>
          </cell>
          <cell r="C977" t="str">
            <v>IMP</v>
          </cell>
          <cell r="D977" t="str">
            <v>BT</v>
          </cell>
          <cell r="E977" t="str">
            <v>08</v>
          </cell>
          <cell r="F977">
            <v>39924</v>
          </cell>
          <cell r="G977">
            <v>40001</v>
          </cell>
          <cell r="H977" t="str">
            <v>4289312</v>
          </cell>
          <cell r="I977" t="str">
            <v>9KMBH250GSA_N</v>
          </cell>
          <cell r="K977" t="str">
            <v>bizhub 250 GSA</v>
          </cell>
          <cell r="L977">
            <v>5985</v>
          </cell>
          <cell r="M977">
            <v>1550</v>
          </cell>
          <cell r="N977">
            <v>1612</v>
          </cell>
          <cell r="O977">
            <v>0.25401453098246102</v>
          </cell>
          <cell r="P977">
            <v>2160.9</v>
          </cell>
          <cell r="Q977">
            <v>1643</v>
          </cell>
          <cell r="R977">
            <v>1856.59</v>
          </cell>
          <cell r="S977">
            <v>3087</v>
          </cell>
          <cell r="T977">
            <v>0.47781017168772272</v>
          </cell>
          <cell r="U977">
            <v>2161</v>
          </cell>
          <cell r="V977">
            <v>0.25404905136510875</v>
          </cell>
          <cell r="W977">
            <v>2160.9</v>
          </cell>
          <cell r="X977">
            <v>0.70000000000000007</v>
          </cell>
          <cell r="Y977">
            <v>150</v>
          </cell>
          <cell r="Z977">
            <v>175</v>
          </cell>
          <cell r="AA977">
            <v>2933</v>
          </cell>
          <cell r="AB977">
            <v>2161</v>
          </cell>
          <cell r="AC977">
            <v>2636</v>
          </cell>
          <cell r="AD977">
            <v>2815</v>
          </cell>
          <cell r="AE977">
            <v>2992.94</v>
          </cell>
          <cell r="AF977">
            <v>0.27800089544060352</v>
          </cell>
          <cell r="AG977">
            <v>0.46139915935501546</v>
          </cell>
          <cell r="AH977">
            <v>3296</v>
          </cell>
          <cell r="AI977">
            <v>3599</v>
          </cell>
          <cell r="AJ977">
            <v>0.39958321756043341</v>
          </cell>
          <cell r="AK977">
            <v>3902</v>
          </cell>
          <cell r="AL977">
            <v>4205</v>
          </cell>
          <cell r="AM977">
            <v>0.48611177170035669</v>
          </cell>
          <cell r="AN977">
            <v>4650</v>
          </cell>
          <cell r="AO977">
            <v>5095</v>
          </cell>
          <cell r="AP977">
            <v>5540</v>
          </cell>
          <cell r="AQ977">
            <v>0</v>
          </cell>
          <cell r="AR977">
            <v>295</v>
          </cell>
          <cell r="AS977">
            <v>5985</v>
          </cell>
        </row>
        <row r="978">
          <cell r="B978" t="str">
            <v>MB</v>
          </cell>
          <cell r="C978" t="str">
            <v>IMP</v>
          </cell>
          <cell r="D978" t="str">
            <v>BT</v>
          </cell>
          <cell r="E978" t="str">
            <v>P3</v>
          </cell>
          <cell r="F978">
            <v>39924</v>
          </cell>
          <cell r="G978">
            <v>40001</v>
          </cell>
          <cell r="H978" t="str">
            <v>4291312</v>
          </cell>
          <cell r="I978" t="str">
            <v>9KMBH200GSA_N</v>
          </cell>
          <cell r="K978" t="str">
            <v>bizhub 200 GSA</v>
          </cell>
          <cell r="L978">
            <v>5040</v>
          </cell>
          <cell r="M978">
            <v>1408</v>
          </cell>
          <cell r="N978">
            <v>1464.3200000000002</v>
          </cell>
          <cell r="O978">
            <v>-0.17647058823529421</v>
          </cell>
          <cell r="P978">
            <v>1244.672</v>
          </cell>
          <cell r="Q978">
            <v>1492.48</v>
          </cell>
          <cell r="R978">
            <v>1686.5</v>
          </cell>
          <cell r="S978">
            <v>2625</v>
          </cell>
          <cell r="T978">
            <v>0.44216380952380946</v>
          </cell>
          <cell r="U978">
            <v>1838</v>
          </cell>
          <cell r="V978">
            <v>0.20330794341675726</v>
          </cell>
          <cell r="W978">
            <v>1244.672</v>
          </cell>
          <cell r="X978">
            <v>0.47416076190476192</v>
          </cell>
          <cell r="Y978">
            <v>150</v>
          </cell>
          <cell r="Z978">
            <v>175</v>
          </cell>
          <cell r="AA978">
            <v>1506</v>
          </cell>
          <cell r="AB978">
            <v>1245</v>
          </cell>
          <cell r="AC978">
            <v>1383</v>
          </cell>
          <cell r="AD978">
            <v>1460</v>
          </cell>
          <cell r="AE978">
            <v>1536.63</v>
          </cell>
          <cell r="AF978">
            <v>0.18999889368292958</v>
          </cell>
          <cell r="AG978">
            <v>4.7057521979917055E-2</v>
          </cell>
          <cell r="AH978">
            <v>1568</v>
          </cell>
          <cell r="AI978">
            <v>1599</v>
          </cell>
          <cell r="AJ978">
            <v>0.22159349593495933</v>
          </cell>
          <cell r="AK978">
            <v>1629.5</v>
          </cell>
          <cell r="AL978">
            <v>1660</v>
          </cell>
          <cell r="AM978">
            <v>0.25019759036144579</v>
          </cell>
          <cell r="AN978">
            <v>1893.27</v>
          </cell>
          <cell r="AO978">
            <v>2126.54</v>
          </cell>
          <cell r="AP978">
            <v>2359.81</v>
          </cell>
          <cell r="AQ978">
            <v>0</v>
          </cell>
          <cell r="AR978">
            <v>295</v>
          </cell>
          <cell r="AS978">
            <v>5040</v>
          </cell>
        </row>
        <row r="979">
          <cell r="B979" t="str">
            <v>MB</v>
          </cell>
          <cell r="C979" t="str">
            <v>IMP</v>
          </cell>
          <cell r="D979" t="str">
            <v>BT</v>
          </cell>
          <cell r="E979" t="str">
            <v>08</v>
          </cell>
          <cell r="F979">
            <v>39924</v>
          </cell>
          <cell r="G979">
            <v>40001</v>
          </cell>
          <cell r="H979" t="str">
            <v>4980501</v>
          </cell>
          <cell r="I979" t="str">
            <v>9KMBH161F_N</v>
          </cell>
          <cell r="K979" t="str">
            <v>bizhub 161f  (w ADF)</v>
          </cell>
          <cell r="L979">
            <v>2935</v>
          </cell>
          <cell r="M979">
            <v>779</v>
          </cell>
          <cell r="N979">
            <v>810.16000000000008</v>
          </cell>
          <cell r="O979">
            <v>0.22266678180440011</v>
          </cell>
          <cell r="P979">
            <v>1042.23</v>
          </cell>
          <cell r="Q979">
            <v>825.74</v>
          </cell>
          <cell r="R979">
            <v>933.09</v>
          </cell>
          <cell r="S979">
            <v>1488.9</v>
          </cell>
          <cell r="T979">
            <v>0.45586674726308013</v>
          </cell>
          <cell r="U979">
            <v>1042</v>
          </cell>
          <cell r="V979">
            <v>0.22249520153550856</v>
          </cell>
          <cell r="W979">
            <v>1042.23</v>
          </cell>
          <cell r="X979">
            <v>0.7</v>
          </cell>
          <cell r="Y979">
            <v>60</v>
          </cell>
          <cell r="Z979">
            <v>70</v>
          </cell>
          <cell r="AA979">
            <v>1380</v>
          </cell>
          <cell r="AB979">
            <v>1043</v>
          </cell>
          <cell r="AC979">
            <v>1272</v>
          </cell>
          <cell r="AD979">
            <v>1358</v>
          </cell>
          <cell r="AE979">
            <v>1408.42</v>
          </cell>
          <cell r="AF979">
            <v>0.26000056801238269</v>
          </cell>
          <cell r="AG979">
            <v>0.4247738600701495</v>
          </cell>
          <cell r="AH979">
            <v>1468</v>
          </cell>
          <cell r="AI979">
            <v>1629</v>
          </cell>
          <cell r="AJ979">
            <v>0.36020257826887658</v>
          </cell>
          <cell r="AK979">
            <v>1796.95</v>
          </cell>
          <cell r="AL979">
            <v>2028</v>
          </cell>
          <cell r="AM979">
            <v>0.48607988165680471</v>
          </cell>
          <cell r="AN979">
            <v>2254.75</v>
          </cell>
          <cell r="AO979">
            <v>2481.5</v>
          </cell>
          <cell r="AP979">
            <v>2708.25</v>
          </cell>
          <cell r="AQ979">
            <v>0</v>
          </cell>
          <cell r="AR979">
            <v>213</v>
          </cell>
          <cell r="AS979">
            <v>2935</v>
          </cell>
        </row>
        <row r="980">
          <cell r="B980" t="str">
            <v>MB</v>
          </cell>
          <cell r="C980" t="str">
            <v>IMP</v>
          </cell>
          <cell r="D980" t="str">
            <v>BT</v>
          </cell>
          <cell r="E980" t="str">
            <v>08</v>
          </cell>
          <cell r="F980">
            <v>39924</v>
          </cell>
          <cell r="G980">
            <v>40001</v>
          </cell>
          <cell r="H980" t="str">
            <v>4980561</v>
          </cell>
          <cell r="I980" t="str">
            <v>9KMBH160_N</v>
          </cell>
          <cell r="K980" t="str">
            <v>bizhub 160 (w GDI controller)</v>
          </cell>
          <cell r="L980">
            <v>1628</v>
          </cell>
          <cell r="M980">
            <v>413</v>
          </cell>
          <cell r="N980">
            <v>429.52000000000004</v>
          </cell>
          <cell r="O980">
            <v>0.25839980662315676</v>
          </cell>
          <cell r="P980">
            <v>579.17999999999995</v>
          </cell>
          <cell r="Q980">
            <v>437.78</v>
          </cell>
          <cell r="R980">
            <v>494.69</v>
          </cell>
          <cell r="S980">
            <v>827.4</v>
          </cell>
          <cell r="T980">
            <v>0.48087986463620974</v>
          </cell>
          <cell r="U980">
            <v>579</v>
          </cell>
          <cell r="V980">
            <v>0.25816925734024171</v>
          </cell>
          <cell r="W980">
            <v>579.17999999999995</v>
          </cell>
          <cell r="X980">
            <v>0.7</v>
          </cell>
          <cell r="Y980">
            <v>60</v>
          </cell>
          <cell r="Z980">
            <v>70</v>
          </cell>
          <cell r="AA980">
            <v>786</v>
          </cell>
          <cell r="AB980">
            <v>580</v>
          </cell>
          <cell r="AC980">
            <v>707</v>
          </cell>
          <cell r="AD980">
            <v>755</v>
          </cell>
          <cell r="AE980">
            <v>802.19</v>
          </cell>
          <cell r="AF980">
            <v>0.27800147097321093</v>
          </cell>
          <cell r="AG980">
            <v>0.46456575125593685</v>
          </cell>
          <cell r="AH980">
            <v>884</v>
          </cell>
          <cell r="AI980">
            <v>965</v>
          </cell>
          <cell r="AJ980">
            <v>0.39981347150259072</v>
          </cell>
          <cell r="AK980">
            <v>1046</v>
          </cell>
          <cell r="AL980">
            <v>1127</v>
          </cell>
          <cell r="AM980">
            <v>0.48608695652173917</v>
          </cell>
          <cell r="AN980">
            <v>1252.25</v>
          </cell>
          <cell r="AO980">
            <v>1377.5</v>
          </cell>
          <cell r="AP980">
            <v>1502.75</v>
          </cell>
          <cell r="AQ980">
            <v>0</v>
          </cell>
          <cell r="AR980">
            <v>198</v>
          </cell>
          <cell r="AS980">
            <v>1628</v>
          </cell>
        </row>
        <row r="981">
          <cell r="B981" t="str">
            <v>MB</v>
          </cell>
          <cell r="C981" t="str">
            <v>IMP</v>
          </cell>
          <cell r="D981" t="str">
            <v>BT</v>
          </cell>
          <cell r="E981" t="str">
            <v>P3</v>
          </cell>
          <cell r="F981">
            <v>39924</v>
          </cell>
          <cell r="G981">
            <v>40001</v>
          </cell>
          <cell r="H981" t="str">
            <v>36GE</v>
          </cell>
          <cell r="I981" t="str">
            <v>9KMBH360_N</v>
          </cell>
          <cell r="K981" t="str">
            <v>bizhub 360</v>
          </cell>
          <cell r="L981">
            <v>9660</v>
          </cell>
          <cell r="M981">
            <v>2729</v>
          </cell>
          <cell r="N981">
            <v>2838.1600000000003</v>
          </cell>
          <cell r="O981">
            <v>-0.17647058823529418</v>
          </cell>
          <cell r="P981">
            <v>2412.4360000000001</v>
          </cell>
          <cell r="Q981">
            <v>2892.74</v>
          </cell>
          <cell r="R981">
            <v>3268.8</v>
          </cell>
          <cell r="S981">
            <v>4474.1000000000004</v>
          </cell>
          <cell r="T981">
            <v>0.36564672224581479</v>
          </cell>
          <cell r="U981">
            <v>3132</v>
          </cell>
          <cell r="V981">
            <v>9.381864623243924E-2</v>
          </cell>
          <cell r="W981">
            <v>2412.4360000000001</v>
          </cell>
          <cell r="X981">
            <v>0.53920028609105741</v>
          </cell>
          <cell r="Y981">
            <v>150</v>
          </cell>
          <cell r="Z981">
            <v>300</v>
          </cell>
          <cell r="AA981">
            <v>2919</v>
          </cell>
          <cell r="AB981">
            <v>2413</v>
          </cell>
          <cell r="AC981">
            <v>2681</v>
          </cell>
          <cell r="AD981">
            <v>2830</v>
          </cell>
          <cell r="AE981">
            <v>2978.32</v>
          </cell>
          <cell r="AF981">
            <v>0.19000107443122297</v>
          </cell>
          <cell r="AG981">
            <v>4.7060087566144618E-2</v>
          </cell>
          <cell r="AH981">
            <v>3039</v>
          </cell>
          <cell r="AI981">
            <v>3098</v>
          </cell>
          <cell r="AJ981">
            <v>0.22129244673983209</v>
          </cell>
          <cell r="AK981">
            <v>3157.5</v>
          </cell>
          <cell r="AL981">
            <v>3217</v>
          </cell>
          <cell r="AM981">
            <v>0.25009760646565116</v>
          </cell>
          <cell r="AN981">
            <v>3669.23</v>
          </cell>
          <cell r="AO981">
            <v>4121.46</v>
          </cell>
          <cell r="AP981">
            <v>4573.6899999999996</v>
          </cell>
          <cell r="AQ981">
            <v>0</v>
          </cell>
          <cell r="AR981">
            <v>288</v>
          </cell>
          <cell r="AS981">
            <v>9660</v>
          </cell>
        </row>
        <row r="982">
          <cell r="B982" t="str">
            <v>MB</v>
          </cell>
          <cell r="C982" t="str">
            <v>IMP</v>
          </cell>
          <cell r="D982" t="str">
            <v>BT</v>
          </cell>
          <cell r="E982" t="str">
            <v>P3</v>
          </cell>
          <cell r="F982">
            <v>39924</v>
          </cell>
          <cell r="G982">
            <v>40001</v>
          </cell>
          <cell r="H982" t="str">
            <v>42GE</v>
          </cell>
          <cell r="I982" t="str">
            <v>9KMBH420_N</v>
          </cell>
          <cell r="K982" t="str">
            <v>bizhub 420</v>
          </cell>
          <cell r="L982">
            <v>10206</v>
          </cell>
          <cell r="M982">
            <v>2882</v>
          </cell>
          <cell r="N982">
            <v>2997.28</v>
          </cell>
          <cell r="O982">
            <v>-0.17647058823529416</v>
          </cell>
          <cell r="P982">
            <v>2547.6880000000001</v>
          </cell>
          <cell r="Q982">
            <v>3054.92</v>
          </cell>
          <cell r="R982">
            <v>3452.06</v>
          </cell>
          <cell r="S982">
            <v>4993.8</v>
          </cell>
          <cell r="T982">
            <v>0.39979975169209819</v>
          </cell>
          <cell r="U982">
            <v>3496</v>
          </cell>
          <cell r="V982">
            <v>0.14265446224256287</v>
          </cell>
          <cell r="W982">
            <v>2547.6880000000001</v>
          </cell>
          <cell r="X982">
            <v>0.51017021106171656</v>
          </cell>
          <cell r="Y982">
            <v>150</v>
          </cell>
          <cell r="Z982">
            <v>300</v>
          </cell>
          <cell r="AA982">
            <v>3082</v>
          </cell>
          <cell r="AB982">
            <v>2548</v>
          </cell>
          <cell r="AC982">
            <v>2831</v>
          </cell>
          <cell r="AD982">
            <v>2989</v>
          </cell>
          <cell r="AE982">
            <v>3145.29</v>
          </cell>
          <cell r="AF982">
            <v>0.18999901439930814</v>
          </cell>
          <cell r="AG982">
            <v>4.7057663999186011E-2</v>
          </cell>
          <cell r="AH982">
            <v>3209</v>
          </cell>
          <cell r="AI982">
            <v>3272</v>
          </cell>
          <cell r="AJ982">
            <v>0.22136674816625915</v>
          </cell>
          <cell r="AK982">
            <v>3334.5</v>
          </cell>
          <cell r="AL982">
            <v>3397</v>
          </cell>
          <cell r="AM982">
            <v>0.25001825139829259</v>
          </cell>
          <cell r="AN982">
            <v>3874.67</v>
          </cell>
          <cell r="AO982">
            <v>4352.34</v>
          </cell>
          <cell r="AP982">
            <v>4830.01</v>
          </cell>
          <cell r="AQ982">
            <v>0</v>
          </cell>
          <cell r="AR982">
            <v>288</v>
          </cell>
          <cell r="AS982">
            <v>10206</v>
          </cell>
        </row>
        <row r="983">
          <cell r="B983" t="str">
            <v>MB</v>
          </cell>
          <cell r="C983" t="str">
            <v>IMP</v>
          </cell>
          <cell r="D983" t="str">
            <v>BT</v>
          </cell>
          <cell r="E983" t="str">
            <v>P3</v>
          </cell>
          <cell r="F983">
            <v>39924</v>
          </cell>
          <cell r="G983">
            <v>40001</v>
          </cell>
          <cell r="H983" t="str">
            <v>50GE</v>
          </cell>
          <cell r="I983" t="str">
            <v>9KMBH500_N</v>
          </cell>
          <cell r="K983" t="str">
            <v>bizhub 500</v>
          </cell>
          <cell r="L983">
            <v>12915</v>
          </cell>
          <cell r="M983">
            <v>3583</v>
          </cell>
          <cell r="N983">
            <v>3726.32</v>
          </cell>
          <cell r="O983">
            <v>-0.17647058823529424</v>
          </cell>
          <cell r="P983">
            <v>3167.3719999999998</v>
          </cell>
          <cell r="Q983">
            <v>3797.98</v>
          </cell>
          <cell r="R983">
            <v>4291.72</v>
          </cell>
          <cell r="S983">
            <v>6318.9</v>
          </cell>
          <cell r="T983">
            <v>0.41028976562376357</v>
          </cell>
          <cell r="U983">
            <v>4423</v>
          </cell>
          <cell r="V983">
            <v>0.15751300022609085</v>
          </cell>
          <cell r="W983">
            <v>3167.3719999999998</v>
          </cell>
          <cell r="X983">
            <v>0.5012536992198009</v>
          </cell>
          <cell r="Y983">
            <v>150</v>
          </cell>
          <cell r="Z983">
            <v>300</v>
          </cell>
          <cell r="AA983">
            <v>3832</v>
          </cell>
          <cell r="AB983">
            <v>3168</v>
          </cell>
          <cell r="AC983">
            <v>3520</v>
          </cell>
          <cell r="AD983">
            <v>3716</v>
          </cell>
          <cell r="AE983">
            <v>3910.34</v>
          </cell>
          <cell r="AF983">
            <v>0.19000086948960968</v>
          </cell>
          <cell r="AG983">
            <v>4.7059846458364231E-2</v>
          </cell>
          <cell r="AH983">
            <v>3990</v>
          </cell>
          <cell r="AI983">
            <v>4068</v>
          </cell>
          <cell r="AJ983">
            <v>0.22139331366765</v>
          </cell>
          <cell r="AK983">
            <v>4146</v>
          </cell>
          <cell r="AL983">
            <v>4224</v>
          </cell>
          <cell r="AM983">
            <v>0.25014867424242426</v>
          </cell>
          <cell r="AN983">
            <v>4817.67</v>
          </cell>
          <cell r="AO983">
            <v>5411.34</v>
          </cell>
          <cell r="AP983">
            <v>6005.01</v>
          </cell>
          <cell r="AQ983">
            <v>0</v>
          </cell>
          <cell r="AR983">
            <v>288</v>
          </cell>
          <cell r="AS983">
            <v>12915</v>
          </cell>
        </row>
        <row r="984">
          <cell r="B984" t="str">
            <v>MB</v>
          </cell>
          <cell r="C984" t="str">
            <v>IMP</v>
          </cell>
          <cell r="D984" t="str">
            <v>BT</v>
          </cell>
          <cell r="E984" t="str">
            <v>P3</v>
          </cell>
          <cell r="F984">
            <v>39924</v>
          </cell>
          <cell r="G984">
            <v>40001</v>
          </cell>
          <cell r="H984" t="str">
            <v>57AE</v>
          </cell>
          <cell r="I984" t="str">
            <v>9KMBH750_N</v>
          </cell>
          <cell r="K984" t="str">
            <v>bizhub 750</v>
          </cell>
          <cell r="L984">
            <v>27030</v>
          </cell>
          <cell r="M984">
            <v>6304</v>
          </cell>
          <cell r="N984">
            <v>6556.16</v>
          </cell>
          <cell r="O984">
            <v>-0.17647058823529413</v>
          </cell>
          <cell r="P984">
            <v>5572.7359999999999</v>
          </cell>
          <cell r="Q984">
            <v>6682.24</v>
          </cell>
          <cell r="R984">
            <v>7550.93</v>
          </cell>
          <cell r="S984">
            <v>11424</v>
          </cell>
          <cell r="T984">
            <v>0.42610644257703084</v>
          </cell>
          <cell r="U984">
            <v>7997</v>
          </cell>
          <cell r="V984">
            <v>0.18017256471176693</v>
          </cell>
          <cell r="W984">
            <v>5572.7359999999999</v>
          </cell>
          <cell r="X984">
            <v>0.4878095238095238</v>
          </cell>
          <cell r="Y984">
            <v>250</v>
          </cell>
          <cell r="Z984">
            <v>300</v>
          </cell>
          <cell r="AA984">
            <v>7564</v>
          </cell>
          <cell r="AB984">
            <v>5573</v>
          </cell>
          <cell r="AC984">
            <v>6192</v>
          </cell>
          <cell r="AD984">
            <v>6956</v>
          </cell>
          <cell r="AE984">
            <v>7718.47</v>
          </cell>
          <cell r="AF984">
            <v>0.27799991449082528</v>
          </cell>
          <cell r="AG984">
            <v>0.15058813469508858</v>
          </cell>
          <cell r="AH984">
            <v>7647</v>
          </cell>
          <cell r="AI984">
            <v>7575</v>
          </cell>
          <cell r="AJ984">
            <v>0.26432528052805282</v>
          </cell>
          <cell r="AK984">
            <v>7503</v>
          </cell>
          <cell r="AL984">
            <v>7431</v>
          </cell>
          <cell r="AM984">
            <v>0.25006916969452297</v>
          </cell>
          <cell r="AN984">
            <v>12330.75</v>
          </cell>
          <cell r="AO984">
            <v>17230.5</v>
          </cell>
          <cell r="AP984">
            <v>22130.25</v>
          </cell>
          <cell r="AQ984">
            <v>0</v>
          </cell>
          <cell r="AR984">
            <v>352</v>
          </cell>
          <cell r="AS984">
            <v>27030</v>
          </cell>
        </row>
        <row r="985">
          <cell r="B985" t="str">
            <v>MB</v>
          </cell>
          <cell r="C985" t="str">
            <v>IMP</v>
          </cell>
          <cell r="D985" t="str">
            <v>BT</v>
          </cell>
          <cell r="E985" t="str">
            <v>P3</v>
          </cell>
          <cell r="F985">
            <v>39924</v>
          </cell>
          <cell r="G985">
            <v>40001</v>
          </cell>
          <cell r="H985" t="str">
            <v>57BE</v>
          </cell>
          <cell r="I985" t="str">
            <v>9KMBH600_N</v>
          </cell>
          <cell r="K985" t="str">
            <v>bizhub 600</v>
          </cell>
          <cell r="L985">
            <v>20948</v>
          </cell>
          <cell r="M985">
            <v>5049</v>
          </cell>
          <cell r="N985">
            <v>5250.96</v>
          </cell>
          <cell r="O985">
            <v>-0.17647058823529418</v>
          </cell>
          <cell r="P985">
            <v>4463.3159999999998</v>
          </cell>
          <cell r="Q985">
            <v>5351.94</v>
          </cell>
          <cell r="R985">
            <v>6047.69</v>
          </cell>
          <cell r="S985">
            <v>8935.5</v>
          </cell>
          <cell r="T985">
            <v>0.41234849756588887</v>
          </cell>
          <cell r="U985">
            <v>6255</v>
          </cell>
          <cell r="V985">
            <v>0.16051798561151079</v>
          </cell>
          <cell r="W985">
            <v>4463.3159999999998</v>
          </cell>
          <cell r="X985">
            <v>0.49950377706899446</v>
          </cell>
          <cell r="Y985">
            <v>250</v>
          </cell>
          <cell r="Z985">
            <v>300</v>
          </cell>
          <cell r="AA985">
            <v>5400</v>
          </cell>
          <cell r="AB985">
            <v>4464</v>
          </cell>
          <cell r="AC985">
            <v>4960</v>
          </cell>
          <cell r="AD985">
            <v>5236</v>
          </cell>
          <cell r="AE985">
            <v>5510.27</v>
          </cell>
          <cell r="AF985">
            <v>0.19000048999413832</v>
          </cell>
          <cell r="AG985">
            <v>4.7059399993103858E-2</v>
          </cell>
          <cell r="AH985">
            <v>5622</v>
          </cell>
          <cell r="AI985">
            <v>5732</v>
          </cell>
          <cell r="AJ985">
            <v>0.22133356594556877</v>
          </cell>
          <cell r="AK985">
            <v>5842</v>
          </cell>
          <cell r="AL985">
            <v>5952</v>
          </cell>
          <cell r="AM985">
            <v>0.25011491935483876</v>
          </cell>
          <cell r="AN985">
            <v>6788.64</v>
          </cell>
          <cell r="AO985">
            <v>7625.28</v>
          </cell>
          <cell r="AP985">
            <v>8461.92</v>
          </cell>
          <cell r="AQ985">
            <v>0</v>
          </cell>
          <cell r="AR985">
            <v>352</v>
          </cell>
          <cell r="AS985">
            <v>20948</v>
          </cell>
        </row>
        <row r="986">
          <cell r="B986" t="str">
            <v>MB</v>
          </cell>
          <cell r="C986" t="str">
            <v>IMP</v>
          </cell>
          <cell r="D986" t="str">
            <v>BT</v>
          </cell>
          <cell r="E986" t="str">
            <v>P3</v>
          </cell>
          <cell r="F986">
            <v>39924</v>
          </cell>
          <cell r="G986">
            <v>40001</v>
          </cell>
          <cell r="H986" t="str">
            <v>57GE</v>
          </cell>
          <cell r="I986" t="str">
            <v>9KMBHPRO920_N</v>
          </cell>
          <cell r="K986" t="str">
            <v>bizhub PRO 920</v>
          </cell>
          <cell r="L986">
            <v>40950</v>
          </cell>
          <cell r="M986">
            <v>9078</v>
          </cell>
          <cell r="N986">
            <v>9441.1200000000008</v>
          </cell>
          <cell r="O986">
            <v>-0.17647058823529418</v>
          </cell>
          <cell r="P986">
            <v>8024.9520000000002</v>
          </cell>
          <cell r="Q986">
            <v>9622.68</v>
          </cell>
          <cell r="R986">
            <v>10873.63</v>
          </cell>
          <cell r="S986">
            <v>16039.8</v>
          </cell>
          <cell r="T986">
            <v>0.41139415703437693</v>
          </cell>
          <cell r="U986">
            <v>11228</v>
          </cell>
          <cell r="V986">
            <v>0.15914499465621654</v>
          </cell>
          <cell r="W986">
            <v>8024.9520000000002</v>
          </cell>
          <cell r="X986">
            <v>0.50031496652077956</v>
          </cell>
          <cell r="Y986">
            <v>250</v>
          </cell>
          <cell r="Z986">
            <v>500</v>
          </cell>
          <cell r="AA986">
            <v>10893</v>
          </cell>
          <cell r="AB986">
            <v>8025</v>
          </cell>
          <cell r="AC986">
            <v>8917</v>
          </cell>
          <cell r="AD986">
            <v>10016</v>
          </cell>
          <cell r="AE986">
            <v>11114.89</v>
          </cell>
          <cell r="AF986">
            <v>0.27799987224344996</v>
          </cell>
          <cell r="AG986">
            <v>0.15058808499229401</v>
          </cell>
          <cell r="AH986">
            <v>11012</v>
          </cell>
          <cell r="AI986">
            <v>10908</v>
          </cell>
          <cell r="AJ986">
            <v>0.26430583058305829</v>
          </cell>
          <cell r="AK986">
            <v>10804</v>
          </cell>
          <cell r="AL986">
            <v>10700</v>
          </cell>
          <cell r="AM986">
            <v>0.25000448598130837</v>
          </cell>
          <cell r="AN986">
            <v>18262.5</v>
          </cell>
          <cell r="AO986">
            <v>25825</v>
          </cell>
          <cell r="AP986">
            <v>33387.5</v>
          </cell>
          <cell r="AQ986">
            <v>0</v>
          </cell>
          <cell r="AR986">
            <v>506</v>
          </cell>
          <cell r="AS986">
            <v>40950</v>
          </cell>
        </row>
        <row r="987">
          <cell r="B987" t="str">
            <v>MB</v>
          </cell>
          <cell r="C987" t="str">
            <v>IMP</v>
          </cell>
          <cell r="D987" t="str">
            <v>BT</v>
          </cell>
          <cell r="E987" t="str">
            <v>P3</v>
          </cell>
          <cell r="F987">
            <v>39924</v>
          </cell>
          <cell r="G987">
            <v>40001</v>
          </cell>
          <cell r="H987" t="str">
            <v>57GJ</v>
          </cell>
          <cell r="I987" t="str">
            <v>9KMBHPRO920GSA_N</v>
          </cell>
          <cell r="K987" t="str">
            <v>bizhub PRO 920 GSA</v>
          </cell>
          <cell r="L987">
            <v>40950</v>
          </cell>
          <cell r="M987">
            <v>9078</v>
          </cell>
          <cell r="N987">
            <v>9441.1200000000008</v>
          </cell>
          <cell r="O987">
            <v>-0.17647058823529418</v>
          </cell>
          <cell r="P987">
            <v>8024.9520000000002</v>
          </cell>
          <cell r="Q987">
            <v>9622.68</v>
          </cell>
          <cell r="R987">
            <v>10873.63</v>
          </cell>
          <cell r="S987">
            <v>16039.8</v>
          </cell>
          <cell r="T987">
            <v>0.41139415703437693</v>
          </cell>
          <cell r="U987">
            <v>11228</v>
          </cell>
          <cell r="V987">
            <v>0.15914499465621654</v>
          </cell>
          <cell r="W987">
            <v>8024.9520000000002</v>
          </cell>
          <cell r="X987">
            <v>0.50031496652077956</v>
          </cell>
          <cell r="Y987">
            <v>250</v>
          </cell>
          <cell r="Z987">
            <v>500</v>
          </cell>
          <cell r="AA987">
            <v>9709</v>
          </cell>
          <cell r="AB987">
            <v>8025</v>
          </cell>
          <cell r="AC987">
            <v>8917</v>
          </cell>
          <cell r="AD987">
            <v>9413</v>
          </cell>
          <cell r="AE987">
            <v>9907.35</v>
          </cell>
          <cell r="AF987">
            <v>0.19000015140274645</v>
          </cell>
          <cell r="AG987">
            <v>4.7059001650289888E-2</v>
          </cell>
          <cell r="AH987">
            <v>10106</v>
          </cell>
          <cell r="AI987">
            <v>10304</v>
          </cell>
          <cell r="AJ987">
            <v>0.221180900621118</v>
          </cell>
          <cell r="AK987">
            <v>10502</v>
          </cell>
          <cell r="AL987">
            <v>10700</v>
          </cell>
          <cell r="AM987">
            <v>0.25000448598130837</v>
          </cell>
          <cell r="AN987">
            <v>12204.66</v>
          </cell>
          <cell r="AO987">
            <v>13709.32</v>
          </cell>
          <cell r="AP987">
            <v>15213.98</v>
          </cell>
          <cell r="AQ987">
            <v>0</v>
          </cell>
          <cell r="AR987">
            <v>506</v>
          </cell>
          <cell r="AS987">
            <v>40950</v>
          </cell>
        </row>
        <row r="988">
          <cell r="B988" t="str">
            <v>MB</v>
          </cell>
          <cell r="C988" t="str">
            <v>IMP</v>
          </cell>
          <cell r="D988" t="str">
            <v>BT</v>
          </cell>
          <cell r="E988" t="str">
            <v>P3</v>
          </cell>
          <cell r="F988">
            <v>39924</v>
          </cell>
          <cell r="G988">
            <v>40001</v>
          </cell>
          <cell r="H988" t="str">
            <v>58UE</v>
          </cell>
          <cell r="I988" t="str">
            <v>9KMBHPRO1050E_N</v>
          </cell>
          <cell r="J988" t="str">
            <v>x</v>
          </cell>
          <cell r="K988" t="str">
            <v>bizhub PRO 1050e</v>
          </cell>
          <cell r="L988">
            <v>62591</v>
          </cell>
          <cell r="M988">
            <v>13107</v>
          </cell>
          <cell r="N988">
            <v>13631.28</v>
          </cell>
          <cell r="O988">
            <v>-0.17647058823529421</v>
          </cell>
          <cell r="P988">
            <v>11586.588</v>
          </cell>
          <cell r="Q988">
            <v>13893.42</v>
          </cell>
          <cell r="R988">
            <v>15699.56</v>
          </cell>
          <cell r="S988">
            <v>26775</v>
          </cell>
          <cell r="T988">
            <v>0.49089523809523805</v>
          </cell>
          <cell r="U988">
            <v>18743</v>
          </cell>
          <cell r="V988">
            <v>0.27272688470362266</v>
          </cell>
          <cell r="W988">
            <v>11586.588</v>
          </cell>
          <cell r="X988">
            <v>0.43273904761904763</v>
          </cell>
          <cell r="Y988">
            <v>800</v>
          </cell>
          <cell r="Z988">
            <v>500</v>
          </cell>
          <cell r="AA988">
            <v>14018</v>
          </cell>
          <cell r="AB988">
            <v>11587</v>
          </cell>
          <cell r="AC988">
            <v>12874</v>
          </cell>
          <cell r="AD988">
            <v>13590</v>
          </cell>
          <cell r="AE988">
            <v>14304.43</v>
          </cell>
          <cell r="AF988">
            <v>0.19000002097252394</v>
          </cell>
          <cell r="AG988">
            <v>4.7058848202969267E-2</v>
          </cell>
          <cell r="AH988">
            <v>14591</v>
          </cell>
          <cell r="AI988">
            <v>14877</v>
          </cell>
          <cell r="AJ988">
            <v>0.22117443032869533</v>
          </cell>
          <cell r="AK988">
            <v>15163</v>
          </cell>
          <cell r="AL988">
            <v>15449</v>
          </cell>
          <cell r="AM988">
            <v>0.25001048611560622</v>
          </cell>
          <cell r="AN988">
            <v>17621.43</v>
          </cell>
          <cell r="AO988">
            <v>19793.86</v>
          </cell>
          <cell r="AP988">
            <v>21966.29</v>
          </cell>
          <cell r="AQ988">
            <v>0</v>
          </cell>
          <cell r="AR988">
            <v>811</v>
          </cell>
          <cell r="AS988">
            <v>62591</v>
          </cell>
        </row>
        <row r="989">
          <cell r="B989" t="str">
            <v>MB</v>
          </cell>
          <cell r="C989" t="str">
            <v>IMP</v>
          </cell>
          <cell r="D989" t="str">
            <v>BT</v>
          </cell>
          <cell r="E989" t="str">
            <v>08</v>
          </cell>
          <cell r="F989">
            <v>39924</v>
          </cell>
          <cell r="G989">
            <v>40001</v>
          </cell>
          <cell r="H989" t="str">
            <v>58UJ</v>
          </cell>
          <cell r="I989" t="str">
            <v>9KMBHPRO1050EGSA_N</v>
          </cell>
          <cell r="K989" t="str">
            <v>bizhub PRO 1050e GSA</v>
          </cell>
          <cell r="L989">
            <v>62591</v>
          </cell>
          <cell r="M989">
            <v>13107</v>
          </cell>
          <cell r="N989">
            <v>13631.28</v>
          </cell>
          <cell r="O989">
            <v>0.27270748299319725</v>
          </cell>
          <cell r="P989">
            <v>18742.5</v>
          </cell>
          <cell r="Q989">
            <v>13893.42</v>
          </cell>
          <cell r="R989">
            <v>15699.56</v>
          </cell>
          <cell r="S989">
            <v>26775</v>
          </cell>
          <cell r="T989">
            <v>0.49089523809523805</v>
          </cell>
          <cell r="U989">
            <v>18743</v>
          </cell>
          <cell r="V989">
            <v>0.27272688470362266</v>
          </cell>
          <cell r="W989">
            <v>18742.5</v>
          </cell>
          <cell r="X989">
            <v>0.7</v>
          </cell>
          <cell r="Y989">
            <v>800</v>
          </cell>
          <cell r="Z989">
            <v>500</v>
          </cell>
          <cell r="AA989">
            <v>24821</v>
          </cell>
          <cell r="AB989">
            <v>18743</v>
          </cell>
          <cell r="AC989">
            <v>22857</v>
          </cell>
          <cell r="AD989">
            <v>24407</v>
          </cell>
          <cell r="AE989">
            <v>25327.7</v>
          </cell>
          <cell r="AF989">
            <v>0.2599999210350723</v>
          </cell>
          <cell r="AG989">
            <v>0.46180347998436494</v>
          </cell>
          <cell r="AH989">
            <v>26398</v>
          </cell>
          <cell r="AI989">
            <v>29286</v>
          </cell>
          <cell r="AJ989">
            <v>0.36001843884449908</v>
          </cell>
          <cell r="AK989">
            <v>32314.66</v>
          </cell>
          <cell r="AL989">
            <v>36465</v>
          </cell>
          <cell r="AM989">
            <v>0.48601398601398599</v>
          </cell>
          <cell r="AN989">
            <v>42996.5</v>
          </cell>
          <cell r="AO989">
            <v>49528</v>
          </cell>
          <cell r="AP989">
            <v>56059.5</v>
          </cell>
          <cell r="AQ989">
            <v>0</v>
          </cell>
          <cell r="AR989">
            <v>811</v>
          </cell>
          <cell r="AS989">
            <v>62591</v>
          </cell>
        </row>
        <row r="990">
          <cell r="B990" t="str">
            <v>MB</v>
          </cell>
          <cell r="C990" t="str">
            <v>IMP</v>
          </cell>
          <cell r="D990" t="str">
            <v>BT</v>
          </cell>
          <cell r="E990" t="str">
            <v>P3</v>
          </cell>
          <cell r="F990">
            <v>39924</v>
          </cell>
          <cell r="G990">
            <v>40001</v>
          </cell>
          <cell r="H990" t="str">
            <v>58VE</v>
          </cell>
          <cell r="I990" t="str">
            <v>9KMBHPRO1050EP_N</v>
          </cell>
          <cell r="J990" t="str">
            <v>x</v>
          </cell>
          <cell r="K990" t="str">
            <v xml:space="preserve">bizhub PRO 1050eP </v>
          </cell>
          <cell r="L990">
            <v>55241</v>
          </cell>
          <cell r="M990">
            <v>12750</v>
          </cell>
          <cell r="N990">
            <v>13260</v>
          </cell>
          <cell r="O990">
            <v>-0.17647058823529413</v>
          </cell>
          <cell r="P990">
            <v>11271</v>
          </cell>
          <cell r="Q990">
            <v>13515</v>
          </cell>
          <cell r="R990">
            <v>15271.95</v>
          </cell>
          <cell r="S990">
            <v>23625</v>
          </cell>
          <cell r="T990">
            <v>0.43873015873015875</v>
          </cell>
          <cell r="U990">
            <v>16538</v>
          </cell>
          <cell r="V990">
            <v>0.19821018260974724</v>
          </cell>
          <cell r="W990">
            <v>11271</v>
          </cell>
          <cell r="X990">
            <v>0.4770793650793651</v>
          </cell>
          <cell r="Y990">
            <v>800</v>
          </cell>
          <cell r="Z990">
            <v>500</v>
          </cell>
          <cell r="AA990">
            <v>13637</v>
          </cell>
          <cell r="AB990">
            <v>11271</v>
          </cell>
          <cell r="AC990">
            <v>12524</v>
          </cell>
          <cell r="AD990">
            <v>13220</v>
          </cell>
          <cell r="AE990">
            <v>13914.81</v>
          </cell>
          <cell r="AF990">
            <v>0.18999971972308638</v>
          </cell>
          <cell r="AG990">
            <v>4.7058493791866329E-2</v>
          </cell>
          <cell r="AH990">
            <v>14194</v>
          </cell>
          <cell r="AI990">
            <v>14472</v>
          </cell>
          <cell r="AJ990">
            <v>0.22118573797678276</v>
          </cell>
          <cell r="AK990">
            <v>14750</v>
          </cell>
          <cell r="AL990">
            <v>15028</v>
          </cell>
          <cell r="AM990">
            <v>0.25</v>
          </cell>
          <cell r="AN990">
            <v>17141.310000000001</v>
          </cell>
          <cell r="AO990">
            <v>19254.62</v>
          </cell>
          <cell r="AP990">
            <v>21367.93</v>
          </cell>
          <cell r="AQ990">
            <v>0</v>
          </cell>
          <cell r="AR990">
            <v>811</v>
          </cell>
          <cell r="AS990">
            <v>55241</v>
          </cell>
        </row>
        <row r="991">
          <cell r="B991" t="str">
            <v>MB</v>
          </cell>
          <cell r="C991" t="str">
            <v>IMP</v>
          </cell>
          <cell r="D991" t="str">
            <v>BT</v>
          </cell>
          <cell r="E991" t="str">
            <v>P3</v>
          </cell>
          <cell r="F991">
            <v>39924</v>
          </cell>
          <cell r="G991">
            <v>40001</v>
          </cell>
          <cell r="H991" t="str">
            <v>A00H010</v>
          </cell>
          <cell r="I991" t="str">
            <v>9KMBHC650_N</v>
          </cell>
          <cell r="K991" t="str">
            <v>bizhub C650 Copier/Printer/Scanner</v>
          </cell>
          <cell r="L991">
            <v>31012</v>
          </cell>
          <cell r="M991">
            <v>6467</v>
          </cell>
          <cell r="N991">
            <v>6725.68</v>
          </cell>
          <cell r="O991">
            <v>-0.17647058823529407</v>
          </cell>
          <cell r="P991">
            <v>5716.8280000000004</v>
          </cell>
          <cell r="Q991">
            <v>6855.02</v>
          </cell>
          <cell r="R991">
            <v>7746.17</v>
          </cell>
          <cell r="S991">
            <v>12789</v>
          </cell>
          <cell r="T991">
            <v>0.47410430839002266</v>
          </cell>
          <cell r="U991">
            <v>8952</v>
          </cell>
          <cell r="V991">
            <v>0.24869526362823946</v>
          </cell>
          <cell r="W991">
            <v>5716.8280000000004</v>
          </cell>
          <cell r="X991">
            <v>0.44701133786848074</v>
          </cell>
          <cell r="Y991">
            <v>250</v>
          </cell>
          <cell r="Z991">
            <v>300</v>
          </cell>
          <cell r="AA991">
            <v>6917</v>
          </cell>
          <cell r="AB991">
            <v>5717</v>
          </cell>
          <cell r="AC991">
            <v>6353</v>
          </cell>
          <cell r="AD991">
            <v>6706</v>
          </cell>
          <cell r="AE991">
            <v>7057.81</v>
          </cell>
          <cell r="AF991">
            <v>0.18999973079467991</v>
          </cell>
          <cell r="AG991">
            <v>4.7058506817270529E-2</v>
          </cell>
          <cell r="AH991">
            <v>7200</v>
          </cell>
          <cell r="AI991">
            <v>7341</v>
          </cell>
          <cell r="AJ991">
            <v>0.22124669663533572</v>
          </cell>
          <cell r="AK991">
            <v>7482</v>
          </cell>
          <cell r="AL991">
            <v>7623</v>
          </cell>
          <cell r="AM991">
            <v>0.25005535878263146</v>
          </cell>
          <cell r="AN991">
            <v>8694.76</v>
          </cell>
          <cell r="AO991">
            <v>9766.52</v>
          </cell>
          <cell r="AP991">
            <v>10838.28</v>
          </cell>
          <cell r="AQ991">
            <v>0</v>
          </cell>
          <cell r="AR991">
            <v>503</v>
          </cell>
          <cell r="AS991">
            <v>31012</v>
          </cell>
        </row>
        <row r="992">
          <cell r="B992" t="str">
            <v>MB</v>
          </cell>
          <cell r="C992" t="str">
            <v>IMP</v>
          </cell>
          <cell r="D992" t="str">
            <v>BT</v>
          </cell>
          <cell r="E992" t="str">
            <v>P3</v>
          </cell>
          <cell r="F992">
            <v>39924</v>
          </cell>
          <cell r="G992">
            <v>40001</v>
          </cell>
          <cell r="H992" t="str">
            <v>A00HX001</v>
          </cell>
          <cell r="I992" t="str">
            <v>9KMBHC650_N</v>
          </cell>
          <cell r="K992" t="str">
            <v>bizhub C650 (SKU)</v>
          </cell>
          <cell r="L992">
            <v>32550</v>
          </cell>
          <cell r="M992">
            <v>7054</v>
          </cell>
          <cell r="N992">
            <v>7336.16</v>
          </cell>
          <cell r="O992">
            <v>0.21777719767669507</v>
          </cell>
          <cell r="P992">
            <v>9193.7999999999993</v>
          </cell>
          <cell r="Q992">
            <v>7477.24</v>
          </cell>
          <cell r="R992">
            <v>8449.2800000000007</v>
          </cell>
          <cell r="S992">
            <v>13790.7</v>
          </cell>
          <cell r="T992">
            <v>0.45244403837368657</v>
          </cell>
          <cell r="U992">
            <v>9653</v>
          </cell>
          <cell r="V992">
            <v>0.22445810417340661</v>
          </cell>
          <cell r="W992">
            <v>6235.7359999999999</v>
          </cell>
          <cell r="X992">
            <v>0.7</v>
          </cell>
          <cell r="Y992">
            <v>250</v>
          </cell>
          <cell r="Z992">
            <v>300</v>
          </cell>
          <cell r="AA992">
            <v>7544</v>
          </cell>
          <cell r="AB992">
            <v>6236</v>
          </cell>
          <cell r="AC992">
            <v>6929</v>
          </cell>
          <cell r="AD992">
            <v>7314</v>
          </cell>
          <cell r="AE992">
            <v>7698.44</v>
          </cell>
          <cell r="AF992">
            <v>0.19000005195857861</v>
          </cell>
          <cell r="AG992">
            <v>4.7058884657151287E-2</v>
          </cell>
          <cell r="AH992">
            <v>7853</v>
          </cell>
          <cell r="AI992">
            <v>8007</v>
          </cell>
          <cell r="AJ992">
            <v>0.22121443736730362</v>
          </cell>
          <cell r="AK992">
            <v>8161</v>
          </cell>
          <cell r="AL992">
            <v>8315</v>
          </cell>
          <cell r="AM992">
            <v>0.25006181599518945</v>
          </cell>
          <cell r="AN992">
            <v>9484.0300000000007</v>
          </cell>
          <cell r="AO992">
            <v>10653.06</v>
          </cell>
          <cell r="AP992">
            <v>11822.09</v>
          </cell>
          <cell r="AQ992">
            <v>0</v>
          </cell>
          <cell r="AR992">
            <v>503</v>
          </cell>
          <cell r="AS992">
            <v>32550</v>
          </cell>
        </row>
        <row r="993">
          <cell r="B993" t="str">
            <v>MB</v>
          </cell>
          <cell r="C993" t="str">
            <v>IMP</v>
          </cell>
          <cell r="D993" t="str">
            <v>BT</v>
          </cell>
          <cell r="E993" t="str">
            <v>P3</v>
          </cell>
          <cell r="F993">
            <v>39924</v>
          </cell>
          <cell r="G993">
            <v>40001</v>
          </cell>
          <cell r="H993" t="str">
            <v>A00J010</v>
          </cell>
          <cell r="I993" t="str">
            <v>9KMBHC550_N</v>
          </cell>
          <cell r="K993" t="str">
            <v>bizhub C550</v>
          </cell>
          <cell r="L993">
            <v>24712</v>
          </cell>
          <cell r="M993">
            <v>5472</v>
          </cell>
          <cell r="N993">
            <v>5690.88</v>
          </cell>
          <cell r="O993">
            <v>-0.17647058823529424</v>
          </cell>
          <cell r="P993">
            <v>4837.2479999999996</v>
          </cell>
          <cell r="Q993">
            <v>5800.32</v>
          </cell>
          <cell r="R993">
            <v>6554.36</v>
          </cell>
          <cell r="S993">
            <v>10521</v>
          </cell>
          <cell r="T993">
            <v>0.45909324208725405</v>
          </cell>
          <cell r="U993">
            <v>7365</v>
          </cell>
          <cell r="V993">
            <v>0.22730753564154785</v>
          </cell>
          <cell r="W993">
            <v>4837.2479999999996</v>
          </cell>
          <cell r="X993">
            <v>0.45977074422583403</v>
          </cell>
          <cell r="Y993">
            <v>250</v>
          </cell>
          <cell r="Z993">
            <v>300</v>
          </cell>
          <cell r="AA993">
            <v>6566</v>
          </cell>
          <cell r="AB993">
            <v>4838</v>
          </cell>
          <cell r="AC993">
            <v>5375</v>
          </cell>
          <cell r="AD993">
            <v>6038</v>
          </cell>
          <cell r="AE993">
            <v>6699.79</v>
          </cell>
          <cell r="AF993">
            <v>0.27800005671819572</v>
          </cell>
          <cell r="AG993">
            <v>0.15058830202140663</v>
          </cell>
          <cell r="AH993">
            <v>6638</v>
          </cell>
          <cell r="AI993">
            <v>6575</v>
          </cell>
          <cell r="AJ993">
            <v>0.26429688212927765</v>
          </cell>
          <cell r="AK993">
            <v>6512.5</v>
          </cell>
          <cell r="AL993">
            <v>6450</v>
          </cell>
          <cell r="AM993">
            <v>0.25003906976744195</v>
          </cell>
          <cell r="AN993">
            <v>11015.5</v>
          </cell>
          <cell r="AO993">
            <v>15581</v>
          </cell>
          <cell r="AP993">
            <v>20146.5</v>
          </cell>
          <cell r="AQ993">
            <v>0</v>
          </cell>
          <cell r="AR993">
            <v>503</v>
          </cell>
          <cell r="AS993">
            <v>24712</v>
          </cell>
        </row>
        <row r="994">
          <cell r="B994" t="str">
            <v>MB</v>
          </cell>
          <cell r="C994" t="str">
            <v>IMP</v>
          </cell>
          <cell r="D994" t="str">
            <v>BT</v>
          </cell>
          <cell r="E994" t="str">
            <v>08</v>
          </cell>
          <cell r="F994">
            <v>39924</v>
          </cell>
          <cell r="G994">
            <v>40001</v>
          </cell>
          <cell r="H994" t="str">
            <v>A00J011</v>
          </cell>
          <cell r="I994" t="str">
            <v>9KMBHC550GSA_N</v>
          </cell>
          <cell r="K994" t="str">
            <v>bizhub C550 GSA</v>
          </cell>
          <cell r="L994">
            <v>24712</v>
          </cell>
          <cell r="M994">
            <v>5472</v>
          </cell>
          <cell r="N994">
            <v>5690.88</v>
          </cell>
          <cell r="O994">
            <v>0.22727606012464863</v>
          </cell>
          <cell r="P994">
            <v>7364.7</v>
          </cell>
          <cell r="Q994">
            <v>5800.32</v>
          </cell>
          <cell r="R994">
            <v>6554.36</v>
          </cell>
          <cell r="S994">
            <v>10521</v>
          </cell>
          <cell r="T994">
            <v>0.45909324208725405</v>
          </cell>
          <cell r="U994">
            <v>7365</v>
          </cell>
          <cell r="V994">
            <v>0.22730753564154785</v>
          </cell>
          <cell r="W994">
            <v>7364.7</v>
          </cell>
          <cell r="X994">
            <v>0.7</v>
          </cell>
          <cell r="Y994">
            <v>250</v>
          </cell>
          <cell r="Z994">
            <v>300</v>
          </cell>
          <cell r="AA994">
            <v>9996</v>
          </cell>
          <cell r="AB994">
            <v>7365</v>
          </cell>
          <cell r="AC994">
            <v>8982</v>
          </cell>
          <cell r="AD994">
            <v>9592</v>
          </cell>
          <cell r="AE994">
            <v>10200.42</v>
          </cell>
          <cell r="AF994">
            <v>0.27800031763397981</v>
          </cell>
          <cell r="AG994">
            <v>0.44209356085337664</v>
          </cell>
          <cell r="AH994">
            <v>11233</v>
          </cell>
          <cell r="AI994">
            <v>12265</v>
          </cell>
          <cell r="AJ994">
            <v>0.39953526294333469</v>
          </cell>
          <cell r="AK994">
            <v>13297</v>
          </cell>
          <cell r="AL994">
            <v>14329</v>
          </cell>
          <cell r="AM994">
            <v>0.48602833414753299</v>
          </cell>
          <cell r="AN994">
            <v>16924.75</v>
          </cell>
          <cell r="AO994">
            <v>19520.5</v>
          </cell>
          <cell r="AP994">
            <v>22116.25</v>
          </cell>
          <cell r="AQ994">
            <v>0</v>
          </cell>
          <cell r="AR994">
            <v>503</v>
          </cell>
          <cell r="AS994">
            <v>24712</v>
          </cell>
        </row>
        <row r="995">
          <cell r="B995" t="str">
            <v>MB</v>
          </cell>
          <cell r="C995" t="str">
            <v>IMP</v>
          </cell>
          <cell r="D995" t="str">
            <v>BT</v>
          </cell>
          <cell r="E995" t="str">
            <v>P3</v>
          </cell>
          <cell r="F995">
            <v>39924</v>
          </cell>
          <cell r="G995">
            <v>40001</v>
          </cell>
          <cell r="H995" t="str">
            <v>A00JX001</v>
          </cell>
          <cell r="I995" t="str">
            <v>9KMBHC550_N</v>
          </cell>
          <cell r="K995" t="str">
            <v>bizhub C550 (SKU)</v>
          </cell>
          <cell r="L995">
            <v>26250</v>
          </cell>
          <cell r="M995">
            <v>6060</v>
          </cell>
          <cell r="N995">
            <v>6302.4000000000005</v>
          </cell>
          <cell r="O995">
            <v>0.19035386631716891</v>
          </cell>
          <cell r="P995">
            <v>7630</v>
          </cell>
          <cell r="Q995">
            <v>6423.6</v>
          </cell>
          <cell r="R995">
            <v>7258.67</v>
          </cell>
          <cell r="S995">
            <v>11445</v>
          </cell>
          <cell r="T995">
            <v>0.43324770642201832</v>
          </cell>
          <cell r="U995">
            <v>8012</v>
          </cell>
          <cell r="V995">
            <v>0.17861986437973668</v>
          </cell>
          <cell r="W995">
            <v>5357.04</v>
          </cell>
          <cell r="X995">
            <v>0.7</v>
          </cell>
          <cell r="Y995">
            <v>250</v>
          </cell>
          <cell r="Z995">
            <v>300</v>
          </cell>
          <cell r="AA995">
            <v>6481</v>
          </cell>
          <cell r="AB995">
            <v>5358</v>
          </cell>
          <cell r="AC995">
            <v>5953</v>
          </cell>
          <cell r="AD995">
            <v>6284</v>
          </cell>
          <cell r="AE995">
            <v>6613.63</v>
          </cell>
          <cell r="AF995">
            <v>0.1900000453608684</v>
          </cell>
          <cell r="AG995">
            <v>4.7058876895139212E-2</v>
          </cell>
          <cell r="AH995">
            <v>6747</v>
          </cell>
          <cell r="AI995">
            <v>6879</v>
          </cell>
          <cell r="AJ995">
            <v>0.22124727431312691</v>
          </cell>
          <cell r="AK995">
            <v>7011</v>
          </cell>
          <cell r="AL995">
            <v>7143</v>
          </cell>
          <cell r="AM995">
            <v>0.25002939941201174</v>
          </cell>
          <cell r="AN995">
            <v>8147.38</v>
          </cell>
          <cell r="AO995">
            <v>9151.76</v>
          </cell>
          <cell r="AP995">
            <v>10156.14</v>
          </cell>
          <cell r="AQ995">
            <v>0</v>
          </cell>
          <cell r="AR995">
            <v>503</v>
          </cell>
          <cell r="AS995">
            <v>26250</v>
          </cell>
        </row>
        <row r="996">
          <cell r="B996" t="str">
            <v>MB</v>
          </cell>
          <cell r="C996" t="str">
            <v>IMP</v>
          </cell>
          <cell r="D996" t="str">
            <v>BT</v>
          </cell>
          <cell r="E996" t="str">
            <v>P3</v>
          </cell>
          <cell r="F996">
            <v>39924</v>
          </cell>
          <cell r="G996">
            <v>40001</v>
          </cell>
          <cell r="H996" t="str">
            <v>A00K010</v>
          </cell>
          <cell r="I996" t="str">
            <v>9KMBHC451_N</v>
          </cell>
          <cell r="J996" t="str">
            <v>x</v>
          </cell>
          <cell r="K996" t="str">
            <v>bizhub C451</v>
          </cell>
          <cell r="L996">
            <v>20316</v>
          </cell>
          <cell r="M996">
            <v>4840</v>
          </cell>
          <cell r="N996">
            <v>5033.6000000000004</v>
          </cell>
          <cell r="O996">
            <v>-0.1764705882352941</v>
          </cell>
          <cell r="P996">
            <v>4278.5600000000004</v>
          </cell>
          <cell r="Q996">
            <v>5130.3999999999996</v>
          </cell>
          <cell r="R996">
            <v>5797.35</v>
          </cell>
          <cell r="S996">
            <v>8600</v>
          </cell>
          <cell r="T996">
            <v>0.41469767441860461</v>
          </cell>
          <cell r="U996">
            <v>6020</v>
          </cell>
          <cell r="V996">
            <v>0.16385382059800657</v>
          </cell>
          <cell r="W996">
            <v>4278.5600000000004</v>
          </cell>
          <cell r="X996">
            <v>0.49750697674418609</v>
          </cell>
          <cell r="Y996">
            <v>150</v>
          </cell>
          <cell r="Z996">
            <v>300</v>
          </cell>
          <cell r="AA996">
            <v>5177</v>
          </cell>
          <cell r="AB996">
            <v>4279</v>
          </cell>
          <cell r="AC996">
            <v>4754</v>
          </cell>
          <cell r="AD996">
            <v>5019</v>
          </cell>
          <cell r="AE996">
            <v>5282.17</v>
          </cell>
          <cell r="AF996">
            <v>0.18999956457289327</v>
          </cell>
          <cell r="AG996">
            <v>4.7058311262227398E-2</v>
          </cell>
          <cell r="AH996">
            <v>5389</v>
          </cell>
          <cell r="AI996">
            <v>5494</v>
          </cell>
          <cell r="AJ996">
            <v>0.2212304331998543</v>
          </cell>
          <cell r="AK996">
            <v>5599.5</v>
          </cell>
          <cell r="AL996">
            <v>5705</v>
          </cell>
          <cell r="AM996">
            <v>0.25003330411919361</v>
          </cell>
          <cell r="AN996">
            <v>6507.17</v>
          </cell>
          <cell r="AO996">
            <v>7309.34</v>
          </cell>
          <cell r="AP996">
            <v>8111.51</v>
          </cell>
          <cell r="AQ996">
            <v>0</v>
          </cell>
          <cell r="AR996">
            <v>503</v>
          </cell>
          <cell r="AS996">
            <v>20316</v>
          </cell>
        </row>
        <row r="997">
          <cell r="B997" t="str">
            <v>MB</v>
          </cell>
          <cell r="C997" t="str">
            <v>IMP</v>
          </cell>
          <cell r="D997" t="str">
            <v>BT</v>
          </cell>
          <cell r="E997" t="str">
            <v>DLR</v>
          </cell>
          <cell r="F997">
            <v>39924</v>
          </cell>
          <cell r="G997">
            <v>40001</v>
          </cell>
          <cell r="H997" t="str">
            <v>A00KX001</v>
          </cell>
          <cell r="I997" t="str">
            <v>9KMBHC451_N</v>
          </cell>
          <cell r="K997" t="str">
            <v>bizhub C451 (SKU)</v>
          </cell>
          <cell r="L997">
            <v>21858</v>
          </cell>
          <cell r="M997">
            <v>5427</v>
          </cell>
          <cell r="N997">
            <v>5644.08</v>
          </cell>
          <cell r="O997">
            <v>0.1361748633879781</v>
          </cell>
          <cell r="P997">
            <v>6405</v>
          </cell>
          <cell r="Q997">
            <v>5752.62</v>
          </cell>
          <cell r="R997">
            <v>6500.46</v>
          </cell>
          <cell r="S997">
            <v>9524</v>
          </cell>
          <cell r="T997">
            <v>0.39532240437158467</v>
          </cell>
          <cell r="U997">
            <v>6667</v>
          </cell>
          <cell r="V997">
            <v>0.12358625059401232</v>
          </cell>
          <cell r="W997">
            <v>6666.8</v>
          </cell>
          <cell r="X997">
            <v>0.7</v>
          </cell>
          <cell r="Y997">
            <v>150</v>
          </cell>
          <cell r="Z997">
            <v>300</v>
          </cell>
          <cell r="AA997">
            <v>8829</v>
          </cell>
          <cell r="AB997">
            <v>6667</v>
          </cell>
          <cell r="AC997">
            <v>8131</v>
          </cell>
          <cell r="AD997">
            <v>8682</v>
          </cell>
          <cell r="AE997">
            <v>9009.19</v>
          </cell>
          <cell r="AF997">
            <v>0.26000006659866204</v>
          </cell>
          <cell r="AG997">
            <v>0.37351970598910672</v>
          </cell>
          <cell r="AH997">
            <v>9390</v>
          </cell>
          <cell r="AI997">
            <v>10417</v>
          </cell>
          <cell r="AJ997">
            <v>0.36000767975424786</v>
          </cell>
          <cell r="AK997">
            <v>11494.48</v>
          </cell>
          <cell r="AL997">
            <v>12971</v>
          </cell>
          <cell r="AM997">
            <v>0.4860226659471128</v>
          </cell>
          <cell r="AN997">
            <v>15192.75</v>
          </cell>
          <cell r="AO997">
            <v>17414.5</v>
          </cell>
          <cell r="AP997">
            <v>19636.25</v>
          </cell>
          <cell r="AQ997">
            <v>0</v>
          </cell>
          <cell r="AR997">
            <v>503</v>
          </cell>
          <cell r="AS997">
            <v>21858</v>
          </cell>
        </row>
        <row r="998">
          <cell r="B998" t="str">
            <v>MB</v>
          </cell>
          <cell r="C998" t="str">
            <v>IMP</v>
          </cell>
          <cell r="D998" t="str">
            <v>BT</v>
          </cell>
          <cell r="E998" t="str">
            <v>p3</v>
          </cell>
          <cell r="F998">
            <v>39924</v>
          </cell>
          <cell r="G998">
            <v>40001</v>
          </cell>
          <cell r="H998" t="str">
            <v>A02E010</v>
          </cell>
          <cell r="I998" t="str">
            <v>9KMBHC353_N</v>
          </cell>
          <cell r="J998" t="str">
            <v>x</v>
          </cell>
          <cell r="K998" t="str">
            <v>bizhub C353</v>
          </cell>
          <cell r="L998">
            <v>13613</v>
          </cell>
          <cell r="M998">
            <v>3366</v>
          </cell>
          <cell r="N998">
            <v>3500.6400000000003</v>
          </cell>
          <cell r="O998">
            <v>-0.1764705882352941</v>
          </cell>
          <cell r="P998">
            <v>2975.5440000000003</v>
          </cell>
          <cell r="Q998">
            <v>3567.96</v>
          </cell>
          <cell r="R998">
            <v>4031.79</v>
          </cell>
          <cell r="S998">
            <v>6195</v>
          </cell>
          <cell r="T998">
            <v>0.43492493946731231</v>
          </cell>
          <cell r="U998">
            <v>4337</v>
          </cell>
          <cell r="V998">
            <v>0.19284297901775413</v>
          </cell>
          <cell r="W998">
            <v>2975.5440000000003</v>
          </cell>
          <cell r="X998">
            <v>0.48031380145278457</v>
          </cell>
          <cell r="Y998">
            <v>150</v>
          </cell>
          <cell r="Z998">
            <v>300</v>
          </cell>
          <cell r="AA998">
            <v>3941</v>
          </cell>
          <cell r="AB998">
            <v>2976</v>
          </cell>
          <cell r="AC998">
            <v>3307</v>
          </cell>
          <cell r="AD998">
            <v>3665</v>
          </cell>
          <cell r="AE998">
            <v>4021.01</v>
          </cell>
          <cell r="AF998">
            <v>0.2600008455587029</v>
          </cell>
          <cell r="AG998">
            <v>0.12941275948082692</v>
          </cell>
          <cell r="AH998">
            <v>4009</v>
          </cell>
          <cell r="AI998">
            <v>3995</v>
          </cell>
          <cell r="AJ998">
            <v>0.25518297872340417</v>
          </cell>
          <cell r="AK998">
            <v>5130.25</v>
          </cell>
          <cell r="AL998">
            <v>3968</v>
          </cell>
          <cell r="AM998">
            <v>0.25011491935483865</v>
          </cell>
          <cell r="AN998">
            <v>6379.25</v>
          </cell>
          <cell r="AO998">
            <v>8790.5</v>
          </cell>
          <cell r="AP998">
            <v>11201.75</v>
          </cell>
          <cell r="AQ998">
            <v>0</v>
          </cell>
          <cell r="AR998">
            <v>460</v>
          </cell>
          <cell r="AS998">
            <v>13613</v>
          </cell>
        </row>
        <row r="999">
          <cell r="B999" t="str">
            <v>MB</v>
          </cell>
          <cell r="C999" t="str">
            <v>IMP</v>
          </cell>
          <cell r="D999" t="str">
            <v>BT</v>
          </cell>
          <cell r="E999" t="str">
            <v>P3</v>
          </cell>
          <cell r="F999">
            <v>39924</v>
          </cell>
          <cell r="G999">
            <v>40001</v>
          </cell>
          <cell r="H999" t="str">
            <v>A02E011</v>
          </cell>
          <cell r="I999" t="str">
            <v>9KMBHC253_N</v>
          </cell>
          <cell r="J999" t="str">
            <v>x</v>
          </cell>
          <cell r="K999" t="str">
            <v>bizhub C253</v>
          </cell>
          <cell r="L999">
            <v>10315</v>
          </cell>
          <cell r="M999">
            <v>2805</v>
          </cell>
          <cell r="N999">
            <v>2917.2000000000003</v>
          </cell>
          <cell r="O999">
            <v>-0.17647058823529407</v>
          </cell>
          <cell r="P999">
            <v>2479.6200000000003</v>
          </cell>
          <cell r="Q999">
            <v>2973.3</v>
          </cell>
          <cell r="R999">
            <v>3359.83</v>
          </cell>
          <cell r="S999">
            <v>4520</v>
          </cell>
          <cell r="T999">
            <v>0.35460176991150438</v>
          </cell>
          <cell r="U999">
            <v>3164</v>
          </cell>
          <cell r="V999">
            <v>7.8002528445006242E-2</v>
          </cell>
          <cell r="W999">
            <v>2479.6200000000003</v>
          </cell>
          <cell r="X999">
            <v>0.54858849557522127</v>
          </cell>
          <cell r="Y999">
            <v>150</v>
          </cell>
          <cell r="Z999">
            <v>300</v>
          </cell>
          <cell r="AA999">
            <v>3000</v>
          </cell>
          <cell r="AB999">
            <v>2480</v>
          </cell>
          <cell r="AC999">
            <v>2756</v>
          </cell>
          <cell r="AD999">
            <v>2909</v>
          </cell>
          <cell r="AE999">
            <v>3061.26</v>
          </cell>
          <cell r="AF999">
            <v>0.19000019599772638</v>
          </cell>
          <cell r="AG999">
            <v>4.7059054114972243E-2</v>
          </cell>
          <cell r="AH999">
            <v>3124</v>
          </cell>
          <cell r="AI999">
            <v>3185</v>
          </cell>
          <cell r="AJ999">
            <v>0.22146938775510194</v>
          </cell>
          <cell r="AK999">
            <v>3246</v>
          </cell>
          <cell r="AL999">
            <v>3307</v>
          </cell>
          <cell r="AM999">
            <v>0.25019050498941631</v>
          </cell>
          <cell r="AN999">
            <v>3771.72</v>
          </cell>
          <cell r="AO999">
            <v>4236.4399999999996</v>
          </cell>
          <cell r="AP999">
            <v>4701.16</v>
          </cell>
          <cell r="AQ999">
            <v>0</v>
          </cell>
          <cell r="AR999">
            <v>460</v>
          </cell>
          <cell r="AS999">
            <v>10315</v>
          </cell>
        </row>
        <row r="1000">
          <cell r="B1000" t="str">
            <v>MB</v>
          </cell>
          <cell r="C1000" t="str">
            <v>IMP</v>
          </cell>
          <cell r="D1000" t="str">
            <v>BT</v>
          </cell>
          <cell r="E1000" t="str">
            <v>P3</v>
          </cell>
          <cell r="F1000">
            <v>39924</v>
          </cell>
          <cell r="G1000">
            <v>40001</v>
          </cell>
          <cell r="H1000" t="str">
            <v>A02E012</v>
          </cell>
          <cell r="I1000" t="str">
            <v>9KMBHC203_N</v>
          </cell>
          <cell r="J1000" t="str">
            <v>x</v>
          </cell>
          <cell r="K1000" t="str">
            <v>bizhub C203</v>
          </cell>
          <cell r="L1000">
            <v>9165</v>
          </cell>
          <cell r="M1000">
            <v>2601</v>
          </cell>
          <cell r="N1000">
            <v>2705.04</v>
          </cell>
          <cell r="O1000">
            <v>-0.17647058823529405</v>
          </cell>
          <cell r="P1000">
            <v>2299.2840000000001</v>
          </cell>
          <cell r="Q1000">
            <v>2757.06</v>
          </cell>
          <cell r="R1000">
            <v>3115.48</v>
          </cell>
          <cell r="S1000">
            <v>4050</v>
          </cell>
          <cell r="T1000">
            <v>0.33208888888888888</v>
          </cell>
          <cell r="U1000">
            <v>2835</v>
          </cell>
          <cell r="V1000">
            <v>4.5841269841269856E-2</v>
          </cell>
          <cell r="W1000">
            <v>2299.2840000000001</v>
          </cell>
          <cell r="X1000">
            <v>0.56772444444444448</v>
          </cell>
          <cell r="Y1000">
            <v>150</v>
          </cell>
          <cell r="Z1000">
            <v>300</v>
          </cell>
          <cell r="AA1000">
            <v>2782</v>
          </cell>
          <cell r="AB1000">
            <v>2300</v>
          </cell>
          <cell r="AC1000">
            <v>2555</v>
          </cell>
          <cell r="AD1000">
            <v>2697</v>
          </cell>
          <cell r="AE1000">
            <v>2838.62</v>
          </cell>
          <cell r="AF1000">
            <v>0.18999936588905869</v>
          </cell>
          <cell r="AG1000">
            <v>4.7058077516539704E-2</v>
          </cell>
          <cell r="AH1000">
            <v>2896</v>
          </cell>
          <cell r="AI1000">
            <v>2953</v>
          </cell>
          <cell r="AJ1000">
            <v>0.22137351845580761</v>
          </cell>
          <cell r="AK1000">
            <v>3009.5</v>
          </cell>
          <cell r="AL1000">
            <v>3066</v>
          </cell>
          <cell r="AM1000">
            <v>0.25007045009784734</v>
          </cell>
          <cell r="AN1000">
            <v>3497.04</v>
          </cell>
          <cell r="AO1000">
            <v>3928.08</v>
          </cell>
          <cell r="AP1000">
            <v>4359.12</v>
          </cell>
          <cell r="AQ1000">
            <v>0</v>
          </cell>
          <cell r="AR1000">
            <v>425</v>
          </cell>
          <cell r="AS1000">
            <v>9165</v>
          </cell>
        </row>
        <row r="1001">
          <cell r="B1001" t="str">
            <v>MB</v>
          </cell>
          <cell r="C1001" t="str">
            <v>IMP</v>
          </cell>
          <cell r="D1001" t="str">
            <v>BT</v>
          </cell>
          <cell r="E1001" t="str">
            <v>P3</v>
          </cell>
          <cell r="F1001">
            <v>39924</v>
          </cell>
          <cell r="G1001">
            <v>40120</v>
          </cell>
          <cell r="H1001" t="str">
            <v>A02E013</v>
          </cell>
          <cell r="I1001" t="str">
            <v>9KMBHC353BP_N</v>
          </cell>
          <cell r="J1001" t="str">
            <v>NLA</v>
          </cell>
          <cell r="K1001" t="str">
            <v>bizhub C353P (35/35)</v>
          </cell>
          <cell r="L1001">
            <v>9950</v>
          </cell>
          <cell r="M1001">
            <v>2693</v>
          </cell>
          <cell r="N1001">
            <v>2800.7200000000003</v>
          </cell>
          <cell r="O1001">
            <v>-0.17647058823529418</v>
          </cell>
          <cell r="P1001">
            <v>2380.6120000000001</v>
          </cell>
          <cell r="Q1001">
            <v>2854.58</v>
          </cell>
          <cell r="R1001">
            <v>3225.68</v>
          </cell>
          <cell r="S1001">
            <v>4900</v>
          </cell>
          <cell r="T1001">
            <v>0.4284244897959183</v>
          </cell>
          <cell r="U1001">
            <v>3430</v>
          </cell>
          <cell r="V1001">
            <v>0.18346355685131188</v>
          </cell>
          <cell r="W1001">
            <v>2380.6120000000001</v>
          </cell>
          <cell r="X1001">
            <v>0.4858391836734694</v>
          </cell>
          <cell r="Y1001">
            <v>150</v>
          </cell>
          <cell r="Z1001">
            <v>300</v>
          </cell>
          <cell r="AA1001">
            <v>2880</v>
          </cell>
          <cell r="AB1001">
            <v>2381</v>
          </cell>
          <cell r="AC1001">
            <v>2646</v>
          </cell>
          <cell r="AD1001">
            <v>2793</v>
          </cell>
          <cell r="AE1001">
            <v>2939.03</v>
          </cell>
          <cell r="AF1001">
            <v>0.19000078257112044</v>
          </cell>
          <cell r="AG1001">
            <v>4.7059744201318102E-2</v>
          </cell>
          <cell r="AH1001">
            <v>2999</v>
          </cell>
          <cell r="AI1001">
            <v>3058</v>
          </cell>
          <cell r="AJ1001">
            <v>0.22151340745585346</v>
          </cell>
          <cell r="AK1001">
            <v>3116.5</v>
          </cell>
          <cell r="AL1001">
            <v>3175</v>
          </cell>
          <cell r="AM1001">
            <v>0.25020094488188976</v>
          </cell>
          <cell r="AN1001">
            <v>3621.15</v>
          </cell>
          <cell r="AO1001">
            <v>4067.3</v>
          </cell>
          <cell r="AP1001">
            <v>4513.45</v>
          </cell>
          <cell r="AQ1001">
            <v>0</v>
          </cell>
          <cell r="AR1001">
            <v>460</v>
          </cell>
          <cell r="AS1001">
            <v>9950</v>
          </cell>
        </row>
        <row r="1002">
          <cell r="B1002" t="str">
            <v>MB</v>
          </cell>
          <cell r="C1002" t="str">
            <v>IMP</v>
          </cell>
          <cell r="D1002" t="str">
            <v>BT</v>
          </cell>
          <cell r="E1002" t="str">
            <v>08</v>
          </cell>
          <cell r="F1002">
            <v>39924</v>
          </cell>
          <cell r="G1002">
            <v>40001</v>
          </cell>
          <cell r="H1002" t="str">
            <v>A02E014</v>
          </cell>
          <cell r="I1002" t="str">
            <v>9KMBHC353GSA_N</v>
          </cell>
          <cell r="K1002" t="str">
            <v xml:space="preserve">bizhub C353 GSA </v>
          </cell>
          <cell r="L1002">
            <v>13613</v>
          </cell>
          <cell r="M1002">
            <v>3366</v>
          </cell>
          <cell r="N1002">
            <v>3500.6400000000003</v>
          </cell>
          <cell r="O1002">
            <v>0.19274991352473186</v>
          </cell>
          <cell r="P1002">
            <v>4336.5</v>
          </cell>
          <cell r="Q1002">
            <v>3567.96</v>
          </cell>
          <cell r="R1002">
            <v>4031.79</v>
          </cell>
          <cell r="S1002">
            <v>6195</v>
          </cell>
          <cell r="T1002">
            <v>0.43492493946731231</v>
          </cell>
          <cell r="U1002">
            <v>4337</v>
          </cell>
          <cell r="V1002">
            <v>0.19284297901775413</v>
          </cell>
          <cell r="W1002">
            <v>4336.5</v>
          </cell>
          <cell r="X1002">
            <v>0.7</v>
          </cell>
          <cell r="Y1002">
            <v>150</v>
          </cell>
          <cell r="Z1002">
            <v>300</v>
          </cell>
          <cell r="AA1002">
            <v>5743</v>
          </cell>
          <cell r="AB1002">
            <v>4337</v>
          </cell>
          <cell r="AC1002">
            <v>5289</v>
          </cell>
          <cell r="AD1002">
            <v>5648</v>
          </cell>
          <cell r="AE1002">
            <v>5860.14</v>
          </cell>
          <cell r="AF1002">
            <v>0.26000061431979443</v>
          </cell>
          <cell r="AG1002">
            <v>0.40263543191800877</v>
          </cell>
          <cell r="AH1002">
            <v>6108</v>
          </cell>
          <cell r="AI1002">
            <v>6776</v>
          </cell>
          <cell r="AJ1002">
            <v>0.3600206611570248</v>
          </cell>
          <cell r="AK1002">
            <v>7476.72</v>
          </cell>
          <cell r="AL1002">
            <v>8437</v>
          </cell>
          <cell r="AM1002">
            <v>0.48601398601398599</v>
          </cell>
          <cell r="AN1002">
            <v>9731</v>
          </cell>
          <cell r="AO1002">
            <v>11025</v>
          </cell>
          <cell r="AP1002">
            <v>12319</v>
          </cell>
          <cell r="AQ1002">
            <v>0</v>
          </cell>
          <cell r="AR1002">
            <v>460</v>
          </cell>
          <cell r="AS1002">
            <v>13613</v>
          </cell>
        </row>
        <row r="1003">
          <cell r="B1003" t="str">
            <v>MB</v>
          </cell>
          <cell r="C1003" t="str">
            <v>IMP</v>
          </cell>
          <cell r="D1003" t="str">
            <v>BT</v>
          </cell>
          <cell r="E1003" t="str">
            <v>08</v>
          </cell>
          <cell r="F1003">
            <v>39924</v>
          </cell>
          <cell r="G1003">
            <v>40001</v>
          </cell>
          <cell r="H1003" t="str">
            <v>A02E016</v>
          </cell>
          <cell r="I1003" t="str">
            <v>9KMBHC253GSA_N</v>
          </cell>
          <cell r="K1003" t="str">
            <v>bizhub C253 GSA</v>
          </cell>
          <cell r="L1003">
            <v>10315</v>
          </cell>
          <cell r="M1003">
            <v>2805</v>
          </cell>
          <cell r="N1003">
            <v>2917.2000000000003</v>
          </cell>
          <cell r="O1003">
            <v>7.8002528445006242E-2</v>
          </cell>
          <cell r="P1003">
            <v>3164</v>
          </cell>
          <cell r="Q1003">
            <v>2973.3</v>
          </cell>
          <cell r="R1003">
            <v>3359.83</v>
          </cell>
          <cell r="S1003">
            <v>4520</v>
          </cell>
          <cell r="T1003">
            <v>0.35460176991150438</v>
          </cell>
          <cell r="U1003">
            <v>3164</v>
          </cell>
          <cell r="V1003">
            <v>7.8002528445006242E-2</v>
          </cell>
          <cell r="W1003">
            <v>3164</v>
          </cell>
          <cell r="X1003">
            <v>0.7</v>
          </cell>
          <cell r="Y1003">
            <v>150</v>
          </cell>
          <cell r="Z1003">
            <v>300</v>
          </cell>
          <cell r="AA1003">
            <v>4295</v>
          </cell>
          <cell r="AB1003">
            <v>3164</v>
          </cell>
          <cell r="AC1003">
            <v>3859</v>
          </cell>
          <cell r="AD1003">
            <v>4121</v>
          </cell>
          <cell r="AE1003">
            <v>4382.2700000000004</v>
          </cell>
          <cell r="AF1003">
            <v>0.27799975811622751</v>
          </cell>
          <cell r="AG1003">
            <v>0.33431760252106785</v>
          </cell>
          <cell r="AH1003">
            <v>4827</v>
          </cell>
          <cell r="AI1003">
            <v>5270</v>
          </cell>
          <cell r="AJ1003">
            <v>0.39962049335863375</v>
          </cell>
          <cell r="AK1003">
            <v>5713</v>
          </cell>
          <cell r="AL1003">
            <v>6156</v>
          </cell>
          <cell r="AM1003">
            <v>0.48602988953866144</v>
          </cell>
          <cell r="AN1003">
            <v>7195.75</v>
          </cell>
          <cell r="AO1003">
            <v>8235.5</v>
          </cell>
          <cell r="AP1003">
            <v>9275.25</v>
          </cell>
          <cell r="AQ1003">
            <v>0</v>
          </cell>
          <cell r="AR1003">
            <v>460</v>
          </cell>
          <cell r="AS1003">
            <v>10315</v>
          </cell>
        </row>
        <row r="1004">
          <cell r="B1004" t="str">
            <v>MB</v>
          </cell>
          <cell r="C1004" t="str">
            <v>IMP</v>
          </cell>
          <cell r="D1004" t="str">
            <v>BT</v>
          </cell>
          <cell r="E1004" t="str">
            <v>P3</v>
          </cell>
          <cell r="F1004">
            <v>39924</v>
          </cell>
          <cell r="G1004">
            <v>39825</v>
          </cell>
          <cell r="H1004" t="str">
            <v>A02F010</v>
          </cell>
          <cell r="I1004" t="str">
            <v>9KMBHC200_N</v>
          </cell>
          <cell r="K1004" t="str">
            <v>bizhub C200</v>
          </cell>
          <cell r="L1004">
            <v>6100</v>
          </cell>
          <cell r="M1004">
            <v>1805</v>
          </cell>
          <cell r="N1004">
            <v>1877.2</v>
          </cell>
          <cell r="O1004">
            <v>-0.17647058823529424</v>
          </cell>
          <cell r="P1004">
            <v>1595.62</v>
          </cell>
          <cell r="Q1004">
            <v>1913.3</v>
          </cell>
          <cell r="R1004">
            <v>2162.0300000000002</v>
          </cell>
          <cell r="S1004">
            <v>3080</v>
          </cell>
          <cell r="T1004">
            <v>0.39051948051948049</v>
          </cell>
          <cell r="U1004">
            <v>2156</v>
          </cell>
          <cell r="V1004">
            <v>0.12931354359925787</v>
          </cell>
          <cell r="W1004">
            <v>1595.62</v>
          </cell>
          <cell r="X1004">
            <v>0.5180584415584415</v>
          </cell>
          <cell r="Y1004">
            <v>150</v>
          </cell>
          <cell r="Z1004">
            <v>175</v>
          </cell>
          <cell r="AA1004">
            <v>1931</v>
          </cell>
          <cell r="AB1004">
            <v>1596</v>
          </cell>
          <cell r="AC1004">
            <v>1773</v>
          </cell>
          <cell r="AD1004">
            <v>1872</v>
          </cell>
          <cell r="AE1004">
            <v>1969.9</v>
          </cell>
          <cell r="AF1004">
            <v>0.18999949236001837</v>
          </cell>
          <cell r="AG1004">
            <v>4.7058226305903873E-2</v>
          </cell>
          <cell r="AH1004">
            <v>2010</v>
          </cell>
          <cell r="AI1004">
            <v>2049</v>
          </cell>
          <cell r="AJ1004">
            <v>0.22126891166422649</v>
          </cell>
          <cell r="AK1004">
            <v>2088.5</v>
          </cell>
          <cell r="AL1004">
            <v>2128</v>
          </cell>
          <cell r="AM1004">
            <v>0.25017857142857147</v>
          </cell>
          <cell r="AN1004">
            <v>2427.0500000000002</v>
          </cell>
          <cell r="AO1004">
            <v>2726.1</v>
          </cell>
          <cell r="AP1004">
            <v>3025.15</v>
          </cell>
          <cell r="AQ1004">
            <v>0</v>
          </cell>
          <cell r="AR1004">
            <v>400</v>
          </cell>
          <cell r="AS1004">
            <v>6100</v>
          </cell>
        </row>
        <row r="1005">
          <cell r="B1005" t="str">
            <v>MB</v>
          </cell>
          <cell r="C1005" t="str">
            <v>IMP</v>
          </cell>
          <cell r="D1005" t="str">
            <v>BT</v>
          </cell>
          <cell r="E1005" t="str">
            <v>P3</v>
          </cell>
          <cell r="F1005">
            <v>39924</v>
          </cell>
          <cell r="G1005">
            <v>40001</v>
          </cell>
          <cell r="H1005" t="str">
            <v>A03U010</v>
          </cell>
          <cell r="I1005" t="str">
            <v>9KMBHPROC6500_N</v>
          </cell>
          <cell r="K1005" t="str">
            <v>bizhub PRO C6500</v>
          </cell>
          <cell r="L1005">
            <v>47250</v>
          </cell>
          <cell r="M1005">
            <v>13056</v>
          </cell>
          <cell r="N1005">
            <v>13578.24</v>
          </cell>
          <cell r="O1005">
            <v>-0.17647058823529421</v>
          </cell>
          <cell r="P1005">
            <v>11541.503999999999</v>
          </cell>
          <cell r="Q1005">
            <v>13839.36</v>
          </cell>
          <cell r="R1005">
            <v>15638.48</v>
          </cell>
          <cell r="S1005">
            <v>22312.5</v>
          </cell>
          <cell r="T1005">
            <v>0.39145142857142856</v>
          </cell>
          <cell r="U1005">
            <v>15619</v>
          </cell>
          <cell r="V1005">
            <v>0.13065881298418594</v>
          </cell>
          <cell r="W1005">
            <v>11541.503999999999</v>
          </cell>
          <cell r="X1005">
            <v>0.51726628571428568</v>
          </cell>
          <cell r="Y1005">
            <v>800</v>
          </cell>
          <cell r="Z1005">
            <v>500</v>
          </cell>
          <cell r="AA1005">
            <v>13964</v>
          </cell>
          <cell r="AB1005">
            <v>11542</v>
          </cell>
          <cell r="AC1005">
            <v>12824</v>
          </cell>
          <cell r="AD1005">
            <v>13537</v>
          </cell>
          <cell r="AE1005">
            <v>14248.77</v>
          </cell>
          <cell r="AF1005">
            <v>0.18999997894555118</v>
          </cell>
          <cell r="AG1005">
            <v>4.7058798759471915E-2</v>
          </cell>
          <cell r="AH1005">
            <v>14534</v>
          </cell>
          <cell r="AI1005">
            <v>14819</v>
          </cell>
          <cell r="AJ1005">
            <v>0.22116849989877865</v>
          </cell>
          <cell r="AK1005">
            <v>15104</v>
          </cell>
          <cell r="AL1005">
            <v>15389</v>
          </cell>
          <cell r="AM1005">
            <v>0.25001598544414849</v>
          </cell>
          <cell r="AN1005">
            <v>17552.95</v>
          </cell>
          <cell r="AO1005">
            <v>19716.900000000001</v>
          </cell>
          <cell r="AP1005">
            <v>21880.85</v>
          </cell>
          <cell r="AQ1005">
            <v>0</v>
          </cell>
          <cell r="AR1005">
            <v>671</v>
          </cell>
          <cell r="AS1005">
            <v>47250</v>
          </cell>
        </row>
        <row r="1006">
          <cell r="B1006" t="str">
            <v>MB</v>
          </cell>
          <cell r="C1006" t="str">
            <v>IMP</v>
          </cell>
          <cell r="D1006" t="str">
            <v>BT</v>
          </cell>
          <cell r="E1006" t="str">
            <v>P3</v>
          </cell>
          <cell r="F1006">
            <v>39924</v>
          </cell>
          <cell r="G1006">
            <v>40001</v>
          </cell>
          <cell r="H1006" t="str">
            <v>A03V010</v>
          </cell>
          <cell r="I1006" t="str">
            <v>9KMBHPROC6500P_N</v>
          </cell>
          <cell r="K1006" t="str">
            <v>bizhub PRO C6500P</v>
          </cell>
          <cell r="L1006">
            <v>42945</v>
          </cell>
          <cell r="M1006">
            <v>11934</v>
          </cell>
          <cell r="N1006">
            <v>12411.36</v>
          </cell>
          <cell r="O1006">
            <v>-0.17647058823529407</v>
          </cell>
          <cell r="P1006">
            <v>10549.656000000001</v>
          </cell>
          <cell r="Q1006">
            <v>12650.04</v>
          </cell>
          <cell r="R1006">
            <v>14294.55</v>
          </cell>
          <cell r="S1006">
            <v>20580</v>
          </cell>
          <cell r="T1006">
            <v>0.39692128279883376</v>
          </cell>
          <cell r="U1006">
            <v>14406</v>
          </cell>
          <cell r="V1006">
            <v>0.13845897542690541</v>
          </cell>
          <cell r="W1006">
            <v>10549.656000000001</v>
          </cell>
          <cell r="X1006">
            <v>0.51261690962099127</v>
          </cell>
          <cell r="Y1006">
            <v>800</v>
          </cell>
          <cell r="Z1006">
            <v>500</v>
          </cell>
          <cell r="AA1006">
            <v>12764</v>
          </cell>
          <cell r="AB1006">
            <v>10550</v>
          </cell>
          <cell r="AC1006">
            <v>11722</v>
          </cell>
          <cell r="AD1006">
            <v>12374</v>
          </cell>
          <cell r="AE1006">
            <v>13024.27</v>
          </cell>
          <cell r="AF1006">
            <v>0.19000020730528464</v>
          </cell>
          <cell r="AG1006">
            <v>4.7059067417981958E-2</v>
          </cell>
          <cell r="AH1006">
            <v>13286</v>
          </cell>
          <cell r="AI1006">
            <v>13546</v>
          </cell>
          <cell r="AJ1006">
            <v>0.22119769673704409</v>
          </cell>
          <cell r="AK1006">
            <v>13806.5</v>
          </cell>
          <cell r="AL1006">
            <v>14067</v>
          </cell>
          <cell r="AM1006">
            <v>0.25004222648752394</v>
          </cell>
          <cell r="AN1006">
            <v>16044.86</v>
          </cell>
          <cell r="AO1006">
            <v>18022.72</v>
          </cell>
          <cell r="AP1006">
            <v>20000.580000000002</v>
          </cell>
          <cell r="AQ1006">
            <v>0</v>
          </cell>
          <cell r="AR1006">
            <v>671</v>
          </cell>
          <cell r="AS1006">
            <v>42945</v>
          </cell>
        </row>
        <row r="1007">
          <cell r="B1007" t="str">
            <v>MB</v>
          </cell>
          <cell r="C1007" t="str">
            <v>IMP</v>
          </cell>
          <cell r="D1007" t="str">
            <v>BT</v>
          </cell>
          <cell r="E1007" t="str">
            <v>08</v>
          </cell>
          <cell r="F1007">
            <v>39924</v>
          </cell>
          <cell r="G1007">
            <v>40001</v>
          </cell>
          <cell r="H1007" t="str">
            <v>A08E011</v>
          </cell>
          <cell r="I1007" t="str">
            <v>9KMBH181_N</v>
          </cell>
          <cell r="K1007" t="str">
            <v>bizhub 181</v>
          </cell>
          <cell r="L1007">
            <v>2793</v>
          </cell>
          <cell r="M1007">
            <v>801</v>
          </cell>
          <cell r="N1007">
            <v>833.04000000000008</v>
          </cell>
          <cell r="O1007">
            <v>0.14205382246619355</v>
          </cell>
          <cell r="P1007">
            <v>970.97</v>
          </cell>
          <cell r="Q1007">
            <v>849.06</v>
          </cell>
          <cell r="R1007">
            <v>959.44</v>
          </cell>
          <cell r="S1007">
            <v>1387.1</v>
          </cell>
          <cell r="T1007">
            <v>0.39943767572633543</v>
          </cell>
          <cell r="U1007">
            <v>971</v>
          </cell>
          <cell r="V1007">
            <v>0.14208032955715749</v>
          </cell>
          <cell r="W1007">
            <v>970.97</v>
          </cell>
          <cell r="X1007">
            <v>0.70000000000000007</v>
          </cell>
          <cell r="Y1007">
            <v>60</v>
          </cell>
          <cell r="Z1007">
            <v>70</v>
          </cell>
          <cell r="AA1007">
            <v>1286</v>
          </cell>
          <cell r="AB1007">
            <v>971</v>
          </cell>
          <cell r="AC1007">
            <v>1185</v>
          </cell>
          <cell r="AD1007">
            <v>1265</v>
          </cell>
          <cell r="AE1007">
            <v>1312.12</v>
          </cell>
          <cell r="AF1007">
            <v>0.25999908544950151</v>
          </cell>
          <cell r="AG1007">
            <v>0.36511904398987888</v>
          </cell>
          <cell r="AH1007">
            <v>1368</v>
          </cell>
          <cell r="AI1007">
            <v>1518</v>
          </cell>
          <cell r="AJ1007">
            <v>0.36036231884057968</v>
          </cell>
          <cell r="AK1007">
            <v>1674.09</v>
          </cell>
          <cell r="AL1007">
            <v>1890</v>
          </cell>
          <cell r="AM1007">
            <v>0.48625925925925922</v>
          </cell>
          <cell r="AN1007">
            <v>2115.75</v>
          </cell>
          <cell r="AO1007">
            <v>2341.5</v>
          </cell>
          <cell r="AP1007">
            <v>2567.25</v>
          </cell>
          <cell r="AQ1007">
            <v>0</v>
          </cell>
          <cell r="AR1007">
            <v>200</v>
          </cell>
          <cell r="AS1007">
            <v>2793</v>
          </cell>
        </row>
        <row r="1008">
          <cell r="B1008" t="str">
            <v>MB</v>
          </cell>
          <cell r="C1008" t="str">
            <v>IMP</v>
          </cell>
          <cell r="D1008" t="str">
            <v>BT</v>
          </cell>
          <cell r="E1008" t="str">
            <v>P3</v>
          </cell>
          <cell r="F1008">
            <v>39924</v>
          </cell>
          <cell r="G1008">
            <v>40001</v>
          </cell>
          <cell r="H1008" t="str">
            <v>A0E7010</v>
          </cell>
          <cell r="I1008" t="str">
            <v>9KMBHPROC5500_N</v>
          </cell>
          <cell r="K1008" t="str">
            <v>bizhub PRO C5500</v>
          </cell>
          <cell r="L1008">
            <v>40950</v>
          </cell>
          <cell r="M1008">
            <v>11628</v>
          </cell>
          <cell r="N1008">
            <v>12093.12</v>
          </cell>
          <cell r="O1008">
            <v>-0.17647058823529418</v>
          </cell>
          <cell r="P1008">
            <v>10279.152</v>
          </cell>
          <cell r="Q1008">
            <v>12325.68</v>
          </cell>
          <cell r="R1008">
            <v>13928.02</v>
          </cell>
          <cell r="S1008">
            <v>17797.5</v>
          </cell>
          <cell r="T1008">
            <v>0.32051580278128944</v>
          </cell>
          <cell r="U1008">
            <v>12458</v>
          </cell>
          <cell r="V1008">
            <v>2.928881040295386E-2</v>
          </cell>
          <cell r="W1008">
            <v>10279.152</v>
          </cell>
          <cell r="X1008">
            <v>0.57756156763590394</v>
          </cell>
          <cell r="Y1008">
            <v>250</v>
          </cell>
          <cell r="Z1008">
            <v>500</v>
          </cell>
          <cell r="AA1008">
            <v>12437</v>
          </cell>
          <cell r="AB1008">
            <v>10280</v>
          </cell>
          <cell r="AC1008">
            <v>11422</v>
          </cell>
          <cell r="AD1008">
            <v>12057</v>
          </cell>
          <cell r="AE1008">
            <v>12690.31</v>
          </cell>
          <cell r="AF1008">
            <v>0.18999992907974664</v>
          </cell>
          <cell r="AG1008">
            <v>4.7058740093819516E-2</v>
          </cell>
          <cell r="AH1008">
            <v>12945</v>
          </cell>
          <cell r="AI1008">
            <v>13199</v>
          </cell>
          <cell r="AJ1008">
            <v>0.22121736495189029</v>
          </cell>
          <cell r="AK1008">
            <v>13452.5</v>
          </cell>
          <cell r="AL1008">
            <v>13706</v>
          </cell>
          <cell r="AM1008">
            <v>0.2500253903399971</v>
          </cell>
          <cell r="AN1008">
            <v>15633.23</v>
          </cell>
          <cell r="AO1008">
            <v>17560.46</v>
          </cell>
          <cell r="AP1008">
            <v>19487.689999999999</v>
          </cell>
          <cell r="AQ1008">
            <v>0</v>
          </cell>
          <cell r="AR1008">
            <v>671</v>
          </cell>
          <cell r="AS1008">
            <v>40950</v>
          </cell>
        </row>
        <row r="1009">
          <cell r="B1009" t="str">
            <v>MB</v>
          </cell>
          <cell r="C1009" t="str">
            <v>IMP</v>
          </cell>
          <cell r="D1009" t="str">
            <v>BT</v>
          </cell>
          <cell r="E1009" t="str">
            <v>08</v>
          </cell>
          <cell r="F1009">
            <v>39924</v>
          </cell>
          <cell r="G1009">
            <v>40001</v>
          </cell>
          <cell r="H1009" t="str">
            <v>A0P0011</v>
          </cell>
          <cell r="I1009" t="str">
            <v>9KMBHC652_N</v>
          </cell>
          <cell r="K1009" t="str">
            <v>bizhub C652</v>
          </cell>
          <cell r="L1009">
            <v>32550</v>
          </cell>
          <cell r="M1009">
            <v>7053</v>
          </cell>
          <cell r="N1009">
            <v>7335.12</v>
          </cell>
          <cell r="O1009">
            <v>0.24015874051767805</v>
          </cell>
          <cell r="P1009">
            <v>9653.49</v>
          </cell>
          <cell r="Q1009">
            <v>7476.18</v>
          </cell>
          <cell r="R1009">
            <v>8448.08</v>
          </cell>
          <cell r="S1009">
            <v>13790.7</v>
          </cell>
          <cell r="T1009">
            <v>0.46811111836237468</v>
          </cell>
          <cell r="U1009">
            <v>9653</v>
          </cell>
          <cell r="V1009">
            <v>0.24012016989536933</v>
          </cell>
          <cell r="W1009">
            <v>9653.49</v>
          </cell>
          <cell r="X1009">
            <v>0.7</v>
          </cell>
          <cell r="Y1009">
            <v>250</v>
          </cell>
          <cell r="Z1009">
            <v>300</v>
          </cell>
          <cell r="AA1009">
            <v>12784</v>
          </cell>
          <cell r="AB1009">
            <v>9654</v>
          </cell>
          <cell r="AC1009">
            <v>11773</v>
          </cell>
          <cell r="AD1009">
            <v>12571</v>
          </cell>
          <cell r="AE1009">
            <v>13045.26</v>
          </cell>
          <cell r="AF1009">
            <v>0.26000018397486907</v>
          </cell>
          <cell r="AG1009">
            <v>0.43771760777477797</v>
          </cell>
          <cell r="AH1009">
            <v>13597</v>
          </cell>
          <cell r="AI1009">
            <v>15084</v>
          </cell>
          <cell r="AJ1009">
            <v>0.36001789976133652</v>
          </cell>
          <cell r="AK1009">
            <v>16643.95</v>
          </cell>
          <cell r="AL1009">
            <v>18782</v>
          </cell>
          <cell r="AM1009">
            <v>0.48602438504951551</v>
          </cell>
          <cell r="AN1009">
            <v>22224</v>
          </cell>
          <cell r="AO1009">
            <v>25666</v>
          </cell>
          <cell r="AP1009">
            <v>29108</v>
          </cell>
          <cell r="AQ1009">
            <v>0</v>
          </cell>
          <cell r="AR1009">
            <v>503</v>
          </cell>
          <cell r="AS1009">
            <v>32550</v>
          </cell>
        </row>
        <row r="1010">
          <cell r="B1010" t="str">
            <v>MB</v>
          </cell>
          <cell r="C1010" t="str">
            <v>IMP</v>
          </cell>
          <cell r="D1010" t="str">
            <v>BT</v>
          </cell>
          <cell r="E1010" t="str">
            <v>08</v>
          </cell>
          <cell r="F1010">
            <v>39924</v>
          </cell>
          <cell r="G1010">
            <v>40001</v>
          </cell>
          <cell r="H1010" t="str">
            <v>A0P1011</v>
          </cell>
          <cell r="I1010" t="str">
            <v>9KMBHC552_N</v>
          </cell>
          <cell r="K1010" t="str">
            <v>bizhub C552</v>
          </cell>
          <cell r="L1010">
            <v>26250</v>
          </cell>
          <cell r="M1010">
            <v>6059</v>
          </cell>
          <cell r="N1010">
            <v>6301.3600000000006</v>
          </cell>
          <cell r="O1010">
            <v>0.21346065031517186</v>
          </cell>
          <cell r="P1010">
            <v>8011.5</v>
          </cell>
          <cell r="Q1010">
            <v>6422.54</v>
          </cell>
          <cell r="R1010">
            <v>7257.47</v>
          </cell>
          <cell r="S1010">
            <v>11445</v>
          </cell>
          <cell r="T1010">
            <v>0.4494224552206203</v>
          </cell>
          <cell r="U1010">
            <v>8012</v>
          </cell>
          <cell r="V1010">
            <v>0.21350973539690457</v>
          </cell>
          <cell r="W1010">
            <v>8011.5</v>
          </cell>
          <cell r="X1010">
            <v>0.7</v>
          </cell>
          <cell r="Y1010">
            <v>250</v>
          </cell>
          <cell r="Z1010">
            <v>300</v>
          </cell>
          <cell r="AA1010">
            <v>10874</v>
          </cell>
          <cell r="AB1010">
            <v>8012</v>
          </cell>
          <cell r="AC1010">
            <v>9771</v>
          </cell>
          <cell r="AD1010">
            <v>10434</v>
          </cell>
          <cell r="AE1010">
            <v>11096.26</v>
          </cell>
          <cell r="AF1010">
            <v>0.27799997476627264</v>
          </cell>
          <cell r="AG1010">
            <v>0.43211856968023454</v>
          </cell>
          <cell r="AH1010">
            <v>12220</v>
          </cell>
          <cell r="AI1010">
            <v>13342</v>
          </cell>
          <cell r="AJ1010">
            <v>0.39952780692549844</v>
          </cell>
          <cell r="AK1010">
            <v>14464.5</v>
          </cell>
          <cell r="AL1010">
            <v>15587</v>
          </cell>
          <cell r="AM1010">
            <v>0.48601398601398599</v>
          </cell>
          <cell r="AN1010">
            <v>18252.75</v>
          </cell>
          <cell r="AO1010">
            <v>20918.5</v>
          </cell>
          <cell r="AP1010">
            <v>23584.25</v>
          </cell>
          <cell r="AQ1010">
            <v>0</v>
          </cell>
          <cell r="AR1010">
            <v>503</v>
          </cell>
          <cell r="AS1010">
            <v>26250</v>
          </cell>
        </row>
        <row r="1011">
          <cell r="B1011" t="str">
            <v>MB</v>
          </cell>
          <cell r="C1011" t="str">
            <v>IMP</v>
          </cell>
          <cell r="D1011" t="str">
            <v>BT</v>
          </cell>
          <cell r="E1011" t="str">
            <v>08</v>
          </cell>
          <cell r="F1011">
            <v>39924</v>
          </cell>
          <cell r="G1011">
            <v>40001</v>
          </cell>
          <cell r="H1011" t="str">
            <v>A0PN011</v>
          </cell>
          <cell r="I1011" t="str">
            <v>9KMBH751_N</v>
          </cell>
          <cell r="K1011" t="str">
            <v>bizhub 751</v>
          </cell>
          <cell r="L1011">
            <v>27030</v>
          </cell>
          <cell r="M1011">
            <v>6304</v>
          </cell>
          <cell r="N1011">
            <v>6556.16</v>
          </cell>
          <cell r="O1011">
            <v>0.18015206082432977</v>
          </cell>
          <cell r="P1011">
            <v>7996.8</v>
          </cell>
          <cell r="Q1011">
            <v>6682.24</v>
          </cell>
          <cell r="R1011">
            <v>7550.93</v>
          </cell>
          <cell r="S1011">
            <v>11424</v>
          </cell>
          <cell r="T1011">
            <v>0.42610644257703084</v>
          </cell>
          <cell r="U1011">
            <v>7997</v>
          </cell>
          <cell r="V1011">
            <v>0.18017256471176693</v>
          </cell>
          <cell r="W1011">
            <v>7996.8</v>
          </cell>
          <cell r="X1011">
            <v>0.70000000000000007</v>
          </cell>
          <cell r="Y1011">
            <v>250</v>
          </cell>
          <cell r="Z1011">
            <v>300</v>
          </cell>
          <cell r="AA1011">
            <v>10590</v>
          </cell>
          <cell r="AB1011">
            <v>7997</v>
          </cell>
          <cell r="AC1011">
            <v>9753</v>
          </cell>
          <cell r="AD1011">
            <v>10414</v>
          </cell>
          <cell r="AE1011">
            <v>10806.49</v>
          </cell>
          <cell r="AF1011">
            <v>0.26000024059616023</v>
          </cell>
          <cell r="AG1011">
            <v>0.39331272226227015</v>
          </cell>
          <cell r="AH1011">
            <v>11264</v>
          </cell>
          <cell r="AI1011">
            <v>12495</v>
          </cell>
          <cell r="AJ1011">
            <v>0.36</v>
          </cell>
          <cell r="AK1011">
            <v>13787.59</v>
          </cell>
          <cell r="AL1011">
            <v>15558</v>
          </cell>
          <cell r="AM1011">
            <v>0.48600077130736596</v>
          </cell>
          <cell r="AN1011">
            <v>18426</v>
          </cell>
          <cell r="AO1011">
            <v>21294</v>
          </cell>
          <cell r="AP1011">
            <v>24162</v>
          </cell>
          <cell r="AQ1011">
            <v>0</v>
          </cell>
          <cell r="AR1011">
            <v>352</v>
          </cell>
          <cell r="AS1011">
            <v>27030</v>
          </cell>
        </row>
        <row r="1012">
          <cell r="B1012" t="str">
            <v>MB</v>
          </cell>
          <cell r="C1012" t="str">
            <v>IMP</v>
          </cell>
          <cell r="D1012" t="str">
            <v>BT</v>
          </cell>
          <cell r="E1012" t="str">
            <v>08</v>
          </cell>
          <cell r="F1012">
            <v>39924</v>
          </cell>
          <cell r="G1012">
            <v>40001</v>
          </cell>
          <cell r="H1012" t="str">
            <v>A0PN012</v>
          </cell>
          <cell r="I1012" t="str">
            <v>9KMBH751GSA_N</v>
          </cell>
          <cell r="K1012" t="str">
            <v>bizhub 751 GSA</v>
          </cell>
          <cell r="L1012">
            <v>27030</v>
          </cell>
          <cell r="M1012">
            <v>6304</v>
          </cell>
          <cell r="N1012">
            <v>6556.16</v>
          </cell>
          <cell r="O1012">
            <v>0.18015206082432977</v>
          </cell>
          <cell r="P1012">
            <v>7996.8</v>
          </cell>
          <cell r="Q1012">
            <v>6682.24</v>
          </cell>
          <cell r="R1012">
            <v>7550.93</v>
          </cell>
          <cell r="S1012">
            <v>11424</v>
          </cell>
          <cell r="T1012">
            <v>0.42610644257703084</v>
          </cell>
          <cell r="U1012">
            <v>7997</v>
          </cell>
          <cell r="V1012">
            <v>0.18017256471176693</v>
          </cell>
          <cell r="W1012">
            <v>7996.8</v>
          </cell>
          <cell r="X1012">
            <v>0.70000000000000007</v>
          </cell>
          <cell r="Y1012">
            <v>250</v>
          </cell>
          <cell r="Z1012">
            <v>300</v>
          </cell>
          <cell r="AA1012">
            <v>10590</v>
          </cell>
          <cell r="AB1012">
            <v>7997</v>
          </cell>
          <cell r="AC1012">
            <v>9753</v>
          </cell>
          <cell r="AD1012">
            <v>10414</v>
          </cell>
          <cell r="AE1012">
            <v>10806.49</v>
          </cell>
          <cell r="AF1012">
            <v>0.26000024059616023</v>
          </cell>
          <cell r="AG1012">
            <v>0.39331272226227015</v>
          </cell>
          <cell r="AH1012">
            <v>11264</v>
          </cell>
          <cell r="AI1012">
            <v>12495</v>
          </cell>
          <cell r="AJ1012">
            <v>0.36</v>
          </cell>
          <cell r="AK1012">
            <v>13787.59</v>
          </cell>
          <cell r="AL1012">
            <v>15558</v>
          </cell>
          <cell r="AM1012">
            <v>0.48600077130736596</v>
          </cell>
          <cell r="AN1012">
            <v>18426</v>
          </cell>
          <cell r="AO1012">
            <v>21294</v>
          </cell>
          <cell r="AP1012">
            <v>24162</v>
          </cell>
          <cell r="AQ1012">
            <v>0</v>
          </cell>
          <cell r="AR1012">
            <v>352</v>
          </cell>
          <cell r="AS1012">
            <v>27030</v>
          </cell>
        </row>
        <row r="1013">
          <cell r="B1013" t="str">
            <v>MB</v>
          </cell>
          <cell r="C1013" t="str">
            <v>IMP</v>
          </cell>
          <cell r="D1013" t="str">
            <v>BT</v>
          </cell>
          <cell r="E1013" t="str">
            <v>08</v>
          </cell>
          <cell r="F1013">
            <v>39924</v>
          </cell>
          <cell r="G1013">
            <v>40001</v>
          </cell>
          <cell r="H1013" t="str">
            <v>A0PP011</v>
          </cell>
          <cell r="I1013" t="str">
            <v>9KMBH601_N</v>
          </cell>
          <cell r="K1013" t="str">
            <v>bizhub 601</v>
          </cell>
          <cell r="L1013">
            <v>20948</v>
          </cell>
          <cell r="M1013">
            <v>5049</v>
          </cell>
          <cell r="N1013">
            <v>5250.96</v>
          </cell>
          <cell r="O1013">
            <v>0.16045087536973379</v>
          </cell>
          <cell r="P1013">
            <v>6254.5</v>
          </cell>
          <cell r="Q1013">
            <v>5351.94</v>
          </cell>
          <cell r="R1013">
            <v>6047.69</v>
          </cell>
          <cell r="S1013">
            <v>8935</v>
          </cell>
          <cell r="T1013">
            <v>0.41231561275881368</v>
          </cell>
          <cell r="U1013">
            <v>6255</v>
          </cell>
          <cell r="V1013">
            <v>0.16051798561151079</v>
          </cell>
          <cell r="W1013">
            <v>6254.5</v>
          </cell>
          <cell r="X1013">
            <v>0.7</v>
          </cell>
          <cell r="Y1013">
            <v>250</v>
          </cell>
          <cell r="Z1013">
            <v>300</v>
          </cell>
          <cell r="AA1013">
            <v>8283</v>
          </cell>
          <cell r="AB1013">
            <v>6255</v>
          </cell>
          <cell r="AC1013">
            <v>7628</v>
          </cell>
          <cell r="AD1013">
            <v>8145</v>
          </cell>
          <cell r="AE1013">
            <v>8452.0300000000007</v>
          </cell>
          <cell r="AF1013">
            <v>0.26000026029249784</v>
          </cell>
          <cell r="AG1013">
            <v>0.37873386630194172</v>
          </cell>
          <cell r="AH1013">
            <v>8810</v>
          </cell>
          <cell r="AI1013">
            <v>9773</v>
          </cell>
          <cell r="AJ1013">
            <v>0.36002251099969301</v>
          </cell>
          <cell r="AK1013">
            <v>10783.62</v>
          </cell>
          <cell r="AL1013">
            <v>12169</v>
          </cell>
          <cell r="AM1013">
            <v>0.48603007642369955</v>
          </cell>
          <cell r="AN1013">
            <v>14363.75</v>
          </cell>
          <cell r="AO1013">
            <v>16558.5</v>
          </cell>
          <cell r="AP1013">
            <v>18753.25</v>
          </cell>
          <cell r="AQ1013">
            <v>0</v>
          </cell>
          <cell r="AR1013">
            <v>352</v>
          </cell>
          <cell r="AS1013">
            <v>20948</v>
          </cell>
        </row>
        <row r="1014">
          <cell r="B1014" t="str">
            <v>MB</v>
          </cell>
          <cell r="C1014" t="str">
            <v>IMP</v>
          </cell>
          <cell r="D1014" t="str">
            <v>BT</v>
          </cell>
          <cell r="E1014" t="str">
            <v>08</v>
          </cell>
          <cell r="F1014">
            <v>39924</v>
          </cell>
          <cell r="G1014">
            <v>40001</v>
          </cell>
          <cell r="H1014" t="str">
            <v>A0PP012</v>
          </cell>
          <cell r="I1014" t="str">
            <v>9KMBH601GSA_N</v>
          </cell>
          <cell r="K1014" t="str">
            <v>bizhub 601 GSA</v>
          </cell>
          <cell r="L1014">
            <v>20948</v>
          </cell>
          <cell r="M1014">
            <v>5049</v>
          </cell>
          <cell r="N1014">
            <v>5250.96</v>
          </cell>
          <cell r="O1014">
            <v>0.16045087536973379</v>
          </cell>
          <cell r="P1014">
            <v>6254.5</v>
          </cell>
          <cell r="Q1014">
            <v>5351.94</v>
          </cell>
          <cell r="R1014">
            <v>6047.69</v>
          </cell>
          <cell r="S1014">
            <v>8935</v>
          </cell>
          <cell r="T1014">
            <v>0.41231561275881368</v>
          </cell>
          <cell r="U1014">
            <v>6255</v>
          </cell>
          <cell r="V1014">
            <v>0.16051798561151079</v>
          </cell>
          <cell r="W1014">
            <v>6254.5</v>
          </cell>
          <cell r="X1014">
            <v>0.7</v>
          </cell>
          <cell r="Y1014">
            <v>250</v>
          </cell>
          <cell r="Z1014">
            <v>300</v>
          </cell>
          <cell r="AA1014">
            <v>8283</v>
          </cell>
          <cell r="AB1014">
            <v>6255</v>
          </cell>
          <cell r="AC1014">
            <v>7628</v>
          </cell>
          <cell r="AD1014">
            <v>8145</v>
          </cell>
          <cell r="AE1014">
            <v>8452.0300000000007</v>
          </cell>
          <cell r="AF1014">
            <v>0.26000026029249784</v>
          </cell>
          <cell r="AG1014">
            <v>0.37873386630194172</v>
          </cell>
          <cell r="AH1014">
            <v>8810</v>
          </cell>
          <cell r="AI1014">
            <v>9773</v>
          </cell>
          <cell r="AJ1014">
            <v>0.36002251099969301</v>
          </cell>
          <cell r="AK1014">
            <v>10783.62</v>
          </cell>
          <cell r="AL1014">
            <v>12169</v>
          </cell>
          <cell r="AM1014">
            <v>0.48603007642369955</v>
          </cell>
          <cell r="AN1014">
            <v>14363.75</v>
          </cell>
          <cell r="AO1014">
            <v>16558.5</v>
          </cell>
          <cell r="AP1014">
            <v>18753.25</v>
          </cell>
          <cell r="AQ1014">
            <v>0</v>
          </cell>
          <cell r="AR1014">
            <v>352</v>
          </cell>
          <cell r="AS1014">
            <v>20948</v>
          </cell>
        </row>
        <row r="1015">
          <cell r="B1015" t="str">
            <v>MB</v>
          </cell>
          <cell r="C1015" t="str">
            <v>IMP</v>
          </cell>
          <cell r="D1015" t="str">
            <v>BT</v>
          </cell>
          <cell r="E1015" t="str">
            <v>08</v>
          </cell>
          <cell r="F1015">
            <v>39924</v>
          </cell>
          <cell r="G1015">
            <v>40001</v>
          </cell>
          <cell r="H1015" t="str">
            <v>A0R5011</v>
          </cell>
          <cell r="I1015" t="str">
            <v>9KMBH501_N</v>
          </cell>
          <cell r="K1015" t="str">
            <v>bizhub 501</v>
          </cell>
          <cell r="L1015">
            <v>12915</v>
          </cell>
          <cell r="M1015">
            <v>3468</v>
          </cell>
          <cell r="N1015">
            <v>3606.7200000000003</v>
          </cell>
          <cell r="O1015">
            <v>0.16969508615628995</v>
          </cell>
          <cell r="P1015">
            <v>4343.8500000000004</v>
          </cell>
          <cell r="Q1015">
            <v>3676.08</v>
          </cell>
          <cell r="R1015">
            <v>4153.97</v>
          </cell>
          <cell r="S1015">
            <v>6205.5</v>
          </cell>
          <cell r="T1015">
            <v>0.41878656030940292</v>
          </cell>
          <cell r="U1015">
            <v>4344</v>
          </cell>
          <cell r="V1015">
            <v>0.1697237569060773</v>
          </cell>
          <cell r="W1015">
            <v>4343.8500000000004</v>
          </cell>
          <cell r="X1015">
            <v>0.70000000000000007</v>
          </cell>
          <cell r="Y1015">
            <v>150</v>
          </cell>
          <cell r="Z1015">
            <v>300</v>
          </cell>
          <cell r="AA1015">
            <v>5753</v>
          </cell>
          <cell r="AB1015">
            <v>4344</v>
          </cell>
          <cell r="AC1015">
            <v>5298</v>
          </cell>
          <cell r="AD1015">
            <v>5657</v>
          </cell>
          <cell r="AE1015">
            <v>5870.07</v>
          </cell>
          <cell r="AF1015">
            <v>0.2600003066402955</v>
          </cell>
          <cell r="AG1015">
            <v>0.3855746183605987</v>
          </cell>
          <cell r="AH1015">
            <v>6119</v>
          </cell>
          <cell r="AI1015">
            <v>6788</v>
          </cell>
          <cell r="AJ1015">
            <v>0.36006923983500289</v>
          </cell>
          <cell r="AK1015">
            <v>7489.4</v>
          </cell>
          <cell r="AL1015">
            <v>8452</v>
          </cell>
          <cell r="AM1015">
            <v>0.48605655466161851</v>
          </cell>
          <cell r="AN1015">
            <v>9567.75</v>
          </cell>
          <cell r="AO1015">
            <v>10683.5</v>
          </cell>
          <cell r="AP1015">
            <v>11799.25</v>
          </cell>
          <cell r="AQ1015">
            <v>0</v>
          </cell>
          <cell r="AR1015">
            <v>288</v>
          </cell>
          <cell r="AS1015">
            <v>12915</v>
          </cell>
        </row>
        <row r="1016">
          <cell r="B1016" t="str">
            <v>MB</v>
          </cell>
          <cell r="C1016" t="str">
            <v>IMP</v>
          </cell>
          <cell r="D1016" t="str">
            <v>BT</v>
          </cell>
          <cell r="E1016" t="str">
            <v>08</v>
          </cell>
          <cell r="F1016">
            <v>39924</v>
          </cell>
          <cell r="G1016">
            <v>40001</v>
          </cell>
          <cell r="H1016" t="str">
            <v>A0R5012</v>
          </cell>
          <cell r="I1016" t="str">
            <v>9KMBH501GSA_N</v>
          </cell>
          <cell r="K1016" t="str">
            <v>bizhub 501 GSA</v>
          </cell>
          <cell r="L1016">
            <v>12915</v>
          </cell>
          <cell r="M1016">
            <v>3468</v>
          </cell>
          <cell r="N1016">
            <v>3606.7200000000003</v>
          </cell>
          <cell r="O1016">
            <v>0.16969508615628995</v>
          </cell>
          <cell r="P1016">
            <v>4343.8500000000004</v>
          </cell>
          <cell r="Q1016">
            <v>3676.08</v>
          </cell>
          <cell r="R1016">
            <v>4153.97</v>
          </cell>
          <cell r="S1016">
            <v>6205.5</v>
          </cell>
          <cell r="T1016">
            <v>0.41878656030940292</v>
          </cell>
          <cell r="U1016">
            <v>4344</v>
          </cell>
          <cell r="V1016">
            <v>0.1697237569060773</v>
          </cell>
          <cell r="W1016">
            <v>4343.8500000000004</v>
          </cell>
          <cell r="X1016">
            <v>0.70000000000000007</v>
          </cell>
          <cell r="Y1016">
            <v>150</v>
          </cell>
          <cell r="Z1016">
            <v>300</v>
          </cell>
          <cell r="AA1016">
            <v>5753</v>
          </cell>
          <cell r="AB1016">
            <v>4344</v>
          </cell>
          <cell r="AC1016">
            <v>5298</v>
          </cell>
          <cell r="AD1016">
            <v>5657</v>
          </cell>
          <cell r="AE1016">
            <v>5870.07</v>
          </cell>
          <cell r="AF1016">
            <v>0.2600003066402955</v>
          </cell>
          <cell r="AG1016">
            <v>0.3855746183605987</v>
          </cell>
          <cell r="AH1016">
            <v>6119</v>
          </cell>
          <cell r="AI1016">
            <v>6788</v>
          </cell>
          <cell r="AJ1016">
            <v>0.36006923983500289</v>
          </cell>
          <cell r="AK1016">
            <v>7489.4</v>
          </cell>
          <cell r="AL1016">
            <v>8452</v>
          </cell>
          <cell r="AM1016">
            <v>0.48605655466161851</v>
          </cell>
          <cell r="AN1016">
            <v>9567.75</v>
          </cell>
          <cell r="AO1016">
            <v>10683.5</v>
          </cell>
          <cell r="AP1016">
            <v>11799.25</v>
          </cell>
          <cell r="AQ1016">
            <v>0</v>
          </cell>
          <cell r="AR1016">
            <v>288</v>
          </cell>
          <cell r="AS1016">
            <v>12915</v>
          </cell>
        </row>
        <row r="1017">
          <cell r="B1017" t="str">
            <v>MB</v>
          </cell>
          <cell r="C1017" t="str">
            <v>IMP</v>
          </cell>
          <cell r="D1017" t="str">
            <v>BT</v>
          </cell>
          <cell r="E1017" t="str">
            <v>08</v>
          </cell>
          <cell r="F1017">
            <v>39924</v>
          </cell>
          <cell r="G1017">
            <v>40001</v>
          </cell>
          <cell r="H1017" t="str">
            <v>A0R6011</v>
          </cell>
          <cell r="I1017" t="str">
            <v>9KMBH421_N</v>
          </cell>
          <cell r="K1017" t="str">
            <v>bizhub 421</v>
          </cell>
          <cell r="L1017">
            <v>10206</v>
          </cell>
          <cell r="M1017">
            <v>2805</v>
          </cell>
          <cell r="N1017">
            <v>2917.2000000000003</v>
          </cell>
          <cell r="O1017">
            <v>0.16442534908700315</v>
          </cell>
          <cell r="P1017">
            <v>3491.25</v>
          </cell>
          <cell r="Q1017">
            <v>2973.3</v>
          </cell>
          <cell r="R1017">
            <v>3359.83</v>
          </cell>
          <cell r="S1017">
            <v>4987.5</v>
          </cell>
          <cell r="T1017">
            <v>0.41509774436090219</v>
          </cell>
          <cell r="U1017">
            <v>3491</v>
          </cell>
          <cell r="V1017">
            <v>0.16436551131480942</v>
          </cell>
          <cell r="W1017">
            <v>3491.25</v>
          </cell>
          <cell r="X1017">
            <v>0.7</v>
          </cell>
          <cell r="Y1017">
            <v>150</v>
          </cell>
          <cell r="Z1017">
            <v>300</v>
          </cell>
          <cell r="AA1017">
            <v>4624</v>
          </cell>
          <cell r="AB1017">
            <v>3492</v>
          </cell>
          <cell r="AC1017">
            <v>4258</v>
          </cell>
          <cell r="AD1017">
            <v>4547</v>
          </cell>
          <cell r="AE1017">
            <v>4717.91</v>
          </cell>
          <cell r="AF1017">
            <v>0.26000072065808799</v>
          </cell>
          <cell r="AG1017">
            <v>0.38167536048801265</v>
          </cell>
          <cell r="AH1017">
            <v>4918</v>
          </cell>
          <cell r="AI1017">
            <v>5456</v>
          </cell>
          <cell r="AJ1017">
            <v>0.36010813782991202</v>
          </cell>
          <cell r="AK1017">
            <v>6019.4</v>
          </cell>
          <cell r="AL1017">
            <v>6793</v>
          </cell>
          <cell r="AM1017">
            <v>0.48605181804799058</v>
          </cell>
          <cell r="AN1017">
            <v>7646.25</v>
          </cell>
          <cell r="AO1017">
            <v>8499.5</v>
          </cell>
          <cell r="AP1017">
            <v>9352.75</v>
          </cell>
          <cell r="AQ1017">
            <v>0</v>
          </cell>
          <cell r="AR1017">
            <v>288</v>
          </cell>
          <cell r="AS1017">
            <v>10206</v>
          </cell>
        </row>
        <row r="1018">
          <cell r="B1018" t="str">
            <v>MB</v>
          </cell>
          <cell r="C1018" t="str">
            <v>IMP</v>
          </cell>
          <cell r="D1018" t="str">
            <v>BT</v>
          </cell>
          <cell r="E1018" t="str">
            <v>08</v>
          </cell>
          <cell r="F1018">
            <v>39924</v>
          </cell>
          <cell r="G1018">
            <v>40001</v>
          </cell>
          <cell r="H1018" t="str">
            <v>A0R6012</v>
          </cell>
          <cell r="I1018" t="str">
            <v>9KMBH421GSA_N</v>
          </cell>
          <cell r="K1018" t="str">
            <v>bizhub 421 GSA</v>
          </cell>
          <cell r="L1018">
            <v>10206</v>
          </cell>
          <cell r="M1018">
            <v>2805</v>
          </cell>
          <cell r="N1018">
            <v>2917.2000000000003</v>
          </cell>
          <cell r="O1018">
            <v>0.16442534908700315</v>
          </cell>
          <cell r="P1018">
            <v>3491.25</v>
          </cell>
          <cell r="Q1018">
            <v>2973.3</v>
          </cell>
          <cell r="R1018">
            <v>3359.83</v>
          </cell>
          <cell r="S1018">
            <v>4987.5</v>
          </cell>
          <cell r="T1018">
            <v>0.41509774436090219</v>
          </cell>
          <cell r="U1018">
            <v>3491</v>
          </cell>
          <cell r="V1018">
            <v>0.16436551131480942</v>
          </cell>
          <cell r="W1018">
            <v>3491.25</v>
          </cell>
          <cell r="X1018">
            <v>0.7</v>
          </cell>
          <cell r="Y1018">
            <v>150</v>
          </cell>
          <cell r="Z1018">
            <v>300</v>
          </cell>
          <cell r="AA1018">
            <v>4624</v>
          </cell>
          <cell r="AB1018">
            <v>3492</v>
          </cell>
          <cell r="AC1018">
            <v>4258</v>
          </cell>
          <cell r="AD1018">
            <v>4547</v>
          </cell>
          <cell r="AE1018">
            <v>4717.91</v>
          </cell>
          <cell r="AF1018">
            <v>0.26000072065808799</v>
          </cell>
          <cell r="AG1018">
            <v>0.38167536048801265</v>
          </cell>
          <cell r="AH1018">
            <v>4918</v>
          </cell>
          <cell r="AI1018">
            <v>5456</v>
          </cell>
          <cell r="AJ1018">
            <v>0.36010813782991202</v>
          </cell>
          <cell r="AK1018">
            <v>6019.4</v>
          </cell>
          <cell r="AL1018">
            <v>6793</v>
          </cell>
          <cell r="AM1018">
            <v>0.48605181804799058</v>
          </cell>
          <cell r="AN1018">
            <v>7646.25</v>
          </cell>
          <cell r="AO1018">
            <v>8499.5</v>
          </cell>
          <cell r="AP1018">
            <v>9352.75</v>
          </cell>
          <cell r="AQ1018">
            <v>0</v>
          </cell>
          <cell r="AR1018">
            <v>288</v>
          </cell>
          <cell r="AS1018">
            <v>10206</v>
          </cell>
        </row>
        <row r="1019">
          <cell r="B1019" t="str">
            <v>MB</v>
          </cell>
          <cell r="C1019" t="str">
            <v>IMP</v>
          </cell>
          <cell r="D1019" t="str">
            <v>BT</v>
          </cell>
          <cell r="E1019" t="str">
            <v>08</v>
          </cell>
          <cell r="F1019">
            <v>39924</v>
          </cell>
          <cell r="G1019">
            <v>40001</v>
          </cell>
          <cell r="H1019" t="str">
            <v>A0R7011</v>
          </cell>
          <cell r="I1019" t="str">
            <v>9KMBH361_N</v>
          </cell>
          <cell r="K1019" t="str">
            <v>bizhub 361</v>
          </cell>
          <cell r="L1019">
            <v>9660</v>
          </cell>
          <cell r="M1019">
            <v>2652</v>
          </cell>
          <cell r="N1019">
            <v>2758.08</v>
          </cell>
          <cell r="O1019">
            <v>0.11394389544969746</v>
          </cell>
          <cell r="P1019">
            <v>3112.76</v>
          </cell>
          <cell r="Q1019">
            <v>2811.12</v>
          </cell>
          <cell r="R1019">
            <v>3176.57</v>
          </cell>
          <cell r="S1019">
            <v>4446.8</v>
          </cell>
          <cell r="T1019">
            <v>0.37976072681478823</v>
          </cell>
          <cell r="U1019">
            <v>3113</v>
          </cell>
          <cell r="V1019">
            <v>0.11401220687439771</v>
          </cell>
          <cell r="W1019">
            <v>3112.76</v>
          </cell>
          <cell r="X1019">
            <v>0.70000000000000007</v>
          </cell>
          <cell r="Y1019">
            <v>150</v>
          </cell>
          <cell r="Z1019">
            <v>300</v>
          </cell>
          <cell r="AA1019">
            <v>4122</v>
          </cell>
          <cell r="AB1019">
            <v>3113</v>
          </cell>
          <cell r="AC1019">
            <v>3797</v>
          </cell>
          <cell r="AD1019">
            <v>4054</v>
          </cell>
          <cell r="AE1019">
            <v>4206.43</v>
          </cell>
          <cell r="AF1019">
            <v>0.2599995720836909</v>
          </cell>
          <cell r="AG1019">
            <v>0.3443181034749182</v>
          </cell>
          <cell r="AH1019">
            <v>4385</v>
          </cell>
          <cell r="AI1019">
            <v>4864</v>
          </cell>
          <cell r="AJ1019">
            <v>0.36004111842105258</v>
          </cell>
          <cell r="AK1019">
            <v>5366.83</v>
          </cell>
          <cell r="AL1019">
            <v>6056</v>
          </cell>
          <cell r="AM1019">
            <v>0.48600396301188897</v>
          </cell>
          <cell r="AN1019">
            <v>6957</v>
          </cell>
          <cell r="AO1019">
            <v>7858</v>
          </cell>
          <cell r="AP1019">
            <v>8759</v>
          </cell>
          <cell r="AQ1019">
            <v>0</v>
          </cell>
          <cell r="AR1019">
            <v>288</v>
          </cell>
          <cell r="AS1019">
            <v>9660</v>
          </cell>
        </row>
        <row r="1020">
          <cell r="B1020" t="str">
            <v>MB</v>
          </cell>
          <cell r="C1020" t="str">
            <v>IMP</v>
          </cell>
          <cell r="D1020" t="str">
            <v>BT</v>
          </cell>
          <cell r="E1020" t="str">
            <v>08</v>
          </cell>
          <cell r="F1020">
            <v>39924</v>
          </cell>
          <cell r="G1020">
            <v>40001</v>
          </cell>
          <cell r="H1020" t="str">
            <v>A0R7012</v>
          </cell>
          <cell r="I1020" t="str">
            <v>9KMBH361GSA_N</v>
          </cell>
          <cell r="K1020" t="str">
            <v>bizhub 361 GSA</v>
          </cell>
          <cell r="L1020">
            <v>9660</v>
          </cell>
          <cell r="M1020">
            <v>2652</v>
          </cell>
          <cell r="N1020">
            <v>2758.08</v>
          </cell>
          <cell r="O1020">
            <v>0.11394389544969746</v>
          </cell>
          <cell r="P1020">
            <v>3112.76</v>
          </cell>
          <cell r="Q1020">
            <v>2811.12</v>
          </cell>
          <cell r="R1020">
            <v>3176.57</v>
          </cell>
          <cell r="S1020">
            <v>4446.8</v>
          </cell>
          <cell r="T1020">
            <v>0.37976072681478823</v>
          </cell>
          <cell r="U1020">
            <v>3113</v>
          </cell>
          <cell r="V1020">
            <v>0.11401220687439771</v>
          </cell>
          <cell r="W1020">
            <v>3112.76</v>
          </cell>
          <cell r="X1020">
            <v>0.70000000000000007</v>
          </cell>
          <cell r="Y1020">
            <v>150</v>
          </cell>
          <cell r="Z1020">
            <v>300</v>
          </cell>
          <cell r="AA1020">
            <v>4122</v>
          </cell>
          <cell r="AB1020">
            <v>3113</v>
          </cell>
          <cell r="AC1020">
            <v>3797</v>
          </cell>
          <cell r="AD1020">
            <v>4054</v>
          </cell>
          <cell r="AE1020">
            <v>4206.43</v>
          </cell>
          <cell r="AF1020">
            <v>0.2599995720836909</v>
          </cell>
          <cell r="AG1020">
            <v>0.3443181034749182</v>
          </cell>
          <cell r="AH1020">
            <v>4385</v>
          </cell>
          <cell r="AI1020">
            <v>4864</v>
          </cell>
          <cell r="AJ1020">
            <v>0.36004111842105258</v>
          </cell>
          <cell r="AK1020">
            <v>5366.83</v>
          </cell>
          <cell r="AL1020">
            <v>6056</v>
          </cell>
          <cell r="AM1020">
            <v>0.48600396301188897</v>
          </cell>
          <cell r="AN1020">
            <v>6957</v>
          </cell>
          <cell r="AO1020">
            <v>7858</v>
          </cell>
          <cell r="AP1020">
            <v>8759</v>
          </cell>
          <cell r="AQ1020">
            <v>0</v>
          </cell>
          <cell r="AR1020">
            <v>288</v>
          </cell>
          <cell r="AS1020">
            <v>9660</v>
          </cell>
        </row>
        <row r="1021">
          <cell r="B1021" t="str">
            <v>MB</v>
          </cell>
          <cell r="C1021" t="str">
            <v>IMP</v>
          </cell>
          <cell r="D1021" t="str">
            <v>BT</v>
          </cell>
          <cell r="E1021" t="str">
            <v>08</v>
          </cell>
          <cell r="F1021">
            <v>39924</v>
          </cell>
          <cell r="G1021">
            <v>40001</v>
          </cell>
          <cell r="H1021" t="str">
            <v>A0U0011</v>
          </cell>
          <cell r="I1021" t="str">
            <v>9KMBHPROC6501_N</v>
          </cell>
          <cell r="K1021" t="str">
            <v>bizhub PRO C6501</v>
          </cell>
          <cell r="L1021">
            <v>47250</v>
          </cell>
          <cell r="M1021">
            <v>13056</v>
          </cell>
          <cell r="N1021">
            <v>13578.24</v>
          </cell>
          <cell r="O1021">
            <v>0.13064489795918369</v>
          </cell>
          <cell r="P1021">
            <v>15618.75</v>
          </cell>
          <cell r="Q1021">
            <v>13839.36</v>
          </cell>
          <cell r="R1021">
            <v>15638.48</v>
          </cell>
          <cell r="S1021">
            <v>22312.5</v>
          </cell>
          <cell r="T1021">
            <v>0.39145142857142856</v>
          </cell>
          <cell r="U1021">
            <v>15619</v>
          </cell>
          <cell r="V1021">
            <v>0.13065881298418594</v>
          </cell>
          <cell r="W1021">
            <v>15618.75</v>
          </cell>
          <cell r="X1021">
            <v>0.7</v>
          </cell>
          <cell r="Y1021">
            <v>800</v>
          </cell>
          <cell r="Z1021">
            <v>500</v>
          </cell>
          <cell r="AA1021">
            <v>20684</v>
          </cell>
          <cell r="AB1021">
            <v>15619</v>
          </cell>
          <cell r="AC1021">
            <v>19048</v>
          </cell>
          <cell r="AD1021">
            <v>20339</v>
          </cell>
          <cell r="AE1021">
            <v>21106.42</v>
          </cell>
          <cell r="AF1021">
            <v>0.26000003790315929</v>
          </cell>
          <cell r="AG1021">
            <v>0.35667725744110079</v>
          </cell>
          <cell r="AH1021">
            <v>21999</v>
          </cell>
          <cell r="AI1021">
            <v>24405</v>
          </cell>
          <cell r="AJ1021">
            <v>0.36001843884449908</v>
          </cell>
          <cell r="AK1021">
            <v>26928.880000000001</v>
          </cell>
          <cell r="AL1021">
            <v>30387</v>
          </cell>
          <cell r="AM1021">
            <v>0.48600552868002767</v>
          </cell>
          <cell r="AN1021">
            <v>34602.75</v>
          </cell>
          <cell r="AO1021">
            <v>38818.5</v>
          </cell>
          <cell r="AP1021">
            <v>43034.25</v>
          </cell>
          <cell r="AQ1021">
            <v>0</v>
          </cell>
          <cell r="AR1021">
            <v>746</v>
          </cell>
          <cell r="AS1021">
            <v>47250</v>
          </cell>
        </row>
        <row r="1022">
          <cell r="B1022" t="str">
            <v>MB</v>
          </cell>
          <cell r="C1022" t="str">
            <v>IMP</v>
          </cell>
          <cell r="D1022" t="str">
            <v>BT</v>
          </cell>
          <cell r="E1022" t="str">
            <v>08</v>
          </cell>
          <cell r="F1022">
            <v>39924</v>
          </cell>
          <cell r="G1022">
            <v>40001</v>
          </cell>
          <cell r="H1022" t="str">
            <v>A0U0012</v>
          </cell>
          <cell r="I1022" t="str">
            <v>9KMBHPROC6501GSA_N</v>
          </cell>
          <cell r="K1022" t="str">
            <v>bizhub PRO C6501 GSA</v>
          </cell>
          <cell r="L1022">
            <v>47250</v>
          </cell>
          <cell r="M1022">
            <v>13056</v>
          </cell>
          <cell r="N1022">
            <v>13578.24</v>
          </cell>
          <cell r="O1022">
            <v>0.13064489795918369</v>
          </cell>
          <cell r="P1022">
            <v>15618.75</v>
          </cell>
          <cell r="Q1022">
            <v>13839.36</v>
          </cell>
          <cell r="R1022">
            <v>15638.48</v>
          </cell>
          <cell r="S1022">
            <v>22312.5</v>
          </cell>
          <cell r="T1022">
            <v>0.39145142857142856</v>
          </cell>
          <cell r="U1022">
            <v>15619</v>
          </cell>
          <cell r="V1022">
            <v>0.13065881298418594</v>
          </cell>
          <cell r="W1022">
            <v>15618.75</v>
          </cell>
          <cell r="X1022">
            <v>0.7</v>
          </cell>
          <cell r="Y1022">
            <v>800</v>
          </cell>
          <cell r="Z1022">
            <v>500</v>
          </cell>
          <cell r="AA1022">
            <v>20684</v>
          </cell>
          <cell r="AB1022">
            <v>15619</v>
          </cell>
          <cell r="AC1022">
            <v>19048</v>
          </cell>
          <cell r="AD1022">
            <v>20339</v>
          </cell>
          <cell r="AE1022">
            <v>21106.42</v>
          </cell>
          <cell r="AF1022">
            <v>0.26000003790315929</v>
          </cell>
          <cell r="AG1022">
            <v>0.35667725744110079</v>
          </cell>
          <cell r="AH1022">
            <v>21999</v>
          </cell>
          <cell r="AI1022">
            <v>24405</v>
          </cell>
          <cell r="AJ1022">
            <v>0.36001843884449908</v>
          </cell>
          <cell r="AK1022">
            <v>26928.880000000001</v>
          </cell>
          <cell r="AL1022">
            <v>30387</v>
          </cell>
          <cell r="AM1022">
            <v>0.48600552868002767</v>
          </cell>
          <cell r="AN1022">
            <v>34602.75</v>
          </cell>
          <cell r="AO1022">
            <v>38818.5</v>
          </cell>
          <cell r="AP1022">
            <v>43034.25</v>
          </cell>
          <cell r="AQ1022">
            <v>0</v>
          </cell>
          <cell r="AR1022">
            <v>746</v>
          </cell>
          <cell r="AS1022">
            <v>47250</v>
          </cell>
        </row>
        <row r="1023">
          <cell r="B1023" t="str">
            <v>MB</v>
          </cell>
          <cell r="C1023" t="str">
            <v>IMP</v>
          </cell>
          <cell r="D1023" t="str">
            <v>BT</v>
          </cell>
          <cell r="E1023" t="str">
            <v>08</v>
          </cell>
          <cell r="F1023">
            <v>39924</v>
          </cell>
          <cell r="G1023">
            <v>40001</v>
          </cell>
          <cell r="H1023" t="str">
            <v>A0U1011</v>
          </cell>
          <cell r="I1023" t="str">
            <v>9KMBHPROC5501_N</v>
          </cell>
          <cell r="K1023" t="str">
            <v>bizhub PRO C5501</v>
          </cell>
          <cell r="L1023">
            <v>40950</v>
          </cell>
          <cell r="M1023">
            <v>10608</v>
          </cell>
          <cell r="N1023">
            <v>11032.32</v>
          </cell>
          <cell r="O1023">
            <v>0.11445668532899889</v>
          </cell>
          <cell r="P1023">
            <v>12458.25</v>
          </cell>
          <cell r="Q1023">
            <v>11244.48</v>
          </cell>
          <cell r="R1023">
            <v>12706.26</v>
          </cell>
          <cell r="S1023">
            <v>17797.5</v>
          </cell>
          <cell r="T1023">
            <v>0.3801196797302992</v>
          </cell>
          <cell r="U1023">
            <v>12458</v>
          </cell>
          <cell r="V1023">
            <v>0.11443891475357203</v>
          </cell>
          <cell r="W1023">
            <v>12458.25</v>
          </cell>
          <cell r="X1023">
            <v>0.7</v>
          </cell>
          <cell r="Y1023">
            <v>250</v>
          </cell>
          <cell r="Z1023">
            <v>500</v>
          </cell>
          <cell r="AA1023">
            <v>16499</v>
          </cell>
          <cell r="AB1023">
            <v>12459</v>
          </cell>
          <cell r="AC1023">
            <v>15193</v>
          </cell>
          <cell r="AD1023">
            <v>16223</v>
          </cell>
          <cell r="AE1023">
            <v>16835.47</v>
          </cell>
          <cell r="AF1023">
            <v>0.2599998693235176</v>
          </cell>
          <cell r="AG1023">
            <v>0.3446978314237738</v>
          </cell>
          <cell r="AH1023">
            <v>17547</v>
          </cell>
          <cell r="AI1023">
            <v>19467</v>
          </cell>
          <cell r="AJ1023">
            <v>0.36003236245954695</v>
          </cell>
          <cell r="AK1023">
            <v>21479.74</v>
          </cell>
          <cell r="AL1023">
            <v>24238</v>
          </cell>
          <cell r="AM1023">
            <v>0.48600338311741892</v>
          </cell>
          <cell r="AN1023">
            <v>28416</v>
          </cell>
          <cell r="AO1023">
            <v>32594</v>
          </cell>
          <cell r="AP1023">
            <v>36772</v>
          </cell>
          <cell r="AQ1023">
            <v>0</v>
          </cell>
          <cell r="AR1023">
            <v>671</v>
          </cell>
          <cell r="AS1023">
            <v>40950</v>
          </cell>
        </row>
        <row r="1024">
          <cell r="B1024" t="str">
            <v>MB</v>
          </cell>
          <cell r="C1024" t="str">
            <v>IMP</v>
          </cell>
          <cell r="D1024" t="str">
            <v>BT</v>
          </cell>
          <cell r="E1024" t="str">
            <v>08</v>
          </cell>
          <cell r="F1024">
            <v>39924</v>
          </cell>
          <cell r="G1024">
            <v>40001</v>
          </cell>
          <cell r="H1024" t="str">
            <v>A0U2011</v>
          </cell>
          <cell r="I1024" t="str">
            <v>9KMBHPROC6501P_N</v>
          </cell>
          <cell r="K1024" t="str">
            <v>bizhub PRO C6501P</v>
          </cell>
          <cell r="L1024">
            <v>42945</v>
          </cell>
          <cell r="M1024">
            <v>11934</v>
          </cell>
          <cell r="N1024">
            <v>12411.36</v>
          </cell>
          <cell r="O1024">
            <v>0.13845897542690541</v>
          </cell>
          <cell r="P1024">
            <v>14406</v>
          </cell>
          <cell r="Q1024">
            <v>12650.04</v>
          </cell>
          <cell r="R1024">
            <v>14294.55</v>
          </cell>
          <cell r="S1024">
            <v>20580</v>
          </cell>
          <cell r="T1024">
            <v>0.39692128279883376</v>
          </cell>
          <cell r="U1024">
            <v>14406</v>
          </cell>
          <cell r="V1024">
            <v>0.13845897542690541</v>
          </cell>
          <cell r="W1024">
            <v>14406</v>
          </cell>
          <cell r="X1024">
            <v>0.7</v>
          </cell>
          <cell r="Y1024">
            <v>800</v>
          </cell>
          <cell r="Z1024">
            <v>500</v>
          </cell>
          <cell r="AA1024">
            <v>19078</v>
          </cell>
          <cell r="AB1024">
            <v>14406</v>
          </cell>
          <cell r="AC1024">
            <v>17569</v>
          </cell>
          <cell r="AD1024">
            <v>18760</v>
          </cell>
          <cell r="AE1024">
            <v>19467.57</v>
          </cell>
          <cell r="AF1024">
            <v>0.26000009246146283</v>
          </cell>
          <cell r="AG1024">
            <v>0.3624597214752534</v>
          </cell>
          <cell r="AH1024">
            <v>20291</v>
          </cell>
          <cell r="AI1024">
            <v>22510</v>
          </cell>
          <cell r="AJ1024">
            <v>0.3600177698800533</v>
          </cell>
          <cell r="AK1024">
            <v>24837.93</v>
          </cell>
          <cell r="AL1024">
            <v>28028</v>
          </cell>
          <cell r="AM1024">
            <v>0.48601398601398599</v>
          </cell>
          <cell r="AN1024">
            <v>31757.25</v>
          </cell>
          <cell r="AO1024">
            <v>35486.5</v>
          </cell>
          <cell r="AP1024">
            <v>39215.75</v>
          </cell>
          <cell r="AQ1024">
            <v>0</v>
          </cell>
          <cell r="AR1024">
            <v>746</v>
          </cell>
          <cell r="AS1024">
            <v>42945</v>
          </cell>
        </row>
        <row r="1025">
          <cell r="B1025" t="str">
            <v>MB</v>
          </cell>
          <cell r="C1025" t="str">
            <v>IMP</v>
          </cell>
          <cell r="D1025" t="str">
            <v>BT</v>
          </cell>
          <cell r="E1025" t="str">
            <v>08</v>
          </cell>
          <cell r="F1025">
            <v>39924</v>
          </cell>
          <cell r="G1025">
            <v>40001</v>
          </cell>
          <cell r="H1025" t="str">
            <v>A0Y5011</v>
          </cell>
          <cell r="I1025" t="str">
            <v>9KMBHPRO950_N</v>
          </cell>
          <cell r="K1025" t="str">
            <v>bizhub PRO 950</v>
          </cell>
          <cell r="L1025">
            <v>45255</v>
          </cell>
          <cell r="M1025">
            <v>9996</v>
          </cell>
          <cell r="N1025">
            <v>10395.84</v>
          </cell>
          <cell r="O1025">
            <v>0.18242774566473988</v>
          </cell>
          <cell r="P1025">
            <v>12715.5</v>
          </cell>
          <cell r="Q1025">
            <v>10595.76</v>
          </cell>
          <cell r="R1025">
            <v>11973.21</v>
          </cell>
          <cell r="S1025">
            <v>18165</v>
          </cell>
          <cell r="T1025">
            <v>0.42769942196531791</v>
          </cell>
          <cell r="U1025">
            <v>12716</v>
          </cell>
          <cell r="V1025">
            <v>0.18245989304812832</v>
          </cell>
          <cell r="W1025">
            <v>12715.5</v>
          </cell>
          <cell r="X1025">
            <v>0.7</v>
          </cell>
          <cell r="Y1025">
            <v>250</v>
          </cell>
          <cell r="Z1025">
            <v>500</v>
          </cell>
          <cell r="AA1025">
            <v>16839</v>
          </cell>
          <cell r="AB1025">
            <v>12716</v>
          </cell>
          <cell r="AC1025">
            <v>15507</v>
          </cell>
          <cell r="AD1025">
            <v>16559</v>
          </cell>
          <cell r="AE1025">
            <v>17183.11</v>
          </cell>
          <cell r="AF1025">
            <v>0.26000008147535575</v>
          </cell>
          <cell r="AG1025">
            <v>0.39499659840389778</v>
          </cell>
          <cell r="AH1025">
            <v>17910</v>
          </cell>
          <cell r="AI1025">
            <v>19868</v>
          </cell>
          <cell r="AJ1025">
            <v>0.36000100664384943</v>
          </cell>
          <cell r="AK1025">
            <v>21923.279999999999</v>
          </cell>
          <cell r="AL1025">
            <v>24739</v>
          </cell>
          <cell r="AM1025">
            <v>0.48601398601398599</v>
          </cell>
          <cell r="AN1025">
            <v>29868</v>
          </cell>
          <cell r="AO1025">
            <v>34997</v>
          </cell>
          <cell r="AP1025">
            <v>40126</v>
          </cell>
          <cell r="AQ1025">
            <v>0</v>
          </cell>
          <cell r="AR1025">
            <v>506</v>
          </cell>
          <cell r="AS1025">
            <v>45255</v>
          </cell>
        </row>
        <row r="1026">
          <cell r="B1026" t="str">
            <v>MB</v>
          </cell>
          <cell r="C1026" t="str">
            <v>IMP</v>
          </cell>
          <cell r="D1026" t="str">
            <v>BT</v>
          </cell>
          <cell r="E1026" t="str">
            <v>08</v>
          </cell>
          <cell r="F1026">
            <v>39924</v>
          </cell>
          <cell r="G1026">
            <v>40001</v>
          </cell>
          <cell r="H1026" t="str">
            <v>A0Y5012</v>
          </cell>
          <cell r="I1026" t="str">
            <v>9KMBHPRO950GSA_N</v>
          </cell>
          <cell r="K1026" t="str">
            <v>bizhub PRO 950 GSA</v>
          </cell>
          <cell r="L1026">
            <v>45255</v>
          </cell>
          <cell r="M1026">
            <v>9996</v>
          </cell>
          <cell r="N1026">
            <v>10395.84</v>
          </cell>
          <cell r="O1026">
            <v>0.18242774566473988</v>
          </cell>
          <cell r="P1026">
            <v>12715.5</v>
          </cell>
          <cell r="Q1026">
            <v>10595.76</v>
          </cell>
          <cell r="R1026">
            <v>11973.21</v>
          </cell>
          <cell r="S1026">
            <v>18165</v>
          </cell>
          <cell r="T1026">
            <v>0.42769942196531791</v>
          </cell>
          <cell r="U1026">
            <v>12716</v>
          </cell>
          <cell r="V1026">
            <v>0.18245989304812832</v>
          </cell>
          <cell r="W1026">
            <v>12715.5</v>
          </cell>
          <cell r="X1026">
            <v>0.7</v>
          </cell>
          <cell r="Y1026">
            <v>250</v>
          </cell>
          <cell r="Z1026">
            <v>500</v>
          </cell>
          <cell r="AA1026">
            <v>16839</v>
          </cell>
          <cell r="AB1026">
            <v>12716</v>
          </cell>
          <cell r="AC1026">
            <v>15507</v>
          </cell>
          <cell r="AD1026">
            <v>16559</v>
          </cell>
          <cell r="AE1026">
            <v>17183.11</v>
          </cell>
          <cell r="AF1026">
            <v>0.26000008147535575</v>
          </cell>
          <cell r="AG1026">
            <v>0.39499659840389778</v>
          </cell>
          <cell r="AH1026">
            <v>17910</v>
          </cell>
          <cell r="AI1026">
            <v>19868</v>
          </cell>
          <cell r="AJ1026">
            <v>0.36000100664384943</v>
          </cell>
          <cell r="AK1026">
            <v>21923.279999999999</v>
          </cell>
          <cell r="AL1026">
            <v>24739</v>
          </cell>
          <cell r="AM1026">
            <v>0.48601398601398599</v>
          </cell>
          <cell r="AN1026">
            <v>29868</v>
          </cell>
          <cell r="AO1026">
            <v>34997</v>
          </cell>
          <cell r="AP1026">
            <v>40126</v>
          </cell>
          <cell r="AQ1026">
            <v>0</v>
          </cell>
          <cell r="AR1026">
            <v>506</v>
          </cell>
          <cell r="AS1026">
            <v>45255</v>
          </cell>
        </row>
        <row r="1027">
          <cell r="B1027" t="str">
            <v>MB</v>
          </cell>
          <cell r="C1027" t="str">
            <v>IMP</v>
          </cell>
          <cell r="D1027" t="str">
            <v>BT</v>
          </cell>
          <cell r="E1027" t="str">
            <v>08</v>
          </cell>
          <cell r="F1027">
            <v>39924</v>
          </cell>
          <cell r="G1027">
            <v>40001</v>
          </cell>
          <cell r="H1027" t="str">
            <v>A0Y8011</v>
          </cell>
          <cell r="I1027" t="str">
            <v>9KMBHPROC65HC_N</v>
          </cell>
          <cell r="K1027" t="str">
            <v>bizhub PRO C65hc</v>
          </cell>
          <cell r="L1027">
            <v>65000</v>
          </cell>
          <cell r="M1027">
            <v>13127</v>
          </cell>
          <cell r="N1027">
            <v>13652.08</v>
          </cell>
          <cell r="O1027">
            <v>0.34979258447836542</v>
          </cell>
          <cell r="P1027">
            <v>20996.5</v>
          </cell>
          <cell r="Q1027">
            <v>13914.62</v>
          </cell>
          <cell r="R1027">
            <v>15723.52</v>
          </cell>
          <cell r="S1027">
            <v>29995</v>
          </cell>
          <cell r="T1027">
            <v>0.54485480913485584</v>
          </cell>
          <cell r="U1027">
            <v>20997</v>
          </cell>
          <cell r="V1027">
            <v>0.34980806781921225</v>
          </cell>
          <cell r="W1027">
            <v>20996.5</v>
          </cell>
          <cell r="X1027">
            <v>0.7</v>
          </cell>
          <cell r="Y1027">
            <v>800</v>
          </cell>
          <cell r="Z1027">
            <v>500</v>
          </cell>
          <cell r="AA1027">
            <v>27806</v>
          </cell>
          <cell r="AB1027">
            <v>20997</v>
          </cell>
          <cell r="AC1027">
            <v>25606</v>
          </cell>
          <cell r="AD1027">
            <v>27342</v>
          </cell>
          <cell r="AE1027">
            <v>28373.65</v>
          </cell>
          <cell r="AF1027">
            <v>0.26000003524396759</v>
          </cell>
          <cell r="AG1027">
            <v>0.51884653542987946</v>
          </cell>
          <cell r="AH1027">
            <v>29573</v>
          </cell>
          <cell r="AI1027">
            <v>32808</v>
          </cell>
          <cell r="AJ1027">
            <v>0.36001889782979762</v>
          </cell>
          <cell r="AK1027">
            <v>36200.86</v>
          </cell>
          <cell r="AL1027">
            <v>40850</v>
          </cell>
          <cell r="AM1027">
            <v>0.4860097919216646</v>
          </cell>
          <cell r="AN1027">
            <v>46887.5</v>
          </cell>
          <cell r="AO1027">
            <v>52925</v>
          </cell>
          <cell r="AP1027">
            <v>58962.5</v>
          </cell>
          <cell r="AQ1027">
            <v>0</v>
          </cell>
          <cell r="AR1027">
            <v>746</v>
          </cell>
          <cell r="AS1027">
            <v>65000</v>
          </cell>
        </row>
        <row r="1028">
          <cell r="B1028" t="str">
            <v>MB</v>
          </cell>
          <cell r="C1028" t="str">
            <v>IMP</v>
          </cell>
          <cell r="D1028" t="str">
            <v>BT</v>
          </cell>
          <cell r="E1028" t="str">
            <v>08</v>
          </cell>
          <cell r="F1028">
            <v>39924</v>
          </cell>
          <cell r="G1028">
            <v>40001</v>
          </cell>
          <cell r="H1028" t="str">
            <v>A11U011</v>
          </cell>
          <cell r="I1028" t="str">
            <v>9KMBH362_N</v>
          </cell>
          <cell r="K1028" t="str">
            <v>bizhub 362</v>
          </cell>
          <cell r="L1028">
            <v>8033</v>
          </cell>
          <cell r="M1028">
            <v>1915</v>
          </cell>
          <cell r="N1028">
            <v>1991.6000000000001</v>
          </cell>
          <cell r="O1028">
            <v>0.30163405568412932</v>
          </cell>
          <cell r="P1028">
            <v>2851.8</v>
          </cell>
          <cell r="Q1028">
            <v>2029.9</v>
          </cell>
          <cell r="R1028">
            <v>2293.79</v>
          </cell>
          <cell r="S1028">
            <v>4074</v>
          </cell>
          <cell r="T1028">
            <v>0.51114383897889049</v>
          </cell>
          <cell r="U1028">
            <v>2852</v>
          </cell>
          <cell r="V1028">
            <v>0.30168302945301539</v>
          </cell>
          <cell r="W1028">
            <v>2851.8</v>
          </cell>
          <cell r="X1028">
            <v>0.70000000000000007</v>
          </cell>
          <cell r="Y1028">
            <v>150</v>
          </cell>
          <cell r="Z1028">
            <v>300</v>
          </cell>
          <cell r="AA1028">
            <v>3777</v>
          </cell>
          <cell r="AB1028">
            <v>2852</v>
          </cell>
          <cell r="AC1028">
            <v>3478</v>
          </cell>
          <cell r="AD1028">
            <v>3714</v>
          </cell>
          <cell r="AE1028">
            <v>3853.78</v>
          </cell>
          <cell r="AF1028">
            <v>0.2599992734406219</v>
          </cell>
          <cell r="AG1028">
            <v>0.48320869380192955</v>
          </cell>
          <cell r="AH1028">
            <v>4017</v>
          </cell>
          <cell r="AI1028">
            <v>4456</v>
          </cell>
          <cell r="AJ1028">
            <v>0.36000897666068221</v>
          </cell>
          <cell r="AK1028">
            <v>4916.8999999999996</v>
          </cell>
          <cell r="AL1028">
            <v>5549</v>
          </cell>
          <cell r="AM1028">
            <v>0.48606956208325819</v>
          </cell>
          <cell r="AN1028">
            <v>6170</v>
          </cell>
          <cell r="AO1028">
            <v>6791</v>
          </cell>
          <cell r="AP1028">
            <v>7412</v>
          </cell>
          <cell r="AQ1028">
            <v>0</v>
          </cell>
          <cell r="AR1028">
            <v>295</v>
          </cell>
          <cell r="AS1028">
            <v>8033</v>
          </cell>
        </row>
        <row r="1029">
          <cell r="B1029" t="str">
            <v>MB</v>
          </cell>
          <cell r="C1029" t="str">
            <v>IMP</v>
          </cell>
          <cell r="D1029" t="str">
            <v>BT</v>
          </cell>
          <cell r="E1029" t="str">
            <v>08</v>
          </cell>
          <cell r="F1029">
            <v>39924</v>
          </cell>
          <cell r="G1029">
            <v>40001</v>
          </cell>
          <cell r="H1029" t="str">
            <v>A11V011</v>
          </cell>
          <cell r="I1029" t="str">
            <v>9KMBH282_N</v>
          </cell>
          <cell r="K1029" t="str">
            <v>bizhub 282</v>
          </cell>
          <cell r="L1029">
            <v>6300</v>
          </cell>
          <cell r="M1029">
            <v>1516</v>
          </cell>
          <cell r="N1029">
            <v>1576.64</v>
          </cell>
          <cell r="O1029">
            <v>0.31423003984202369</v>
          </cell>
          <cell r="P1029">
            <v>2299.08</v>
          </cell>
          <cell r="Q1029">
            <v>1606.96</v>
          </cell>
          <cell r="R1029">
            <v>1815.86</v>
          </cell>
          <cell r="S1029">
            <v>3284.4</v>
          </cell>
          <cell r="T1029">
            <v>0.51996102788941667</v>
          </cell>
          <cell r="U1029">
            <v>2299</v>
          </cell>
          <cell r="V1029">
            <v>0.31420617659852107</v>
          </cell>
          <cell r="W1029">
            <v>2299.08</v>
          </cell>
          <cell r="X1029">
            <v>0.7</v>
          </cell>
          <cell r="Y1029">
            <v>150</v>
          </cell>
          <cell r="Z1029">
            <v>175</v>
          </cell>
          <cell r="AA1029">
            <v>3045</v>
          </cell>
          <cell r="AB1029">
            <v>2300</v>
          </cell>
          <cell r="AC1029">
            <v>2804</v>
          </cell>
          <cell r="AD1029">
            <v>2994</v>
          </cell>
          <cell r="AE1029">
            <v>3106.86</v>
          </cell>
          <cell r="AF1029">
            <v>0.25999884127382639</v>
          </cell>
          <cell r="AG1029">
            <v>0.4925294348634956</v>
          </cell>
          <cell r="AH1029">
            <v>3239</v>
          </cell>
          <cell r="AI1029">
            <v>3593</v>
          </cell>
          <cell r="AJ1029">
            <v>0.36012246033954914</v>
          </cell>
          <cell r="AK1029">
            <v>3963.93</v>
          </cell>
          <cell r="AL1029">
            <v>4473</v>
          </cell>
          <cell r="AM1029">
            <v>0.48600938967136154</v>
          </cell>
          <cell r="AN1029">
            <v>4929.75</v>
          </cell>
          <cell r="AO1029">
            <v>5386.5</v>
          </cell>
          <cell r="AP1029">
            <v>5843.25</v>
          </cell>
          <cell r="AQ1029">
            <v>0</v>
          </cell>
          <cell r="AR1029">
            <v>295</v>
          </cell>
          <cell r="AS1029">
            <v>6300</v>
          </cell>
        </row>
        <row r="1030">
          <cell r="B1030" t="str">
            <v>MB</v>
          </cell>
          <cell r="C1030" t="str">
            <v>IMP</v>
          </cell>
          <cell r="D1030" t="str">
            <v>BT</v>
          </cell>
          <cell r="E1030" t="str">
            <v>08</v>
          </cell>
          <cell r="F1030">
            <v>39924</v>
          </cell>
          <cell r="G1030">
            <v>40001</v>
          </cell>
          <cell r="H1030" t="str">
            <v>A11W011</v>
          </cell>
          <cell r="I1030" t="str">
            <v>9KMBH222_N</v>
          </cell>
          <cell r="K1030" t="str">
            <v>bizhub 222</v>
          </cell>
          <cell r="L1030">
            <v>5240</v>
          </cell>
          <cell r="M1030">
            <v>1321</v>
          </cell>
          <cell r="N1030">
            <v>1373.8400000000001</v>
          </cell>
          <cell r="O1030">
            <v>0.28108843537414957</v>
          </cell>
          <cell r="P1030">
            <v>1911</v>
          </cell>
          <cell r="Q1030">
            <v>1400.26</v>
          </cell>
          <cell r="R1030">
            <v>1582.29</v>
          </cell>
          <cell r="S1030">
            <v>2730</v>
          </cell>
          <cell r="T1030">
            <v>0.49676190476190468</v>
          </cell>
          <cell r="U1030">
            <v>1911</v>
          </cell>
          <cell r="V1030">
            <v>0.28108843537414957</v>
          </cell>
          <cell r="W1030">
            <v>1911</v>
          </cell>
          <cell r="X1030">
            <v>0.7</v>
          </cell>
          <cell r="Y1030">
            <v>150</v>
          </cell>
          <cell r="Z1030">
            <v>175</v>
          </cell>
          <cell r="AA1030">
            <v>2594</v>
          </cell>
          <cell r="AB1030">
            <v>1911</v>
          </cell>
          <cell r="AC1030">
            <v>2331</v>
          </cell>
          <cell r="AD1030">
            <v>2489</v>
          </cell>
          <cell r="AE1030">
            <v>2646.81</v>
          </cell>
          <cell r="AF1030">
            <v>0.27799879855373072</v>
          </cell>
          <cell r="AG1030">
            <v>0.48094498660651874</v>
          </cell>
          <cell r="AH1030">
            <v>2915</v>
          </cell>
          <cell r="AI1030">
            <v>3183</v>
          </cell>
          <cell r="AJ1030">
            <v>0.39962299717247879</v>
          </cell>
          <cell r="AK1030">
            <v>3450.5</v>
          </cell>
          <cell r="AL1030">
            <v>3718</v>
          </cell>
          <cell r="AM1030">
            <v>0.48601398601398599</v>
          </cell>
          <cell r="AN1030">
            <v>4098.5</v>
          </cell>
          <cell r="AO1030">
            <v>4479</v>
          </cell>
          <cell r="AP1030">
            <v>4859.5</v>
          </cell>
          <cell r="AQ1030">
            <v>0</v>
          </cell>
          <cell r="AR1030">
            <v>295</v>
          </cell>
          <cell r="AS1030">
            <v>5240</v>
          </cell>
        </row>
        <row r="1031">
          <cell r="B1031" t="str">
            <v>MB</v>
          </cell>
          <cell r="C1031" t="str">
            <v>IMP</v>
          </cell>
          <cell r="D1031" t="str">
            <v>BT</v>
          </cell>
          <cell r="E1031" t="str">
            <v>P3</v>
          </cell>
          <cell r="F1031">
            <v>39934</v>
          </cell>
          <cell r="G1031">
            <v>40001</v>
          </cell>
          <cell r="H1031" t="str">
            <v>4034301</v>
          </cell>
          <cell r="I1031" t="str">
            <v>3KMHHD509HDD</v>
          </cell>
          <cell r="K1031" t="str">
            <v>bizhub 180</v>
          </cell>
          <cell r="L1031">
            <v>2660</v>
          </cell>
          <cell r="M1031">
            <v>845</v>
          </cell>
          <cell r="N1031">
            <v>878.80000000000007</v>
          </cell>
          <cell r="O1031">
            <v>-0.17647058823529418</v>
          </cell>
          <cell r="P1031">
            <v>746.98</v>
          </cell>
          <cell r="Q1031">
            <v>895.7</v>
          </cell>
          <cell r="R1031">
            <v>1012.14</v>
          </cell>
          <cell r="S1031">
            <v>1410</v>
          </cell>
          <cell r="T1031">
            <v>0.37673758865248225</v>
          </cell>
          <cell r="U1031">
            <v>987</v>
          </cell>
          <cell r="V1031">
            <v>0.10962512664640317</v>
          </cell>
          <cell r="W1031">
            <v>746.98</v>
          </cell>
          <cell r="X1031">
            <v>0.52977304964539007</v>
          </cell>
          <cell r="Y1031">
            <v>60</v>
          </cell>
          <cell r="Z1031">
            <v>70</v>
          </cell>
          <cell r="AA1031">
            <v>904</v>
          </cell>
          <cell r="AB1031">
            <v>747</v>
          </cell>
          <cell r="AC1031">
            <v>830</v>
          </cell>
          <cell r="AD1031">
            <v>877</v>
          </cell>
          <cell r="AE1031">
            <v>922.2</v>
          </cell>
          <cell r="AF1031">
            <v>0.1900021687269573</v>
          </cell>
          <cell r="AG1031">
            <v>4.7061374972890889E-2</v>
          </cell>
          <cell r="AH1031">
            <v>942</v>
          </cell>
          <cell r="AI1031">
            <v>960</v>
          </cell>
          <cell r="AJ1031">
            <v>0.22189583333333332</v>
          </cell>
          <cell r="AK1031">
            <v>978</v>
          </cell>
          <cell r="AL1031">
            <v>996</v>
          </cell>
          <cell r="AM1031">
            <v>0.25002008032128514</v>
          </cell>
          <cell r="AN1031">
            <v>1136.05</v>
          </cell>
          <cell r="AO1031">
            <v>1276.0999999999999</v>
          </cell>
          <cell r="AP1031">
            <v>1416.15</v>
          </cell>
          <cell r="AQ1031">
            <v>0</v>
          </cell>
          <cell r="AR1031">
            <v>200</v>
          </cell>
          <cell r="AS1031">
            <v>2660</v>
          </cell>
        </row>
        <row r="1032">
          <cell r="B1032" t="str">
            <v>MB</v>
          </cell>
          <cell r="C1032" t="str">
            <v>IMP</v>
          </cell>
          <cell r="D1032" t="str">
            <v>BT</v>
          </cell>
          <cell r="E1032" t="str">
            <v>P3</v>
          </cell>
          <cell r="F1032">
            <v>39934</v>
          </cell>
          <cell r="G1032">
            <v>40001</v>
          </cell>
          <cell r="H1032" t="str">
            <v>36GJ</v>
          </cell>
          <cell r="I1032" t="str">
            <v>9KMBH360GSA_N</v>
          </cell>
          <cell r="K1032" t="str">
            <v>bizhub 360 GSA</v>
          </cell>
          <cell r="L1032">
            <v>9660</v>
          </cell>
          <cell r="M1032">
            <v>2729</v>
          </cell>
          <cell r="N1032">
            <v>2838.1600000000003</v>
          </cell>
          <cell r="O1032">
            <v>-0.17647058823529418</v>
          </cell>
          <cell r="P1032">
            <v>2412.4360000000001</v>
          </cell>
          <cell r="Q1032">
            <v>2892.74</v>
          </cell>
          <cell r="R1032">
            <v>3268.8</v>
          </cell>
          <cell r="S1032">
            <v>4474.1000000000004</v>
          </cell>
          <cell r="T1032">
            <v>0.36564672224581479</v>
          </cell>
          <cell r="U1032">
            <v>3132</v>
          </cell>
          <cell r="V1032">
            <v>9.381864623243924E-2</v>
          </cell>
          <cell r="W1032">
            <v>2412.4360000000001</v>
          </cell>
          <cell r="X1032">
            <v>0.53920028609105741</v>
          </cell>
          <cell r="Y1032">
            <v>150</v>
          </cell>
          <cell r="Z1032">
            <v>300</v>
          </cell>
          <cell r="AA1032">
            <v>2919</v>
          </cell>
          <cell r="AB1032">
            <v>2413</v>
          </cell>
          <cell r="AC1032">
            <v>2681</v>
          </cell>
          <cell r="AD1032">
            <v>2830</v>
          </cell>
          <cell r="AE1032">
            <v>2978.32</v>
          </cell>
          <cell r="AF1032">
            <v>0.19000107443122297</v>
          </cell>
          <cell r="AG1032">
            <v>4.7060087566144618E-2</v>
          </cell>
          <cell r="AH1032">
            <v>3039</v>
          </cell>
          <cell r="AI1032">
            <v>3098</v>
          </cell>
          <cell r="AJ1032">
            <v>0.22129244673983209</v>
          </cell>
          <cell r="AK1032">
            <v>3157.5</v>
          </cell>
          <cell r="AL1032">
            <v>3217</v>
          </cell>
          <cell r="AM1032">
            <v>0.25009760646565116</v>
          </cell>
          <cell r="AN1032">
            <v>3669.23</v>
          </cell>
          <cell r="AO1032">
            <v>4121.46</v>
          </cell>
          <cell r="AP1032">
            <v>4573.6899999999996</v>
          </cell>
          <cell r="AQ1032">
            <v>0</v>
          </cell>
          <cell r="AR1032">
            <v>288</v>
          </cell>
          <cell r="AS1032">
            <v>9660</v>
          </cell>
        </row>
        <row r="1033">
          <cell r="B1033" t="str">
            <v>MB</v>
          </cell>
          <cell r="C1033" t="str">
            <v>IMP</v>
          </cell>
          <cell r="D1033" t="str">
            <v>BT</v>
          </cell>
          <cell r="E1033" t="str">
            <v>P3</v>
          </cell>
          <cell r="F1033">
            <v>39934</v>
          </cell>
          <cell r="G1033">
            <v>40001</v>
          </cell>
          <cell r="H1033" t="str">
            <v>42GJ</v>
          </cell>
          <cell r="I1033" t="str">
            <v>9KMBH420GSA_N</v>
          </cell>
          <cell r="K1033" t="str">
            <v>bizhub 420 GSA</v>
          </cell>
          <cell r="L1033">
            <v>10206</v>
          </cell>
          <cell r="M1033">
            <v>2882</v>
          </cell>
          <cell r="N1033">
            <v>2997.28</v>
          </cell>
          <cell r="O1033">
            <v>-0.17647058823529416</v>
          </cell>
          <cell r="P1033">
            <v>2547.6880000000001</v>
          </cell>
          <cell r="Q1033">
            <v>3054.92</v>
          </cell>
          <cell r="R1033">
            <v>3452.06</v>
          </cell>
          <cell r="S1033">
            <v>4993.8</v>
          </cell>
          <cell r="T1033">
            <v>0.39979975169209819</v>
          </cell>
          <cell r="U1033">
            <v>3496</v>
          </cell>
          <cell r="V1033">
            <v>0.14265446224256287</v>
          </cell>
          <cell r="W1033">
            <v>2547.6880000000001</v>
          </cell>
          <cell r="X1033">
            <v>0.51017021106171656</v>
          </cell>
          <cell r="Y1033">
            <v>150</v>
          </cell>
          <cell r="Z1033">
            <v>300</v>
          </cell>
          <cell r="AA1033">
            <v>3082</v>
          </cell>
          <cell r="AB1033">
            <v>2548</v>
          </cell>
          <cell r="AC1033">
            <v>2831</v>
          </cell>
          <cell r="AD1033">
            <v>2989</v>
          </cell>
          <cell r="AE1033">
            <v>3145.29</v>
          </cell>
          <cell r="AF1033">
            <v>0.18999901439930814</v>
          </cell>
          <cell r="AG1033">
            <v>4.7057663999186011E-2</v>
          </cell>
          <cell r="AH1033">
            <v>3209</v>
          </cell>
          <cell r="AI1033">
            <v>3272</v>
          </cell>
          <cell r="AJ1033">
            <v>0.22136674816625915</v>
          </cell>
          <cell r="AK1033">
            <v>3334.5</v>
          </cell>
          <cell r="AL1033">
            <v>3397</v>
          </cell>
          <cell r="AM1033">
            <v>0.25001825139829259</v>
          </cell>
          <cell r="AN1033">
            <v>3874.67</v>
          </cell>
          <cell r="AO1033">
            <v>4352.34</v>
          </cell>
          <cell r="AP1033">
            <v>4830.01</v>
          </cell>
          <cell r="AQ1033">
            <v>0</v>
          </cell>
          <cell r="AR1033">
            <v>288</v>
          </cell>
          <cell r="AS1033">
            <v>10206</v>
          </cell>
        </row>
        <row r="1034">
          <cell r="B1034" t="str">
            <v>MB</v>
          </cell>
          <cell r="C1034" t="str">
            <v>IMP</v>
          </cell>
          <cell r="D1034" t="str">
            <v>BT</v>
          </cell>
          <cell r="E1034" t="str">
            <v>P3</v>
          </cell>
          <cell r="F1034">
            <v>39934</v>
          </cell>
          <cell r="G1034">
            <v>40001</v>
          </cell>
          <cell r="H1034" t="str">
            <v>50GJ</v>
          </cell>
          <cell r="I1034" t="str">
            <v>9KMBH500GSA_N</v>
          </cell>
          <cell r="K1034" t="str">
            <v>bizhub 500 GSA</v>
          </cell>
          <cell r="L1034">
            <v>12915</v>
          </cell>
          <cell r="M1034">
            <v>3583</v>
          </cell>
          <cell r="N1034">
            <v>3726.32</v>
          </cell>
          <cell r="O1034">
            <v>-0.17647058823529424</v>
          </cell>
          <cell r="P1034">
            <v>3167.3719999999998</v>
          </cell>
          <cell r="Q1034">
            <v>3797.98</v>
          </cell>
          <cell r="R1034">
            <v>4291.72</v>
          </cell>
          <cell r="S1034">
            <v>6318.9</v>
          </cell>
          <cell r="T1034">
            <v>0.41028976562376357</v>
          </cell>
          <cell r="U1034">
            <v>4423</v>
          </cell>
          <cell r="V1034">
            <v>0.15751300022609085</v>
          </cell>
          <cell r="W1034">
            <v>3167.3719999999998</v>
          </cell>
          <cell r="X1034">
            <v>0.5012536992198009</v>
          </cell>
          <cell r="Y1034">
            <v>150</v>
          </cell>
          <cell r="Z1034">
            <v>300</v>
          </cell>
          <cell r="AA1034">
            <v>3832</v>
          </cell>
          <cell r="AB1034">
            <v>3168</v>
          </cell>
          <cell r="AC1034">
            <v>3520</v>
          </cell>
          <cell r="AD1034">
            <v>3716</v>
          </cell>
          <cell r="AE1034">
            <v>3910.34</v>
          </cell>
          <cell r="AF1034">
            <v>0.19000086948960968</v>
          </cell>
          <cell r="AG1034">
            <v>4.7059846458364231E-2</v>
          </cell>
          <cell r="AH1034">
            <v>3990</v>
          </cell>
          <cell r="AI1034">
            <v>4068</v>
          </cell>
          <cell r="AJ1034">
            <v>0.22139331366765</v>
          </cell>
          <cell r="AK1034">
            <v>4146</v>
          </cell>
          <cell r="AL1034">
            <v>4224</v>
          </cell>
          <cell r="AM1034">
            <v>0.25014867424242426</v>
          </cell>
          <cell r="AN1034">
            <v>4817.67</v>
          </cell>
          <cell r="AO1034">
            <v>5411.34</v>
          </cell>
          <cell r="AP1034">
            <v>6005.01</v>
          </cell>
          <cell r="AQ1034">
            <v>0</v>
          </cell>
          <cell r="AR1034">
            <v>288</v>
          </cell>
          <cell r="AS1034">
            <v>12915</v>
          </cell>
        </row>
        <row r="1035">
          <cell r="B1035" t="str">
            <v>MB</v>
          </cell>
          <cell r="C1035" t="str">
            <v>IMP</v>
          </cell>
          <cell r="D1035" t="str">
            <v>BT</v>
          </cell>
          <cell r="E1035" t="str">
            <v>P3</v>
          </cell>
          <cell r="F1035">
            <v>39934</v>
          </cell>
          <cell r="G1035">
            <v>40001</v>
          </cell>
          <cell r="H1035" t="str">
            <v>564E</v>
          </cell>
          <cell r="I1035" t="str">
            <v>9KMBHPRO1050E_X</v>
          </cell>
          <cell r="K1035" t="str">
            <v>bizhub PRO 1050e</v>
          </cell>
          <cell r="L1035">
            <v>62591</v>
          </cell>
          <cell r="M1035">
            <v>13107</v>
          </cell>
          <cell r="N1035">
            <v>13631.28</v>
          </cell>
          <cell r="O1035">
            <v>-0.17647058823529421</v>
          </cell>
          <cell r="P1035">
            <v>11586.588</v>
          </cell>
          <cell r="Q1035">
            <v>13893.42</v>
          </cell>
          <cell r="R1035">
            <v>15699.56</v>
          </cell>
          <cell r="S1035">
            <v>26775</v>
          </cell>
          <cell r="T1035">
            <v>0.49089523809523805</v>
          </cell>
          <cell r="U1035">
            <v>18743</v>
          </cell>
          <cell r="V1035">
            <v>0.27272688470362266</v>
          </cell>
          <cell r="W1035">
            <v>11586.588</v>
          </cell>
          <cell r="X1035">
            <v>0.43273904761904763</v>
          </cell>
          <cell r="Y1035">
            <v>800</v>
          </cell>
          <cell r="Z1035">
            <v>500</v>
          </cell>
          <cell r="AA1035">
            <v>14018</v>
          </cell>
          <cell r="AB1035">
            <v>11587</v>
          </cell>
          <cell r="AC1035">
            <v>12874</v>
          </cell>
          <cell r="AD1035">
            <v>13590</v>
          </cell>
          <cell r="AE1035">
            <v>14304.43</v>
          </cell>
          <cell r="AF1035">
            <v>0.19000002097252394</v>
          </cell>
          <cell r="AG1035">
            <v>4.7058848202969267E-2</v>
          </cell>
          <cell r="AH1035">
            <v>14591</v>
          </cell>
          <cell r="AI1035">
            <v>14877</v>
          </cell>
          <cell r="AJ1035">
            <v>0.22117443032869533</v>
          </cell>
          <cell r="AK1035">
            <v>15163</v>
          </cell>
          <cell r="AL1035">
            <v>15449</v>
          </cell>
          <cell r="AM1035">
            <v>0.25001048611560622</v>
          </cell>
          <cell r="AN1035">
            <v>17621.43</v>
          </cell>
          <cell r="AO1035">
            <v>19793.86</v>
          </cell>
          <cell r="AP1035">
            <v>21966.29</v>
          </cell>
          <cell r="AQ1035">
            <v>0</v>
          </cell>
          <cell r="AR1035">
            <v>811</v>
          </cell>
          <cell r="AS1035">
            <v>62591</v>
          </cell>
        </row>
        <row r="1036">
          <cell r="B1036" t="str">
            <v>MB</v>
          </cell>
          <cell r="C1036" t="str">
            <v>IMP</v>
          </cell>
          <cell r="D1036" t="str">
            <v>BT</v>
          </cell>
          <cell r="E1036" t="str">
            <v>P3</v>
          </cell>
          <cell r="F1036">
            <v>39934</v>
          </cell>
          <cell r="G1036">
            <v>40001</v>
          </cell>
          <cell r="H1036" t="str">
            <v>564J</v>
          </cell>
          <cell r="I1036" t="str">
            <v>9KMBHPRO1050EGSA_X</v>
          </cell>
          <cell r="K1036" t="str">
            <v>bizhub PRO 1050e GSA</v>
          </cell>
          <cell r="L1036">
            <v>62591</v>
          </cell>
          <cell r="M1036">
            <v>13107</v>
          </cell>
          <cell r="N1036">
            <v>13631.28</v>
          </cell>
          <cell r="O1036">
            <v>-0.17647058823529421</v>
          </cell>
          <cell r="P1036">
            <v>11586.588</v>
          </cell>
          <cell r="Q1036">
            <v>13893.42</v>
          </cell>
          <cell r="R1036">
            <v>15699.56</v>
          </cell>
          <cell r="S1036">
            <v>26775</v>
          </cell>
          <cell r="T1036">
            <v>0.49089523809523805</v>
          </cell>
          <cell r="U1036">
            <v>18743</v>
          </cell>
          <cell r="V1036">
            <v>0.27272688470362266</v>
          </cell>
          <cell r="W1036">
            <v>11586.588</v>
          </cell>
          <cell r="X1036">
            <v>0.43273904761904763</v>
          </cell>
          <cell r="Y1036">
            <v>800</v>
          </cell>
          <cell r="Z1036">
            <v>500</v>
          </cell>
          <cell r="AA1036">
            <v>14018</v>
          </cell>
          <cell r="AB1036">
            <v>11587</v>
          </cell>
          <cell r="AC1036">
            <v>12874</v>
          </cell>
          <cell r="AD1036">
            <v>13590</v>
          </cell>
          <cell r="AE1036">
            <v>14304.43</v>
          </cell>
          <cell r="AF1036">
            <v>0.19000002097252394</v>
          </cell>
          <cell r="AG1036">
            <v>4.7058848202969267E-2</v>
          </cell>
          <cell r="AH1036">
            <v>14591</v>
          </cell>
          <cell r="AI1036">
            <v>14877</v>
          </cell>
          <cell r="AJ1036">
            <v>0.22117443032869533</v>
          </cell>
          <cell r="AK1036">
            <v>15163</v>
          </cell>
          <cell r="AL1036">
            <v>15449</v>
          </cell>
          <cell r="AM1036">
            <v>0.25001048611560622</v>
          </cell>
          <cell r="AN1036">
            <v>17621.43</v>
          </cell>
          <cell r="AO1036">
            <v>19793.86</v>
          </cell>
          <cell r="AP1036">
            <v>21966.29</v>
          </cell>
          <cell r="AQ1036">
            <v>0</v>
          </cell>
          <cell r="AR1036">
            <v>811</v>
          </cell>
          <cell r="AS1036">
            <v>62591</v>
          </cell>
        </row>
        <row r="1037">
          <cell r="B1037" t="str">
            <v>MB</v>
          </cell>
          <cell r="C1037" t="str">
            <v>IMP</v>
          </cell>
          <cell r="D1037" t="str">
            <v>BT</v>
          </cell>
          <cell r="E1037" t="str">
            <v>P3</v>
          </cell>
          <cell r="F1037">
            <v>39934</v>
          </cell>
          <cell r="G1037">
            <v>40001</v>
          </cell>
          <cell r="H1037" t="str">
            <v>565E</v>
          </cell>
          <cell r="I1037" t="str">
            <v>9KMBHPRO1050EP_X</v>
          </cell>
          <cell r="K1037" t="str">
            <v xml:space="preserve">bizhub PRO 1050eP </v>
          </cell>
          <cell r="L1037">
            <v>55241</v>
          </cell>
          <cell r="M1037">
            <v>12750</v>
          </cell>
          <cell r="N1037">
            <v>13260</v>
          </cell>
          <cell r="O1037">
            <v>-0.17647058823529413</v>
          </cell>
          <cell r="P1037">
            <v>11271</v>
          </cell>
          <cell r="Q1037">
            <v>13515</v>
          </cell>
          <cell r="R1037">
            <v>15271.95</v>
          </cell>
          <cell r="S1037">
            <v>23625</v>
          </cell>
          <cell r="T1037">
            <v>0.43873015873015875</v>
          </cell>
          <cell r="U1037">
            <v>16538</v>
          </cell>
          <cell r="V1037">
            <v>0.19821018260974724</v>
          </cell>
          <cell r="W1037">
            <v>11271</v>
          </cell>
          <cell r="X1037">
            <v>0.4770793650793651</v>
          </cell>
          <cell r="Y1037">
            <v>800</v>
          </cell>
          <cell r="Z1037">
            <v>500</v>
          </cell>
          <cell r="AA1037">
            <v>13637</v>
          </cell>
          <cell r="AB1037">
            <v>11271</v>
          </cell>
          <cell r="AC1037">
            <v>12524</v>
          </cell>
          <cell r="AD1037">
            <v>13220</v>
          </cell>
          <cell r="AE1037">
            <v>13914.81</v>
          </cell>
          <cell r="AF1037">
            <v>0.18999971972308638</v>
          </cell>
          <cell r="AG1037">
            <v>4.7058493791866329E-2</v>
          </cell>
          <cell r="AH1037">
            <v>14194</v>
          </cell>
          <cell r="AI1037">
            <v>14472</v>
          </cell>
          <cell r="AJ1037">
            <v>0.22118573797678276</v>
          </cell>
          <cell r="AK1037">
            <v>14750</v>
          </cell>
          <cell r="AL1037">
            <v>15028</v>
          </cell>
          <cell r="AM1037">
            <v>0.25</v>
          </cell>
          <cell r="AN1037">
            <v>17141.310000000001</v>
          </cell>
          <cell r="AO1037">
            <v>19254.62</v>
          </cell>
          <cell r="AP1037">
            <v>21367.93</v>
          </cell>
          <cell r="AQ1037">
            <v>0</v>
          </cell>
          <cell r="AR1037">
            <v>811</v>
          </cell>
          <cell r="AS1037">
            <v>55241</v>
          </cell>
        </row>
        <row r="1038">
          <cell r="B1038" t="str">
            <v>MB</v>
          </cell>
          <cell r="C1038" t="str">
            <v>IMP</v>
          </cell>
          <cell r="D1038" t="str">
            <v>BT</v>
          </cell>
          <cell r="E1038" t="str">
            <v>P3</v>
          </cell>
          <cell r="F1038">
            <v>39934</v>
          </cell>
          <cell r="G1038">
            <v>40001</v>
          </cell>
          <cell r="H1038" t="str">
            <v>56UE</v>
          </cell>
          <cell r="I1038" t="str">
            <v>9KMBHPRO1050_X</v>
          </cell>
          <cell r="K1038" t="str">
            <v>bizhub PRO 1050</v>
          </cell>
          <cell r="L1038">
            <v>62591</v>
          </cell>
          <cell r="M1038">
            <v>80</v>
          </cell>
          <cell r="N1038">
            <v>18712</v>
          </cell>
          <cell r="O1038">
            <v>-0.17647058823529418</v>
          </cell>
          <cell r="P1038">
            <v>15905.199999999999</v>
          </cell>
          <cell r="Q1038">
            <v>0</v>
          </cell>
          <cell r="R1038">
            <v>0</v>
          </cell>
          <cell r="S1038">
            <v>26775</v>
          </cell>
          <cell r="T1038">
            <v>0.30113912231559292</v>
          </cell>
          <cell r="U1038">
            <v>18743</v>
          </cell>
          <cell r="V1038">
            <v>1.653950808301766E-3</v>
          </cell>
          <cell r="W1038">
            <v>15905.199999999999</v>
          </cell>
          <cell r="X1038">
            <v>0.59403174603174602</v>
          </cell>
          <cell r="Y1038">
            <v>800</v>
          </cell>
          <cell r="Z1038">
            <v>500</v>
          </cell>
          <cell r="AA1038">
            <v>19243</v>
          </cell>
          <cell r="AB1038">
            <v>15906</v>
          </cell>
          <cell r="AC1038">
            <v>17673</v>
          </cell>
          <cell r="AD1038">
            <v>18655</v>
          </cell>
          <cell r="AE1038">
            <v>19636.05</v>
          </cell>
          <cell r="AF1038">
            <v>0.19000002546336969</v>
          </cell>
          <cell r="AG1038">
            <v>4.705885348631722E-2</v>
          </cell>
          <cell r="AH1038">
            <v>20030</v>
          </cell>
          <cell r="AI1038">
            <v>20422</v>
          </cell>
          <cell r="AJ1038">
            <v>0.22117324454020179</v>
          </cell>
          <cell r="AK1038">
            <v>20814.5</v>
          </cell>
          <cell r="AL1038">
            <v>21207</v>
          </cell>
          <cell r="AM1038">
            <v>0.25000235771207624</v>
          </cell>
          <cell r="AN1038">
            <v>24189.21</v>
          </cell>
          <cell r="AO1038">
            <v>27171.42</v>
          </cell>
          <cell r="AP1038">
            <v>30153.63</v>
          </cell>
          <cell r="AQ1038">
            <v>0</v>
          </cell>
          <cell r="AR1038">
            <v>811</v>
          </cell>
          <cell r="AS1038">
            <v>62591</v>
          </cell>
        </row>
        <row r="1039">
          <cell r="B1039" t="str">
            <v>MB</v>
          </cell>
          <cell r="C1039" t="str">
            <v>IMP</v>
          </cell>
          <cell r="D1039" t="str">
            <v>BT</v>
          </cell>
          <cell r="E1039" t="str">
            <v>P3</v>
          </cell>
          <cell r="F1039">
            <v>39934</v>
          </cell>
          <cell r="G1039">
            <v>40001</v>
          </cell>
          <cell r="H1039" t="str">
            <v>57AJ</v>
          </cell>
          <cell r="K1039" t="str">
            <v>bizhub 750 - GSA</v>
          </cell>
          <cell r="L1039">
            <v>27030</v>
          </cell>
          <cell r="M1039">
            <v>6304</v>
          </cell>
          <cell r="N1039">
            <v>6556.16</v>
          </cell>
          <cell r="O1039">
            <v>-0.17647058823529413</v>
          </cell>
          <cell r="P1039">
            <v>5572.7359999999999</v>
          </cell>
          <cell r="Q1039">
            <v>6682.24</v>
          </cell>
          <cell r="R1039">
            <v>7550.93</v>
          </cell>
          <cell r="S1039">
            <v>11424</v>
          </cell>
          <cell r="T1039">
            <v>0.42610644257703084</v>
          </cell>
          <cell r="U1039">
            <v>7997</v>
          </cell>
          <cell r="V1039">
            <v>0.18017256471176693</v>
          </cell>
          <cell r="W1039">
            <v>5572.7359999999999</v>
          </cell>
          <cell r="X1039">
            <v>0.4878095238095238</v>
          </cell>
          <cell r="Y1039">
            <v>250</v>
          </cell>
          <cell r="Z1039">
            <v>300</v>
          </cell>
          <cell r="AA1039">
            <v>6742</v>
          </cell>
          <cell r="AB1039">
            <v>5573</v>
          </cell>
          <cell r="AC1039">
            <v>6192</v>
          </cell>
          <cell r="AD1039">
            <v>6536</v>
          </cell>
          <cell r="AE1039">
            <v>6879.92</v>
          </cell>
          <cell r="AF1039">
            <v>0.18999988371957816</v>
          </cell>
          <cell r="AG1039">
            <v>4.7058686728915486E-2</v>
          </cell>
          <cell r="AH1039">
            <v>7018</v>
          </cell>
          <cell r="AI1039">
            <v>7156</v>
          </cell>
          <cell r="AJ1039">
            <v>0.2212498602571269</v>
          </cell>
          <cell r="AK1039">
            <v>7293.5</v>
          </cell>
          <cell r="AL1039">
            <v>7431</v>
          </cell>
          <cell r="AM1039">
            <v>0.25006916969452297</v>
          </cell>
          <cell r="AN1039">
            <v>8475.7199999999993</v>
          </cell>
          <cell r="AO1039">
            <v>9520.44</v>
          </cell>
          <cell r="AP1039">
            <v>10565.16</v>
          </cell>
          <cell r="AQ1039">
            <v>0</v>
          </cell>
          <cell r="AR1039">
            <v>352</v>
          </cell>
          <cell r="AS1039">
            <v>27030</v>
          </cell>
        </row>
        <row r="1040">
          <cell r="B1040" t="str">
            <v>MB</v>
          </cell>
          <cell r="C1040" t="str">
            <v>IMP</v>
          </cell>
          <cell r="D1040" t="str">
            <v>BT</v>
          </cell>
          <cell r="E1040" t="str">
            <v>P3</v>
          </cell>
          <cell r="F1040">
            <v>39934</v>
          </cell>
          <cell r="G1040">
            <v>40001</v>
          </cell>
          <cell r="H1040" t="str">
            <v>57BJ</v>
          </cell>
          <cell r="K1040" t="str">
            <v>bizhub 600 GSA</v>
          </cell>
          <cell r="L1040">
            <v>20948</v>
          </cell>
          <cell r="M1040">
            <v>5049</v>
          </cell>
          <cell r="N1040">
            <v>5250.96</v>
          </cell>
          <cell r="O1040">
            <v>-0.17647058823529418</v>
          </cell>
          <cell r="P1040">
            <v>4463.3159999999998</v>
          </cell>
          <cell r="Q1040">
            <v>5351.94</v>
          </cell>
          <cell r="R1040">
            <v>6047.69</v>
          </cell>
          <cell r="S1040">
            <v>8935.5</v>
          </cell>
          <cell r="T1040">
            <v>0.41234849756588887</v>
          </cell>
          <cell r="U1040">
            <v>6255</v>
          </cell>
          <cell r="V1040">
            <v>0.16051798561151079</v>
          </cell>
          <cell r="W1040">
            <v>4463.3159999999998</v>
          </cell>
          <cell r="X1040">
            <v>0.49950377706899446</v>
          </cell>
          <cell r="Y1040">
            <v>250</v>
          </cell>
          <cell r="Z1040">
            <v>300</v>
          </cell>
          <cell r="AA1040">
            <v>5400</v>
          </cell>
          <cell r="AB1040">
            <v>4464</v>
          </cell>
          <cell r="AC1040">
            <v>4960</v>
          </cell>
          <cell r="AD1040">
            <v>5236</v>
          </cell>
          <cell r="AE1040">
            <v>5510.27</v>
          </cell>
          <cell r="AF1040">
            <v>0.19000048999413832</v>
          </cell>
          <cell r="AG1040">
            <v>4.7059399993103858E-2</v>
          </cell>
          <cell r="AH1040">
            <v>5622</v>
          </cell>
          <cell r="AI1040">
            <v>5732</v>
          </cell>
          <cell r="AJ1040">
            <v>0.22133356594556877</v>
          </cell>
          <cell r="AK1040">
            <v>5842</v>
          </cell>
          <cell r="AL1040">
            <v>5952</v>
          </cell>
          <cell r="AM1040">
            <v>0.25011491935483876</v>
          </cell>
          <cell r="AN1040">
            <v>6788.64</v>
          </cell>
          <cell r="AO1040">
            <v>7625.28</v>
          </cell>
          <cell r="AP1040">
            <v>8461.92</v>
          </cell>
          <cell r="AQ1040">
            <v>0</v>
          </cell>
          <cell r="AR1040">
            <v>352</v>
          </cell>
          <cell r="AS1040">
            <v>20948</v>
          </cell>
        </row>
        <row r="1041">
          <cell r="B1041" t="str">
            <v>MB</v>
          </cell>
          <cell r="C1041" t="str">
            <v>IMP</v>
          </cell>
          <cell r="D1041" t="str">
            <v>BT</v>
          </cell>
          <cell r="E1041" t="str">
            <v>P3</v>
          </cell>
          <cell r="F1041">
            <v>39934</v>
          </cell>
          <cell r="G1041">
            <v>40001</v>
          </cell>
          <cell r="H1041" t="str">
            <v>A03U011</v>
          </cell>
          <cell r="K1041" t="str">
            <v>bizhub PRO C6500 GSA</v>
          </cell>
          <cell r="L1041">
            <v>47250</v>
          </cell>
          <cell r="M1041">
            <v>13056</v>
          </cell>
          <cell r="N1041">
            <v>13578.24</v>
          </cell>
          <cell r="O1041">
            <v>-0.17647058823529421</v>
          </cell>
          <cell r="P1041">
            <v>11541.503999999999</v>
          </cell>
          <cell r="Q1041">
            <v>13839.36</v>
          </cell>
          <cell r="R1041">
            <v>15638.48</v>
          </cell>
          <cell r="S1041">
            <v>22312.5</v>
          </cell>
          <cell r="T1041">
            <v>0.39145142857142856</v>
          </cell>
          <cell r="U1041">
            <v>15619</v>
          </cell>
          <cell r="V1041">
            <v>0.13065881298418594</v>
          </cell>
          <cell r="W1041">
            <v>11541.503999999999</v>
          </cell>
          <cell r="X1041">
            <v>0.51726628571428568</v>
          </cell>
          <cell r="Y1041">
            <v>800</v>
          </cell>
          <cell r="Z1041">
            <v>500</v>
          </cell>
          <cell r="AA1041">
            <v>13964</v>
          </cell>
          <cell r="AB1041">
            <v>11542</v>
          </cell>
          <cell r="AC1041">
            <v>12824</v>
          </cell>
          <cell r="AD1041">
            <v>13537</v>
          </cell>
          <cell r="AE1041">
            <v>14248.77</v>
          </cell>
          <cell r="AF1041">
            <v>0.18999997894555118</v>
          </cell>
          <cell r="AG1041">
            <v>4.7058798759471915E-2</v>
          </cell>
          <cell r="AH1041">
            <v>14534</v>
          </cell>
          <cell r="AI1041">
            <v>14819</v>
          </cell>
          <cell r="AJ1041">
            <v>0.22116849989877865</v>
          </cell>
          <cell r="AK1041">
            <v>15104</v>
          </cell>
          <cell r="AL1041">
            <v>15389</v>
          </cell>
          <cell r="AM1041">
            <v>0.25001598544414849</v>
          </cell>
          <cell r="AN1041">
            <v>17552.95</v>
          </cell>
          <cell r="AO1041">
            <v>19716.900000000001</v>
          </cell>
          <cell r="AP1041">
            <v>21880.85</v>
          </cell>
          <cell r="AQ1041">
            <v>0</v>
          </cell>
          <cell r="AR1041">
            <v>671</v>
          </cell>
          <cell r="AS1041">
            <v>47250</v>
          </cell>
        </row>
        <row r="1042">
          <cell r="B1042" t="str">
            <v>MB</v>
          </cell>
          <cell r="C1042" t="str">
            <v>IMP</v>
          </cell>
          <cell r="D1042" t="str">
            <v>BT</v>
          </cell>
          <cell r="E1042" t="str">
            <v>P3</v>
          </cell>
          <cell r="F1042">
            <v>39974</v>
          </cell>
          <cell r="G1042">
            <v>40001</v>
          </cell>
          <cell r="H1042" t="str">
            <v>65LJ</v>
          </cell>
          <cell r="K1042" t="str">
            <v>bizhub PRO C500 GSA</v>
          </cell>
          <cell r="L1042">
            <v>35900</v>
          </cell>
          <cell r="M1042">
            <v>10260</v>
          </cell>
          <cell r="N1042">
            <v>5335.2</v>
          </cell>
          <cell r="O1042">
            <v>-0.17647058823529405</v>
          </cell>
          <cell r="P1042">
            <v>4534.92</v>
          </cell>
          <cell r="Q1042">
            <v>10875.6</v>
          </cell>
          <cell r="R1042">
            <v>12289.43</v>
          </cell>
          <cell r="S1042">
            <v>15050</v>
          </cell>
          <cell r="T1042">
            <v>0.64550166112956808</v>
          </cell>
          <cell r="U1042">
            <v>10535</v>
          </cell>
          <cell r="V1042">
            <v>0.49357380161366876</v>
          </cell>
          <cell r="W1042">
            <v>4534.92</v>
          </cell>
          <cell r="X1042">
            <v>0.8</v>
          </cell>
          <cell r="AB1042">
            <v>4535</v>
          </cell>
          <cell r="AC1042">
            <v>5039</v>
          </cell>
          <cell r="AD1042">
            <v>5319</v>
          </cell>
          <cell r="AE1042">
            <v>5598.67</v>
          </cell>
          <cell r="AF1042">
            <v>0.19000048225739327</v>
          </cell>
          <cell r="AG1042">
            <v>4.7059390891050955E-2</v>
          </cell>
          <cell r="AH1042">
            <v>5711</v>
          </cell>
          <cell r="AI1042">
            <v>5823</v>
          </cell>
          <cell r="AJ1042">
            <v>0.22120556414219472</v>
          </cell>
          <cell r="AK1042">
            <v>5935</v>
          </cell>
          <cell r="AL1042">
            <v>6047</v>
          </cell>
          <cell r="AM1042">
            <v>0.25005457251529684</v>
          </cell>
          <cell r="AN1042">
            <v>6897.19</v>
          </cell>
          <cell r="AO1042">
            <v>7747.38</v>
          </cell>
          <cell r="AP1042">
            <v>8597.57</v>
          </cell>
          <cell r="AQ1042">
            <v>0</v>
          </cell>
          <cell r="AS1042">
            <v>35900</v>
          </cell>
        </row>
        <row r="1043">
          <cell r="B1043" t="str">
            <v>MB</v>
          </cell>
          <cell r="C1043" t="str">
            <v>IMP</v>
          </cell>
          <cell r="D1043" t="str">
            <v>BT</v>
          </cell>
          <cell r="E1043" t="str">
            <v>P3</v>
          </cell>
          <cell r="F1043">
            <v>39989</v>
          </cell>
          <cell r="G1043">
            <v>40001</v>
          </cell>
          <cell r="H1043" t="str">
            <v>4038302</v>
          </cell>
          <cell r="K1043" t="str">
            <v>bizhub C252P</v>
          </cell>
          <cell r="L1043">
            <v>7655</v>
          </cell>
          <cell r="M1043">
            <v>50</v>
          </cell>
          <cell r="N1043">
            <v>2450</v>
          </cell>
          <cell r="O1043">
            <v>-0.17647058823529413</v>
          </cell>
          <cell r="S1043">
            <v>70</v>
          </cell>
          <cell r="T1043">
            <v>0.25714285714285712</v>
          </cell>
          <cell r="W1043">
            <v>2082.5</v>
          </cell>
          <cell r="X1043">
            <v>0.8</v>
          </cell>
          <cell r="AA1043">
            <v>2520</v>
          </cell>
          <cell r="AB1043">
            <v>2083</v>
          </cell>
          <cell r="AC1043">
            <v>2314</v>
          </cell>
          <cell r="AD1043">
            <v>2443</v>
          </cell>
          <cell r="AE1043">
            <v>2570.9899999999998</v>
          </cell>
          <cell r="AF1043">
            <v>0.19000073901493192</v>
          </cell>
          <cell r="AG1043">
            <v>4.7059692958743439E-2</v>
          </cell>
          <cell r="AH1043">
            <v>2623</v>
          </cell>
          <cell r="AI1043">
            <v>2674</v>
          </cell>
          <cell r="AJ1043">
            <v>0.22120418848167539</v>
          </cell>
          <cell r="AK1043">
            <v>2725.5</v>
          </cell>
          <cell r="AL1043">
            <v>2777</v>
          </cell>
          <cell r="AM1043">
            <v>0.25009002520705798</v>
          </cell>
          <cell r="AN1043">
            <v>3167.39</v>
          </cell>
          <cell r="AO1043">
            <v>3557.78</v>
          </cell>
          <cell r="AP1043">
            <v>3948.17</v>
          </cell>
          <cell r="AQ1043">
            <v>0</v>
          </cell>
          <cell r="AS1043">
            <v>7655</v>
          </cell>
        </row>
        <row r="1044">
          <cell r="B1044" t="str">
            <v>MB</v>
          </cell>
          <cell r="C1044" t="str">
            <v>IMP</v>
          </cell>
          <cell r="D1044" t="str">
            <v>BT</v>
          </cell>
          <cell r="E1044" t="str">
            <v>P3</v>
          </cell>
          <cell r="F1044">
            <v>39989</v>
          </cell>
          <cell r="G1044">
            <v>40001</v>
          </cell>
          <cell r="H1044" t="str">
            <v>4038321</v>
          </cell>
          <cell r="K1044" t="str">
            <v>bizhub C252</v>
          </cell>
          <cell r="L1044">
            <v>10450</v>
          </cell>
          <cell r="M1044">
            <v>18</v>
          </cell>
          <cell r="N1044">
            <v>2803</v>
          </cell>
          <cell r="O1044">
            <v>-0.17647058823529424</v>
          </cell>
          <cell r="S1044">
            <v>24</v>
          </cell>
          <cell r="T1044">
            <v>0.22000000000000006</v>
          </cell>
          <cell r="U1044">
            <v>20.64</v>
          </cell>
          <cell r="V1044">
            <v>9.302325581395357E-2</v>
          </cell>
          <cell r="W1044">
            <v>2382.5499999999997</v>
          </cell>
          <cell r="X1044">
            <v>0.66299999999999992</v>
          </cell>
          <cell r="AA1044">
            <v>2883</v>
          </cell>
          <cell r="AB1044">
            <v>2383</v>
          </cell>
          <cell r="AC1044">
            <v>2648</v>
          </cell>
          <cell r="AD1044">
            <v>2795</v>
          </cell>
          <cell r="AE1044">
            <v>2941.42</v>
          </cell>
          <cell r="AF1044">
            <v>0.19000006799437019</v>
          </cell>
          <cell r="AG1044">
            <v>4.705890352278834E-2</v>
          </cell>
          <cell r="AH1044">
            <v>3001</v>
          </cell>
          <cell r="AI1044">
            <v>3060</v>
          </cell>
          <cell r="AJ1044">
            <v>0.22138888888888897</v>
          </cell>
          <cell r="AK1044">
            <v>3118.5</v>
          </cell>
          <cell r="AL1044">
            <v>3177</v>
          </cell>
          <cell r="AM1044">
            <v>0.25006295247088456</v>
          </cell>
          <cell r="AN1044">
            <v>3623.66</v>
          </cell>
          <cell r="AO1044">
            <v>4070.32</v>
          </cell>
          <cell r="AP1044">
            <v>4516.9799999999996</v>
          </cell>
          <cell r="AQ1044">
            <v>0</v>
          </cell>
          <cell r="AS1044">
            <v>10450</v>
          </cell>
        </row>
        <row r="1045">
          <cell r="B1045" t="str">
            <v>MB</v>
          </cell>
          <cell r="C1045" t="str">
            <v>IMP</v>
          </cell>
          <cell r="D1045" t="str">
            <v>BT</v>
          </cell>
          <cell r="E1045" t="str">
            <v>P3</v>
          </cell>
          <cell r="F1045">
            <v>39989</v>
          </cell>
          <cell r="G1045">
            <v>40001</v>
          </cell>
          <cell r="H1045" t="str">
            <v>9J06301</v>
          </cell>
          <cell r="K1045" t="str">
            <v>Bizhub C352P Printer</v>
          </cell>
          <cell r="L1045">
            <v>10150</v>
          </cell>
          <cell r="M1045">
            <v>18</v>
          </cell>
          <cell r="N1045">
            <v>3120</v>
          </cell>
          <cell r="O1045">
            <v>-0.17647058823529413</v>
          </cell>
          <cell r="S1045">
            <v>24</v>
          </cell>
          <cell r="T1045">
            <v>0.22000000000000006</v>
          </cell>
          <cell r="U1045">
            <v>20.64</v>
          </cell>
          <cell r="V1045">
            <v>9.302325581395357E-2</v>
          </cell>
          <cell r="W1045">
            <v>2652</v>
          </cell>
          <cell r="X1045">
            <v>0.66299999999999992</v>
          </cell>
          <cell r="AA1045">
            <v>3209</v>
          </cell>
          <cell r="AB1045">
            <v>2652</v>
          </cell>
          <cell r="AC1045">
            <v>2947</v>
          </cell>
          <cell r="AD1045">
            <v>3111</v>
          </cell>
          <cell r="AE1045">
            <v>3274.07</v>
          </cell>
          <cell r="AF1045">
            <v>0.1899989920801938</v>
          </cell>
          <cell r="AG1045">
            <v>4.7057637741404479E-2</v>
          </cell>
          <cell r="AH1045">
            <v>3341</v>
          </cell>
          <cell r="AI1045">
            <v>3406</v>
          </cell>
          <cell r="AJ1045">
            <v>0.22137404580152673</v>
          </cell>
          <cell r="AK1045">
            <v>3471</v>
          </cell>
          <cell r="AL1045">
            <v>3536</v>
          </cell>
          <cell r="AM1045">
            <v>0.25</v>
          </cell>
          <cell r="AN1045">
            <v>4033.25</v>
          </cell>
          <cell r="AO1045">
            <v>4530.5</v>
          </cell>
          <cell r="AP1045">
            <v>5027.75</v>
          </cell>
          <cell r="AQ1045">
            <v>0</v>
          </cell>
          <cell r="AS1045">
            <v>10150</v>
          </cell>
        </row>
        <row r="1046">
          <cell r="B1046" t="str">
            <v>MB</v>
          </cell>
          <cell r="C1046" t="str">
            <v>IMP</v>
          </cell>
          <cell r="D1046" t="str">
            <v>BT</v>
          </cell>
          <cell r="E1046" t="str">
            <v>P3</v>
          </cell>
          <cell r="F1046">
            <v>39989</v>
          </cell>
          <cell r="G1046">
            <v>40001</v>
          </cell>
          <cell r="H1046" t="str">
            <v>9J06311</v>
          </cell>
          <cell r="I1046" t="str">
            <v>KMBHP1050A/T_</v>
          </cell>
          <cell r="K1046" t="str">
            <v>Bizhub C352 Copier/Printer/Scanner</v>
          </cell>
          <cell r="L1046">
            <v>13100</v>
          </cell>
          <cell r="M1046">
            <v>0</v>
          </cell>
          <cell r="N1046">
            <v>3754.4</v>
          </cell>
          <cell r="O1046">
            <v>-0.17647058823529424</v>
          </cell>
          <cell r="P1046" t="str">
            <v>N/A</v>
          </cell>
          <cell r="Q1046" t="str">
            <v>N/A</v>
          </cell>
          <cell r="S1046" t="str">
            <v>N/A</v>
          </cell>
          <cell r="W1046">
            <v>3191.24</v>
          </cell>
          <cell r="AA1046">
            <v>3861</v>
          </cell>
          <cell r="AB1046">
            <v>3192</v>
          </cell>
          <cell r="AC1046">
            <v>3546</v>
          </cell>
          <cell r="AD1046">
            <v>3743</v>
          </cell>
          <cell r="AE1046">
            <v>3939.8</v>
          </cell>
          <cell r="AF1046">
            <v>0.18999949236001837</v>
          </cell>
          <cell r="AG1046">
            <v>4.7058226305903873E-2</v>
          </cell>
          <cell r="AH1046">
            <v>4019</v>
          </cell>
          <cell r="AI1046">
            <v>4098</v>
          </cell>
          <cell r="AJ1046">
            <v>0.22126891166422649</v>
          </cell>
          <cell r="AK1046">
            <v>4176.5</v>
          </cell>
          <cell r="AL1046">
            <v>4255</v>
          </cell>
          <cell r="AM1046">
            <v>0.25000235017626327</v>
          </cell>
          <cell r="AN1046">
            <v>4853.3500000000004</v>
          </cell>
          <cell r="AO1046">
            <v>5451.7</v>
          </cell>
          <cell r="AP1046">
            <v>6050.05</v>
          </cell>
          <cell r="AQ1046">
            <v>0</v>
          </cell>
          <cell r="AS1046">
            <v>13100</v>
          </cell>
        </row>
        <row r="1047">
          <cell r="B1047" t="str">
            <v>MB</v>
          </cell>
          <cell r="C1047" t="str">
            <v>IMP</v>
          </cell>
          <cell r="D1047" t="str">
            <v>BT</v>
          </cell>
          <cell r="E1047" t="str">
            <v>P3</v>
          </cell>
          <cell r="F1047">
            <v>39989</v>
          </cell>
          <cell r="G1047">
            <v>40001</v>
          </cell>
          <cell r="H1047" t="str">
            <v>9J06317</v>
          </cell>
          <cell r="I1047" t="str">
            <v>KMBHP1050A/T_</v>
          </cell>
          <cell r="K1047" t="str">
            <v>Bizhub C352 (35C3) Copier/Printer/Scanner</v>
          </cell>
          <cell r="L1047">
            <v>13100</v>
          </cell>
          <cell r="M1047">
            <v>0</v>
          </cell>
          <cell r="N1047">
            <v>3754.4</v>
          </cell>
          <cell r="O1047">
            <v>-0.17647058823529424</v>
          </cell>
          <cell r="P1047" t="str">
            <v>N/A</v>
          </cell>
          <cell r="Q1047" t="str">
            <v>N/A</v>
          </cell>
          <cell r="S1047" t="str">
            <v>N/A</v>
          </cell>
          <cell r="W1047">
            <v>3191.24</v>
          </cell>
          <cell r="AA1047">
            <v>3861</v>
          </cell>
          <cell r="AB1047">
            <v>3192</v>
          </cell>
          <cell r="AC1047">
            <v>3546</v>
          </cell>
          <cell r="AD1047">
            <v>3743</v>
          </cell>
          <cell r="AE1047">
            <v>3939.8</v>
          </cell>
          <cell r="AF1047">
            <v>0.18999949236001837</v>
          </cell>
          <cell r="AG1047">
            <v>4.7058226305903873E-2</v>
          </cell>
          <cell r="AH1047">
            <v>4019</v>
          </cell>
          <cell r="AI1047">
            <v>4098</v>
          </cell>
          <cell r="AJ1047">
            <v>0.22126891166422649</v>
          </cell>
          <cell r="AK1047">
            <v>4176.5</v>
          </cell>
          <cell r="AL1047">
            <v>4255</v>
          </cell>
          <cell r="AM1047">
            <v>0.25000235017626327</v>
          </cell>
          <cell r="AN1047">
            <v>4853.3500000000004</v>
          </cell>
          <cell r="AO1047">
            <v>5451.7</v>
          </cell>
          <cell r="AP1047">
            <v>6050.05</v>
          </cell>
          <cell r="AQ1047">
            <v>0</v>
          </cell>
          <cell r="AS1047">
            <v>13100</v>
          </cell>
        </row>
        <row r="1048">
          <cell r="B1048" t="str">
            <v>MB</v>
          </cell>
          <cell r="C1048" t="str">
            <v>IMP</v>
          </cell>
          <cell r="D1048" t="str">
            <v>BT</v>
          </cell>
          <cell r="E1048" t="str">
            <v>P3</v>
          </cell>
          <cell r="F1048">
            <v>39989</v>
          </cell>
          <cell r="G1048">
            <v>40001</v>
          </cell>
          <cell r="H1048" t="str">
            <v>9J06321</v>
          </cell>
          <cell r="I1048" t="str">
            <v>KMBHP1050A/T_</v>
          </cell>
          <cell r="K1048" t="str">
            <v>Bizhub C300 Copier/Printer/Scanner</v>
          </cell>
          <cell r="L1048">
            <v>11800</v>
          </cell>
          <cell r="M1048">
            <v>0</v>
          </cell>
          <cell r="N1048">
            <v>3140.8</v>
          </cell>
          <cell r="O1048">
            <v>-0.17647058823529405</v>
          </cell>
          <cell r="P1048" t="str">
            <v>N/A</v>
          </cell>
          <cell r="Q1048" t="str">
            <v>N/A</v>
          </cell>
          <cell r="S1048" t="str">
            <v>N/A</v>
          </cell>
          <cell r="W1048">
            <v>2669.6800000000003</v>
          </cell>
          <cell r="AA1048">
            <v>3230</v>
          </cell>
          <cell r="AB1048">
            <v>2670</v>
          </cell>
          <cell r="AC1048">
            <v>2967</v>
          </cell>
          <cell r="AD1048">
            <v>3132</v>
          </cell>
          <cell r="AE1048">
            <v>3295.9</v>
          </cell>
          <cell r="AF1048">
            <v>0.18999969659273636</v>
          </cell>
          <cell r="AG1048">
            <v>4.7058466579689887E-2</v>
          </cell>
          <cell r="AH1048">
            <v>3362</v>
          </cell>
          <cell r="AI1048">
            <v>3428</v>
          </cell>
          <cell r="AJ1048">
            <v>0.22121353558926479</v>
          </cell>
          <cell r="AK1048">
            <v>3494</v>
          </cell>
          <cell r="AL1048">
            <v>3560</v>
          </cell>
          <cell r="AM1048">
            <v>0.25008988764044937</v>
          </cell>
          <cell r="AN1048">
            <v>4060.46</v>
          </cell>
          <cell r="AO1048">
            <v>4560.92</v>
          </cell>
          <cell r="AP1048">
            <v>5061.38</v>
          </cell>
          <cell r="AQ1048">
            <v>0</v>
          </cell>
          <cell r="AS1048">
            <v>11800</v>
          </cell>
        </row>
        <row r="1049">
          <cell r="B1049" t="str">
            <v>MB</v>
          </cell>
          <cell r="C1049" t="str">
            <v>IMP</v>
          </cell>
          <cell r="D1049" t="str">
            <v>BT</v>
          </cell>
          <cell r="E1049" t="str">
            <v>P3</v>
          </cell>
          <cell r="F1049">
            <v>39990</v>
          </cell>
          <cell r="G1049">
            <v>40001</v>
          </cell>
          <cell r="H1049" t="str">
            <v>950240</v>
          </cell>
          <cell r="K1049" t="str">
            <v>7022 Digital Copier</v>
          </cell>
          <cell r="L1049">
            <v>5420</v>
          </cell>
          <cell r="M1049">
            <v>1.3</v>
          </cell>
          <cell r="N1049">
            <v>1659</v>
          </cell>
          <cell r="S1049">
            <v>49.95</v>
          </cell>
          <cell r="W1049">
            <v>1410.1499999999999</v>
          </cell>
          <cell r="AA1049">
            <v>250</v>
          </cell>
          <cell r="AB1049">
            <v>1411</v>
          </cell>
          <cell r="AC1049">
            <v>1567</v>
          </cell>
          <cell r="AD1049">
            <v>1654</v>
          </cell>
          <cell r="AE1049">
            <v>1740.93</v>
          </cell>
          <cell r="AF1049">
            <v>0.19000189553859156</v>
          </cell>
          <cell r="AG1049">
            <v>4.7061053574813494E-2</v>
          </cell>
          <cell r="AH1049">
            <v>1776</v>
          </cell>
          <cell r="AI1049">
            <v>1811</v>
          </cell>
          <cell r="AJ1049">
            <v>0.2213418001104363</v>
          </cell>
          <cell r="AK1049">
            <v>1846</v>
          </cell>
          <cell r="AL1049">
            <v>1881</v>
          </cell>
          <cell r="AM1049">
            <v>0.25031897926634777</v>
          </cell>
          <cell r="AN1049">
            <v>2145.1999999999998</v>
          </cell>
          <cell r="AO1049">
            <v>2409.4</v>
          </cell>
          <cell r="AP1049">
            <v>2673.6</v>
          </cell>
          <cell r="AQ1049">
            <v>0</v>
          </cell>
          <cell r="AS1049">
            <v>5420</v>
          </cell>
        </row>
        <row r="1050">
          <cell r="B1050" t="str">
            <v>MB</v>
          </cell>
          <cell r="C1050" t="str">
            <v>IMP</v>
          </cell>
          <cell r="D1050" t="str">
            <v>BT</v>
          </cell>
          <cell r="E1050" t="str">
            <v>P3</v>
          </cell>
          <cell r="F1050">
            <v>39990</v>
          </cell>
          <cell r="G1050">
            <v>40001</v>
          </cell>
          <cell r="H1050" t="str">
            <v>950241</v>
          </cell>
          <cell r="K1050" t="str">
            <v>7130 Digital Copier</v>
          </cell>
          <cell r="L1050">
            <v>7370</v>
          </cell>
          <cell r="M1050">
            <v>1680</v>
          </cell>
          <cell r="N1050">
            <v>1717</v>
          </cell>
          <cell r="W1050">
            <v>1459.45</v>
          </cell>
          <cell r="AA1050">
            <v>8000</v>
          </cell>
          <cell r="AB1050">
            <v>1460</v>
          </cell>
          <cell r="AC1050">
            <v>1622</v>
          </cell>
          <cell r="AD1050">
            <v>1712</v>
          </cell>
          <cell r="AE1050">
            <v>1801.79</v>
          </cell>
          <cell r="AF1050">
            <v>0.18999994449963642</v>
          </cell>
          <cell r="AG1050">
            <v>4.7058758234866417E-2</v>
          </cell>
          <cell r="AH1050">
            <v>1838</v>
          </cell>
          <cell r="AI1050">
            <v>1874</v>
          </cell>
          <cell r="AJ1050">
            <v>0.22121131270010669</v>
          </cell>
          <cell r="AK1050">
            <v>1910</v>
          </cell>
          <cell r="AL1050">
            <v>1946</v>
          </cell>
          <cell r="AM1050">
            <v>0.25002569373072969</v>
          </cell>
          <cell r="AN1050">
            <v>2219.63</v>
          </cell>
          <cell r="AO1050">
            <v>2493.2600000000002</v>
          </cell>
          <cell r="AP1050">
            <v>2766.89</v>
          </cell>
          <cell r="AQ1050">
            <v>0</v>
          </cell>
          <cell r="AS1050">
            <v>7370</v>
          </cell>
        </row>
        <row r="1051">
          <cell r="B1051" t="str">
            <v>MB</v>
          </cell>
          <cell r="C1051" t="str">
            <v>IMP</v>
          </cell>
          <cell r="D1051" t="str">
            <v>BT</v>
          </cell>
          <cell r="E1051" t="str">
            <v>P3</v>
          </cell>
          <cell r="F1051">
            <v>39990</v>
          </cell>
          <cell r="G1051">
            <v>40001</v>
          </cell>
          <cell r="H1051" t="str">
            <v>950260</v>
          </cell>
          <cell r="K1051" t="str">
            <v>7115 Digital Copier</v>
          </cell>
          <cell r="L1051">
            <v>3020</v>
          </cell>
          <cell r="M1051">
            <v>2400</v>
          </cell>
          <cell r="N1051">
            <v>1097</v>
          </cell>
          <cell r="W1051">
            <v>932.44999999999993</v>
          </cell>
          <cell r="AA1051">
            <v>10000</v>
          </cell>
          <cell r="AB1051">
            <v>933</v>
          </cell>
          <cell r="AC1051">
            <v>1037</v>
          </cell>
          <cell r="AD1051">
            <v>1095</v>
          </cell>
          <cell r="AE1051">
            <v>1151.17</v>
          </cell>
          <cell r="AF1051">
            <v>0.18999800203271466</v>
          </cell>
          <cell r="AG1051">
            <v>4.7056472979664227E-2</v>
          </cell>
          <cell r="AH1051">
            <v>1175</v>
          </cell>
          <cell r="AI1051">
            <v>1198</v>
          </cell>
          <cell r="AJ1051">
            <v>0.22166110183639404</v>
          </cell>
          <cell r="AK1051">
            <v>1221</v>
          </cell>
          <cell r="AL1051">
            <v>1244</v>
          </cell>
          <cell r="AM1051">
            <v>0.25044212218649525</v>
          </cell>
          <cell r="AN1051">
            <v>1418.65</v>
          </cell>
          <cell r="AO1051">
            <v>1593.3</v>
          </cell>
          <cell r="AP1051">
            <v>1767.95</v>
          </cell>
          <cell r="AQ1051">
            <v>0</v>
          </cell>
          <cell r="AS1051">
            <v>3020</v>
          </cell>
        </row>
        <row r="1052">
          <cell r="B1052" t="str">
            <v>MB</v>
          </cell>
          <cell r="C1052" t="str">
            <v>IMP</v>
          </cell>
          <cell r="D1052" t="str">
            <v>BT</v>
          </cell>
          <cell r="E1052" t="str">
            <v>P3</v>
          </cell>
          <cell r="F1052">
            <v>39990</v>
          </cell>
          <cell r="G1052">
            <v>40001</v>
          </cell>
          <cell r="H1052" t="str">
            <v>950261</v>
          </cell>
          <cell r="K1052" t="str">
            <v>7118 Digital Copier</v>
          </cell>
          <cell r="L1052">
            <v>3540</v>
          </cell>
          <cell r="M1052">
            <v>480</v>
          </cell>
          <cell r="N1052">
            <v>1247</v>
          </cell>
          <cell r="W1052">
            <v>1059.95</v>
          </cell>
          <cell r="AA1052">
            <v>2500</v>
          </cell>
          <cell r="AB1052">
            <v>1060</v>
          </cell>
          <cell r="AC1052">
            <v>1178</v>
          </cell>
          <cell r="AD1052">
            <v>1244</v>
          </cell>
          <cell r="AE1052">
            <v>1308.58</v>
          </cell>
          <cell r="AF1052">
            <v>0.18999984716257309</v>
          </cell>
          <cell r="AG1052">
            <v>4.7058643720674267E-2</v>
          </cell>
          <cell r="AH1052">
            <v>1336</v>
          </cell>
          <cell r="AI1052">
            <v>1362</v>
          </cell>
          <cell r="AJ1052">
            <v>0.22176945668135092</v>
          </cell>
          <cell r="AK1052">
            <v>1388</v>
          </cell>
          <cell r="AL1052">
            <v>1414</v>
          </cell>
          <cell r="AM1052">
            <v>0.25038896746817535</v>
          </cell>
          <cell r="AN1052">
            <v>1612.56</v>
          </cell>
          <cell r="AO1052">
            <v>1811.12</v>
          </cell>
          <cell r="AP1052">
            <v>2009.68</v>
          </cell>
          <cell r="AQ1052">
            <v>0</v>
          </cell>
          <cell r="AS1052">
            <v>3540</v>
          </cell>
        </row>
        <row r="1053">
          <cell r="B1053" t="str">
            <v>MB</v>
          </cell>
          <cell r="C1053" t="str">
            <v>IMP</v>
          </cell>
          <cell r="D1053" t="str">
            <v>BT</v>
          </cell>
          <cell r="E1053" t="str">
            <v>P3</v>
          </cell>
          <cell r="F1053">
            <v>39990</v>
          </cell>
          <cell r="G1053">
            <v>40001</v>
          </cell>
          <cell r="H1053" t="str">
            <v>950262</v>
          </cell>
          <cell r="K1053" t="str">
            <v>7115F Digital Copier</v>
          </cell>
          <cell r="L1053">
            <v>4020</v>
          </cell>
          <cell r="M1053">
            <v>63.2</v>
          </cell>
          <cell r="N1053">
            <v>1637</v>
          </cell>
          <cell r="O1053">
            <v>-0.17647058823529416</v>
          </cell>
          <cell r="S1053">
            <v>99</v>
          </cell>
          <cell r="T1053">
            <v>0.34246464646464642</v>
          </cell>
          <cell r="U1053">
            <v>76.665599999999998</v>
          </cell>
          <cell r="V1053">
            <v>0.15090992570331407</v>
          </cell>
          <cell r="W1053">
            <v>1391.45</v>
          </cell>
          <cell r="X1053">
            <v>0.55890505050505057</v>
          </cell>
          <cell r="AB1053">
            <v>1392</v>
          </cell>
          <cell r="AC1053">
            <v>1547</v>
          </cell>
          <cell r="AD1053">
            <v>1633</v>
          </cell>
          <cell r="AE1053">
            <v>1717.84</v>
          </cell>
          <cell r="AF1053">
            <v>0.19000023285055645</v>
          </cell>
          <cell r="AG1053">
            <v>4.7059097471242914E-2</v>
          </cell>
          <cell r="AH1053">
            <v>1753</v>
          </cell>
          <cell r="AI1053">
            <v>1787</v>
          </cell>
          <cell r="AJ1053">
            <v>0.22134862898712923</v>
          </cell>
          <cell r="AK1053">
            <v>1821.5</v>
          </cell>
          <cell r="AL1053">
            <v>1856</v>
          </cell>
          <cell r="AM1053">
            <v>0.25029633620689651</v>
          </cell>
          <cell r="AN1053">
            <v>2116.71</v>
          </cell>
          <cell r="AO1053">
            <v>2377.42</v>
          </cell>
          <cell r="AP1053">
            <v>2638.13</v>
          </cell>
          <cell r="AQ1053">
            <v>0</v>
          </cell>
          <cell r="AS1053">
            <v>4020</v>
          </cell>
        </row>
        <row r="1054">
          <cell r="B1054" t="str">
            <v>MB</v>
          </cell>
          <cell r="C1054" t="str">
            <v>IMP</v>
          </cell>
          <cell r="D1054" t="str">
            <v>BT</v>
          </cell>
          <cell r="E1054" t="str">
            <v>P3</v>
          </cell>
          <cell r="F1054">
            <v>39990</v>
          </cell>
          <cell r="G1054">
            <v>40001</v>
          </cell>
          <cell r="H1054" t="str">
            <v>950263</v>
          </cell>
          <cell r="I1054" t="str">
            <v>9KMKIP3101_N</v>
          </cell>
          <cell r="J1054" t="str">
            <v>PDV-3E/KMS</v>
          </cell>
          <cell r="K1054" t="str">
            <v>7118F Digital Copier</v>
          </cell>
          <cell r="L1054">
            <v>4540</v>
          </cell>
          <cell r="M1054" t="str">
            <v>Refer KIP</v>
          </cell>
          <cell r="N1054">
            <v>1694</v>
          </cell>
          <cell r="S1054">
            <v>0</v>
          </cell>
          <cell r="W1054">
            <v>1439.8999999999999</v>
          </cell>
          <cell r="AB1054">
            <v>1440</v>
          </cell>
          <cell r="AC1054">
            <v>1600</v>
          </cell>
          <cell r="AD1054">
            <v>1689</v>
          </cell>
          <cell r="AE1054">
            <v>1777.65</v>
          </cell>
          <cell r="AF1054">
            <v>0.18999803110848604</v>
          </cell>
          <cell r="AG1054">
            <v>4.7056507186454072E-2</v>
          </cell>
          <cell r="AH1054">
            <v>1814</v>
          </cell>
          <cell r="AI1054">
            <v>1849</v>
          </cell>
          <cell r="AJ1054">
            <v>0.22125473228772316</v>
          </cell>
          <cell r="AK1054">
            <v>1884.5</v>
          </cell>
          <cell r="AL1054">
            <v>1920</v>
          </cell>
          <cell r="AM1054">
            <v>0.2500520833333334</v>
          </cell>
          <cell r="AN1054">
            <v>2189.9499999999998</v>
          </cell>
          <cell r="AO1054">
            <v>2459.9</v>
          </cell>
          <cell r="AP1054">
            <v>2729.85</v>
          </cell>
          <cell r="AQ1054">
            <v>0</v>
          </cell>
          <cell r="AS1054">
            <v>4540</v>
          </cell>
        </row>
        <row r="1055">
          <cell r="B1055" t="str">
            <v>MB</v>
          </cell>
          <cell r="C1055" t="str">
            <v>IMP</v>
          </cell>
          <cell r="D1055" t="str">
            <v>BT</v>
          </cell>
          <cell r="E1055" t="str">
            <v>P3</v>
          </cell>
          <cell r="F1055">
            <v>39990</v>
          </cell>
          <cell r="G1055">
            <v>40001</v>
          </cell>
          <cell r="H1055" t="str">
            <v>950360</v>
          </cell>
          <cell r="J1055" t="str">
            <v>KMBU</v>
          </cell>
          <cell r="K1055" t="str">
            <v>7135 Digital Copier</v>
          </cell>
          <cell r="L1055">
            <v>8020</v>
          </cell>
          <cell r="M1055" t="str">
            <v>Refer KIP</v>
          </cell>
          <cell r="N1055">
            <v>1774</v>
          </cell>
          <cell r="S1055">
            <v>0</v>
          </cell>
          <cell r="W1055">
            <v>1507.8999999999999</v>
          </cell>
          <cell r="AB1055">
            <v>1508</v>
          </cell>
          <cell r="AC1055">
            <v>1676</v>
          </cell>
          <cell r="AD1055">
            <v>1769</v>
          </cell>
          <cell r="AE1055">
            <v>1861.6</v>
          </cell>
          <cell r="AF1055">
            <v>0.18999785131070052</v>
          </cell>
          <cell r="AG1055">
            <v>4.7056295659647571E-2</v>
          </cell>
          <cell r="AH1055">
            <v>1900</v>
          </cell>
          <cell r="AI1055">
            <v>1937</v>
          </cell>
          <cell r="AJ1055">
            <v>0.22152813629323703</v>
          </cell>
          <cell r="AK1055">
            <v>1974</v>
          </cell>
          <cell r="AL1055">
            <v>2011</v>
          </cell>
          <cell r="AM1055">
            <v>0.25017404276479371</v>
          </cell>
          <cell r="AN1055">
            <v>2293.61</v>
          </cell>
          <cell r="AO1055">
            <v>2576.2199999999998</v>
          </cell>
          <cell r="AP1055">
            <v>2858.83</v>
          </cell>
          <cell r="AQ1055">
            <v>0</v>
          </cell>
          <cell r="AS1055">
            <v>8020</v>
          </cell>
        </row>
        <row r="1056">
          <cell r="B1056" t="str">
            <v>MB</v>
          </cell>
          <cell r="C1056" t="str">
            <v>IMP</v>
          </cell>
          <cell r="D1056" t="str">
            <v>BT</v>
          </cell>
          <cell r="E1056" t="str">
            <v>P3</v>
          </cell>
          <cell r="F1056">
            <v>39990</v>
          </cell>
          <cell r="G1056">
            <v>40001</v>
          </cell>
          <cell r="H1056" t="str">
            <v>950369</v>
          </cell>
          <cell r="J1056" t="str">
            <v>KMBS</v>
          </cell>
          <cell r="K1056" t="str">
            <v>7135 Digital Copier GSA</v>
          </cell>
          <cell r="L1056">
            <v>8020</v>
          </cell>
          <cell r="N1056">
            <v>1774</v>
          </cell>
          <cell r="P1056" t="str">
            <v>N/A</v>
          </cell>
          <cell r="Q1056" t="str">
            <v>N/A</v>
          </cell>
          <cell r="S1056" t="str">
            <v>N/A</v>
          </cell>
          <cell r="W1056">
            <v>1507.8999999999999</v>
          </cell>
          <cell r="AA1056">
            <v>1200</v>
          </cell>
          <cell r="AB1056">
            <v>1508</v>
          </cell>
          <cell r="AC1056">
            <v>1676</v>
          </cell>
          <cell r="AD1056">
            <v>1769</v>
          </cell>
          <cell r="AE1056">
            <v>1861.6</v>
          </cell>
          <cell r="AF1056">
            <v>0.18999785131070052</v>
          </cell>
          <cell r="AG1056">
            <v>4.7056295659647571E-2</v>
          </cell>
          <cell r="AH1056">
            <v>1900</v>
          </cell>
          <cell r="AI1056">
            <v>1937</v>
          </cell>
          <cell r="AJ1056">
            <v>0.22152813629323703</v>
          </cell>
          <cell r="AK1056">
            <v>1974</v>
          </cell>
          <cell r="AL1056">
            <v>2011</v>
          </cell>
          <cell r="AM1056">
            <v>0.25017404276479371</v>
          </cell>
          <cell r="AN1056">
            <v>2293.61</v>
          </cell>
          <cell r="AO1056">
            <v>2576.2199999999998</v>
          </cell>
          <cell r="AP1056">
            <v>2858.83</v>
          </cell>
          <cell r="AQ1056">
            <v>0</v>
          </cell>
          <cell r="AS1056">
            <v>8020</v>
          </cell>
        </row>
        <row r="1057">
          <cell r="B1057" t="str">
            <v>MB</v>
          </cell>
          <cell r="C1057" t="str">
            <v>IMP</v>
          </cell>
          <cell r="D1057" t="str">
            <v>BT</v>
          </cell>
          <cell r="E1057" t="str">
            <v>P3</v>
          </cell>
          <cell r="F1057">
            <v>39990</v>
          </cell>
          <cell r="G1057">
            <v>40001</v>
          </cell>
          <cell r="H1057" t="str">
            <v>950549</v>
          </cell>
          <cell r="J1057" t="str">
            <v>KMBS</v>
          </cell>
          <cell r="K1057" t="str">
            <v>Force65 Network Printing System</v>
          </cell>
          <cell r="L1057">
            <v>22100</v>
          </cell>
          <cell r="N1057">
            <v>6014</v>
          </cell>
          <cell r="P1057" t="str">
            <v>N/A</v>
          </cell>
          <cell r="Q1057" t="str">
            <v>N/A</v>
          </cell>
          <cell r="S1057" t="str">
            <v>N/A</v>
          </cell>
          <cell r="W1057">
            <v>5111.8999999999996</v>
          </cell>
          <cell r="AA1057">
            <v>1200</v>
          </cell>
          <cell r="AB1057">
            <v>5112</v>
          </cell>
          <cell r="AC1057">
            <v>5680</v>
          </cell>
          <cell r="AD1057">
            <v>5996</v>
          </cell>
          <cell r="AE1057">
            <v>6310.99</v>
          </cell>
          <cell r="AF1057">
            <v>0.19000030106211549</v>
          </cell>
          <cell r="AG1057">
            <v>4.7059177720135792E-2</v>
          </cell>
          <cell r="AH1057">
            <v>6438</v>
          </cell>
          <cell r="AI1057">
            <v>6564</v>
          </cell>
          <cell r="AJ1057">
            <v>0.22122181596587454</v>
          </cell>
          <cell r="AK1057">
            <v>6690</v>
          </cell>
          <cell r="AL1057">
            <v>6816</v>
          </cell>
          <cell r="AM1057">
            <v>0.25001467136150241</v>
          </cell>
          <cell r="AN1057">
            <v>7774.45</v>
          </cell>
          <cell r="AO1057">
            <v>8732.9</v>
          </cell>
          <cell r="AP1057">
            <v>9691.35</v>
          </cell>
          <cell r="AQ1057">
            <v>0</v>
          </cell>
          <cell r="AS1057">
            <v>22100</v>
          </cell>
        </row>
        <row r="1058">
          <cell r="B1058" t="str">
            <v>MB</v>
          </cell>
          <cell r="C1058" t="str">
            <v>IMP</v>
          </cell>
          <cell r="D1058" t="str">
            <v>BT</v>
          </cell>
          <cell r="E1058" t="str">
            <v>P3</v>
          </cell>
          <cell r="F1058">
            <v>39990</v>
          </cell>
          <cell r="G1058">
            <v>40001</v>
          </cell>
          <cell r="H1058" t="str">
            <v>950550</v>
          </cell>
          <cell r="J1058" t="str">
            <v>KMBS</v>
          </cell>
          <cell r="K1058" t="str">
            <v>7165 Digital Copier</v>
          </cell>
          <cell r="L1058">
            <v>24110</v>
          </cell>
          <cell r="N1058">
            <v>7004</v>
          </cell>
          <cell r="P1058" t="str">
            <v>N/A</v>
          </cell>
          <cell r="Q1058" t="str">
            <v>N/A</v>
          </cell>
          <cell r="S1058" t="str">
            <v>N/A</v>
          </cell>
          <cell r="W1058">
            <v>5953.4</v>
          </cell>
          <cell r="AA1058">
            <v>8500</v>
          </cell>
          <cell r="AB1058">
            <v>5954</v>
          </cell>
          <cell r="AC1058">
            <v>6615</v>
          </cell>
          <cell r="AD1058">
            <v>6983</v>
          </cell>
          <cell r="AE1058">
            <v>7349.88</v>
          </cell>
          <cell r="AF1058">
            <v>0.19000038095860075</v>
          </cell>
          <cell r="AG1058">
            <v>4.7059271716000821E-2</v>
          </cell>
          <cell r="AH1058">
            <v>7497</v>
          </cell>
          <cell r="AI1058">
            <v>7644</v>
          </cell>
          <cell r="AJ1058">
            <v>0.22116692830978549</v>
          </cell>
          <cell r="AK1058">
            <v>7791</v>
          </cell>
          <cell r="AL1058">
            <v>7938</v>
          </cell>
          <cell r="AM1058">
            <v>0.25001259763164529</v>
          </cell>
          <cell r="AN1058">
            <v>9054.23</v>
          </cell>
          <cell r="AO1058">
            <v>10170.459999999999</v>
          </cell>
          <cell r="AP1058">
            <v>11286.69</v>
          </cell>
          <cell r="AQ1058">
            <v>0</v>
          </cell>
          <cell r="AS1058">
            <v>24110</v>
          </cell>
        </row>
        <row r="1059">
          <cell r="B1059" t="str">
            <v>MB</v>
          </cell>
          <cell r="C1059" t="str">
            <v>IMP</v>
          </cell>
          <cell r="D1059" t="str">
            <v>BT</v>
          </cell>
          <cell r="E1059" t="str">
            <v>P3</v>
          </cell>
          <cell r="F1059">
            <v>39990</v>
          </cell>
          <cell r="G1059">
            <v>40001</v>
          </cell>
          <cell r="H1059" t="str">
            <v>950643</v>
          </cell>
          <cell r="J1059" t="str">
            <v>KMBS</v>
          </cell>
          <cell r="K1059" t="str">
            <v>Force 75 Network Printing System</v>
          </cell>
          <cell r="L1059">
            <v>28200</v>
          </cell>
          <cell r="N1059">
            <v>9701</v>
          </cell>
          <cell r="P1059" t="str">
            <v>N/A</v>
          </cell>
          <cell r="Q1059" t="str">
            <v>N/A</v>
          </cell>
          <cell r="S1059" t="str">
            <v>N/A</v>
          </cell>
          <cell r="W1059">
            <v>8245.85</v>
          </cell>
          <cell r="AA1059">
            <v>6500</v>
          </cell>
          <cell r="AB1059">
            <v>8246</v>
          </cell>
          <cell r="AC1059">
            <v>9163</v>
          </cell>
          <cell r="AD1059">
            <v>9672</v>
          </cell>
          <cell r="AE1059">
            <v>10180.06</v>
          </cell>
          <cell r="AF1059">
            <v>0.18999986247625253</v>
          </cell>
          <cell r="AG1059">
            <v>4.7058661736767711E-2</v>
          </cell>
          <cell r="AH1059">
            <v>10385</v>
          </cell>
          <cell r="AI1059">
            <v>10588</v>
          </cell>
          <cell r="AJ1059">
            <v>0.22120797128825082</v>
          </cell>
          <cell r="AK1059">
            <v>10791.5</v>
          </cell>
          <cell r="AL1059">
            <v>10995</v>
          </cell>
          <cell r="AM1059">
            <v>0.25003638017280577</v>
          </cell>
          <cell r="AN1059">
            <v>12540.96</v>
          </cell>
          <cell r="AO1059">
            <v>14086.92</v>
          </cell>
          <cell r="AP1059">
            <v>15632.88</v>
          </cell>
          <cell r="AQ1059">
            <v>0</v>
          </cell>
          <cell r="AS1059">
            <v>28200</v>
          </cell>
        </row>
        <row r="1060">
          <cell r="B1060" t="str">
            <v>MB</v>
          </cell>
          <cell r="C1060" t="str">
            <v>IMP</v>
          </cell>
          <cell r="D1060" t="str">
            <v>BT</v>
          </cell>
          <cell r="E1060" t="str">
            <v>P3</v>
          </cell>
          <cell r="F1060">
            <v>39990</v>
          </cell>
          <cell r="G1060">
            <v>40001</v>
          </cell>
          <cell r="H1060" t="str">
            <v>950706</v>
          </cell>
          <cell r="J1060" t="str">
            <v>KMBS</v>
          </cell>
          <cell r="K1060" t="str">
            <v>7415 Digital Copier (Incl. Imaging Cartridge)</v>
          </cell>
          <cell r="L1060">
            <v>1855</v>
          </cell>
          <cell r="N1060">
            <v>680</v>
          </cell>
          <cell r="P1060" t="str">
            <v>N/A</v>
          </cell>
          <cell r="Q1060" t="str">
            <v>N/A</v>
          </cell>
          <cell r="S1060" t="str">
            <v>N/A</v>
          </cell>
          <cell r="W1060">
            <v>578</v>
          </cell>
          <cell r="AA1060">
            <v>5000</v>
          </cell>
          <cell r="AB1060">
            <v>578</v>
          </cell>
          <cell r="AC1060">
            <v>643</v>
          </cell>
          <cell r="AD1060">
            <v>679</v>
          </cell>
          <cell r="AE1060">
            <v>713.58</v>
          </cell>
          <cell r="AF1060">
            <v>0.18999971972308646</v>
          </cell>
          <cell r="AG1060">
            <v>4.705849379186642E-2</v>
          </cell>
          <cell r="AH1060">
            <v>729</v>
          </cell>
          <cell r="AI1060">
            <v>743</v>
          </cell>
          <cell r="AJ1060">
            <v>0.22207267833109018</v>
          </cell>
          <cell r="AK1060">
            <v>757</v>
          </cell>
          <cell r="AL1060">
            <v>771</v>
          </cell>
          <cell r="AM1060">
            <v>0.2503242542153048</v>
          </cell>
          <cell r="AN1060">
            <v>879.29</v>
          </cell>
          <cell r="AO1060">
            <v>987.58</v>
          </cell>
          <cell r="AP1060">
            <v>1095.8699999999999</v>
          </cell>
          <cell r="AQ1060">
            <v>0</v>
          </cell>
          <cell r="AS1060">
            <v>1855</v>
          </cell>
        </row>
        <row r="1061">
          <cell r="B1061" t="str">
            <v>MB</v>
          </cell>
          <cell r="C1061" t="str">
            <v>IMP</v>
          </cell>
          <cell r="D1061" t="str">
            <v>BT</v>
          </cell>
          <cell r="E1061" t="str">
            <v>P3</v>
          </cell>
          <cell r="F1061">
            <v>39990</v>
          </cell>
          <cell r="G1061">
            <v>40001</v>
          </cell>
          <cell r="H1061" t="str">
            <v>950950</v>
          </cell>
          <cell r="J1061" t="str">
            <v>KMBS</v>
          </cell>
          <cell r="K1061" t="str">
            <v>7085 Digital Copier w/RADF (DF-317)</v>
          </cell>
          <cell r="L1061">
            <v>39610</v>
          </cell>
          <cell r="N1061">
            <v>12296</v>
          </cell>
          <cell r="P1061" t="str">
            <v>N/A</v>
          </cell>
          <cell r="Q1061" t="str">
            <v>N/A</v>
          </cell>
          <cell r="S1061" t="str">
            <v>N/A</v>
          </cell>
          <cell r="W1061">
            <v>10451.6</v>
          </cell>
          <cell r="AA1061">
            <v>2500</v>
          </cell>
          <cell r="AB1061">
            <v>10452</v>
          </cell>
          <cell r="AC1061">
            <v>11613</v>
          </cell>
          <cell r="AD1061">
            <v>12259</v>
          </cell>
          <cell r="AE1061">
            <v>12903.21</v>
          </cell>
          <cell r="AF1061">
            <v>0.19000000775000941</v>
          </cell>
          <cell r="AG1061">
            <v>4.7058832647069927E-2</v>
          </cell>
          <cell r="AH1061">
            <v>13162</v>
          </cell>
          <cell r="AI1061">
            <v>13420</v>
          </cell>
          <cell r="AJ1061">
            <v>0.22119225037257823</v>
          </cell>
          <cell r="AK1061">
            <v>13678</v>
          </cell>
          <cell r="AL1061">
            <v>13936</v>
          </cell>
          <cell r="AM1061">
            <v>0.25002870264064292</v>
          </cell>
          <cell r="AN1061">
            <v>15895.54</v>
          </cell>
          <cell r="AO1061">
            <v>17855.080000000002</v>
          </cell>
          <cell r="AP1061">
            <v>19814.62</v>
          </cell>
          <cell r="AQ1061">
            <v>0</v>
          </cell>
          <cell r="AS1061">
            <v>39610</v>
          </cell>
        </row>
        <row r="1062">
          <cell r="B1062" t="str">
            <v>MB</v>
          </cell>
          <cell r="C1062" t="str">
            <v>IMP</v>
          </cell>
          <cell r="D1062" t="str">
            <v>BT</v>
          </cell>
          <cell r="E1062" t="str">
            <v>P3</v>
          </cell>
          <cell r="F1062">
            <v>39990</v>
          </cell>
          <cell r="G1062">
            <v>40001</v>
          </cell>
          <cell r="H1062" t="str">
            <v>950960</v>
          </cell>
          <cell r="I1062" t="str">
            <v>3KMHML503MLPFXBD</v>
          </cell>
          <cell r="K1062" t="str">
            <v>Force 85 Network Printing System</v>
          </cell>
          <cell r="L1062">
            <v>36700</v>
          </cell>
          <cell r="M1062">
            <v>464</v>
          </cell>
          <cell r="N1062">
            <v>9815</v>
          </cell>
          <cell r="O1062">
            <v>0.18320920785375755</v>
          </cell>
          <cell r="P1062">
            <v>590.79999999999995</v>
          </cell>
          <cell r="Q1062">
            <v>491.84</v>
          </cell>
          <cell r="R1062">
            <v>531.19000000000005</v>
          </cell>
          <cell r="S1062">
            <v>738.5</v>
          </cell>
          <cell r="T1062">
            <v>0.34656736628300611</v>
          </cell>
          <cell r="U1062">
            <v>571.89440000000002</v>
          </cell>
          <cell r="V1062">
            <v>0.15620785935305542</v>
          </cell>
          <cell r="W1062">
            <v>8342.75</v>
          </cell>
          <cell r="X1062">
            <v>0.79999999999999993</v>
          </cell>
          <cell r="AA1062">
            <v>715</v>
          </cell>
          <cell r="AB1062">
            <v>8343</v>
          </cell>
          <cell r="AC1062">
            <v>9270</v>
          </cell>
          <cell r="AD1062">
            <v>9785</v>
          </cell>
          <cell r="AE1062">
            <v>10299.69</v>
          </cell>
          <cell r="AF1062">
            <v>0.18999989320066918</v>
          </cell>
          <cell r="AG1062">
            <v>4.7058697883140217E-2</v>
          </cell>
          <cell r="AH1062">
            <v>10506</v>
          </cell>
          <cell r="AI1062">
            <v>10712</v>
          </cell>
          <cell r="AJ1062">
            <v>0.22117718446601942</v>
          </cell>
          <cell r="AK1062">
            <v>10918</v>
          </cell>
          <cell r="AL1062">
            <v>11124</v>
          </cell>
          <cell r="AM1062">
            <v>0.25002247393024091</v>
          </cell>
          <cell r="AN1062">
            <v>12688.18</v>
          </cell>
          <cell r="AO1062">
            <v>14252.36</v>
          </cell>
          <cell r="AP1062">
            <v>15816.54</v>
          </cell>
          <cell r="AQ1062">
            <v>0</v>
          </cell>
          <cell r="AS1062">
            <v>36700</v>
          </cell>
        </row>
        <row r="1063">
          <cell r="B1063" t="str">
            <v>MB</v>
          </cell>
          <cell r="C1063" t="str">
            <v>IMP</v>
          </cell>
          <cell r="D1063" t="str">
            <v>BT</v>
          </cell>
          <cell r="E1063" t="str">
            <v>P3</v>
          </cell>
          <cell r="F1063">
            <v>39990</v>
          </cell>
          <cell r="G1063">
            <v>40001</v>
          </cell>
          <cell r="H1063" t="str">
            <v>960218</v>
          </cell>
          <cell r="I1063" t="str">
            <v>7640X025</v>
          </cell>
          <cell r="K1063" t="str">
            <v>7218 Digital Copier With/ Drum, Single Bypass, GDI controller</v>
          </cell>
          <cell r="L1063">
            <v>3199</v>
          </cell>
          <cell r="M1063">
            <v>622.23809523809518</v>
          </cell>
          <cell r="N1063">
            <v>1007</v>
          </cell>
          <cell r="O1063">
            <v>0.23937086709509175</v>
          </cell>
          <cell r="P1063">
            <v>858.96</v>
          </cell>
          <cell r="Q1063">
            <v>659.57</v>
          </cell>
          <cell r="R1063">
            <v>712.34</v>
          </cell>
          <cell r="S1063">
            <v>1073.7</v>
          </cell>
          <cell r="T1063">
            <v>0.39149669367607337</v>
          </cell>
          <cell r="W1063">
            <v>855.94999999999993</v>
          </cell>
          <cell r="X1063">
            <v>0.8</v>
          </cell>
          <cell r="Y1063" t="str">
            <v>Act freight</v>
          </cell>
          <cell r="AA1063">
            <v>1684</v>
          </cell>
          <cell r="AB1063">
            <v>856</v>
          </cell>
          <cell r="AC1063">
            <v>952</v>
          </cell>
          <cell r="AD1063">
            <v>1005</v>
          </cell>
          <cell r="AE1063">
            <v>1056.73</v>
          </cell>
          <cell r="AF1063">
            <v>0.19000123021017676</v>
          </cell>
          <cell r="AG1063">
            <v>4.7060270835501988E-2</v>
          </cell>
          <cell r="AH1063">
            <v>1079</v>
          </cell>
          <cell r="AI1063">
            <v>1100</v>
          </cell>
          <cell r="AJ1063">
            <v>0.22186363636363643</v>
          </cell>
          <cell r="AK1063">
            <v>1121</v>
          </cell>
          <cell r="AL1063">
            <v>1142</v>
          </cell>
          <cell r="AM1063">
            <v>0.25048161120840634</v>
          </cell>
          <cell r="AN1063">
            <v>1302.31</v>
          </cell>
          <cell r="AO1063">
            <v>1462.62</v>
          </cell>
          <cell r="AP1063">
            <v>1622.93</v>
          </cell>
          <cell r="AQ1063">
            <v>0</v>
          </cell>
          <cell r="AS1063">
            <v>3199</v>
          </cell>
        </row>
        <row r="1064">
          <cell r="B1064" t="str">
            <v>MB</v>
          </cell>
          <cell r="C1064" t="str">
            <v>IMP</v>
          </cell>
          <cell r="D1064" t="str">
            <v>BT</v>
          </cell>
          <cell r="E1064" t="str">
            <v>P3</v>
          </cell>
          <cell r="F1064">
            <v>39990</v>
          </cell>
          <cell r="G1064">
            <v>40001</v>
          </cell>
          <cell r="H1064" t="str">
            <v>960222</v>
          </cell>
          <cell r="I1064" t="str">
            <v>7640X026</v>
          </cell>
          <cell r="K1064" t="str">
            <v>DISCONTINUED - 7222 Copier</v>
          </cell>
          <cell r="L1064">
            <v>4900</v>
          </cell>
          <cell r="M1064">
            <v>1196.7142857142856</v>
          </cell>
          <cell r="N1064">
            <v>1694</v>
          </cell>
          <cell r="O1064">
            <v>0.15812429651069315</v>
          </cell>
          <cell r="P1064">
            <v>1492.5600000000002</v>
          </cell>
          <cell r="Q1064">
            <v>1268.52</v>
          </cell>
          <cell r="R1064">
            <v>1370</v>
          </cell>
          <cell r="S1064">
            <v>1865.7</v>
          </cell>
          <cell r="T1064">
            <v>0.32649943720855445</v>
          </cell>
          <cell r="W1064">
            <v>1439.8999999999999</v>
          </cell>
          <cell r="X1064">
            <v>0.8</v>
          </cell>
          <cell r="Y1064" t="str">
            <v>Act freight</v>
          </cell>
          <cell r="AA1064">
            <v>2925</v>
          </cell>
          <cell r="AB1064">
            <v>1440</v>
          </cell>
          <cell r="AC1064">
            <v>1600</v>
          </cell>
          <cell r="AD1064">
            <v>1689</v>
          </cell>
          <cell r="AE1064">
            <v>1777.65</v>
          </cell>
          <cell r="AF1064">
            <v>0.18999803110848604</v>
          </cell>
          <cell r="AG1064">
            <v>4.7056507186454072E-2</v>
          </cell>
          <cell r="AH1064">
            <v>1814</v>
          </cell>
          <cell r="AI1064">
            <v>1849</v>
          </cell>
          <cell r="AJ1064">
            <v>0.22125473228772316</v>
          </cell>
          <cell r="AK1064">
            <v>1884.5</v>
          </cell>
          <cell r="AL1064">
            <v>1920</v>
          </cell>
          <cell r="AM1064">
            <v>0.2500520833333334</v>
          </cell>
          <cell r="AN1064">
            <v>2189.9499999999998</v>
          </cell>
          <cell r="AO1064">
            <v>2459.9</v>
          </cell>
          <cell r="AP1064">
            <v>2729.85</v>
          </cell>
          <cell r="AQ1064">
            <v>0</v>
          </cell>
          <cell r="AS1064">
            <v>4900</v>
          </cell>
        </row>
        <row r="1065">
          <cell r="B1065" t="str">
            <v>MB</v>
          </cell>
          <cell r="C1065" t="str">
            <v>IMP</v>
          </cell>
          <cell r="D1065" t="str">
            <v>BT</v>
          </cell>
          <cell r="E1065" t="str">
            <v>P3</v>
          </cell>
          <cell r="F1065">
            <v>39990</v>
          </cell>
          <cell r="G1065">
            <v>40001</v>
          </cell>
          <cell r="H1065" t="str">
            <v>960228</v>
          </cell>
          <cell r="K1065" t="str">
            <v>DISCONTINUED - 7228 Copier</v>
          </cell>
          <cell r="L1065">
            <v>5800</v>
          </cell>
          <cell r="N1065">
            <v>2003</v>
          </cell>
          <cell r="O1065">
            <v>-0.17647058823529413</v>
          </cell>
          <cell r="W1065">
            <v>1702.55</v>
          </cell>
          <cell r="AA1065">
            <v>1153</v>
          </cell>
          <cell r="AB1065">
            <v>1703</v>
          </cell>
          <cell r="AC1065">
            <v>1892</v>
          </cell>
          <cell r="AD1065">
            <v>1997</v>
          </cell>
          <cell r="AE1065">
            <v>2101.91</v>
          </cell>
          <cell r="AF1065">
            <v>0.18999862030248676</v>
          </cell>
          <cell r="AG1065">
            <v>4.7057200355866739E-2</v>
          </cell>
          <cell r="AH1065">
            <v>2145</v>
          </cell>
          <cell r="AI1065">
            <v>2187</v>
          </cell>
          <cell r="AJ1065">
            <v>0.22151348879743943</v>
          </cell>
          <cell r="AK1065">
            <v>2229</v>
          </cell>
          <cell r="AL1065">
            <v>2271</v>
          </cell>
          <cell r="AM1065">
            <v>0.25030823425803611</v>
          </cell>
          <cell r="AN1065">
            <v>2589.9899999999998</v>
          </cell>
          <cell r="AO1065">
            <v>2908.98</v>
          </cell>
          <cell r="AP1065">
            <v>3227.97</v>
          </cell>
          <cell r="AQ1065">
            <v>0</v>
          </cell>
          <cell r="AS1065">
            <v>5800</v>
          </cell>
        </row>
        <row r="1066">
          <cell r="B1066" t="str">
            <v>MB</v>
          </cell>
          <cell r="C1066" t="str">
            <v>IMP</v>
          </cell>
          <cell r="D1066" t="str">
            <v>BT</v>
          </cell>
          <cell r="E1066" t="str">
            <v>P3</v>
          </cell>
          <cell r="F1066">
            <v>39990</v>
          </cell>
          <cell r="G1066">
            <v>40001</v>
          </cell>
          <cell r="H1066" t="str">
            <v>960235</v>
          </cell>
          <cell r="I1066" t="str">
            <v>3KMKFAXFKIT</v>
          </cell>
          <cell r="K1066" t="str">
            <v>DISCONTINUED - 7235 Copier</v>
          </cell>
          <cell r="L1066">
            <v>7400</v>
          </cell>
          <cell r="M1066">
            <v>444</v>
          </cell>
          <cell r="N1066">
            <v>2552</v>
          </cell>
          <cell r="O1066">
            <v>0.20331262939958597</v>
          </cell>
          <cell r="P1066">
            <v>579.6</v>
          </cell>
          <cell r="Q1066">
            <v>470.64</v>
          </cell>
          <cell r="R1066">
            <v>508.29</v>
          </cell>
          <cell r="S1066">
            <v>724.5</v>
          </cell>
          <cell r="T1066">
            <v>0.36265010351966875</v>
          </cell>
          <cell r="U1066">
            <v>561.05279999999993</v>
          </cell>
          <cell r="V1066">
            <v>0.17697585681775396</v>
          </cell>
          <cell r="W1066">
            <v>2169.1999999999998</v>
          </cell>
          <cell r="X1066">
            <v>0.8</v>
          </cell>
          <cell r="AA1066">
            <v>701</v>
          </cell>
          <cell r="AB1066">
            <v>2170</v>
          </cell>
          <cell r="AC1066">
            <v>2411</v>
          </cell>
          <cell r="AD1066">
            <v>2545</v>
          </cell>
          <cell r="AE1066">
            <v>2678.02</v>
          </cell>
          <cell r="AF1066">
            <v>0.18999858104121709</v>
          </cell>
          <cell r="AG1066">
            <v>4.7057154166137663E-2</v>
          </cell>
          <cell r="AH1066">
            <v>2733</v>
          </cell>
          <cell r="AI1066">
            <v>2786</v>
          </cell>
          <cell r="AJ1066">
            <v>0.22139267767408477</v>
          </cell>
          <cell r="AK1066">
            <v>2839.5</v>
          </cell>
          <cell r="AL1066">
            <v>2893</v>
          </cell>
          <cell r="AM1066">
            <v>0.25019011406844111</v>
          </cell>
          <cell r="AN1066">
            <v>3299.54</v>
          </cell>
          <cell r="AO1066">
            <v>3706.08</v>
          </cell>
          <cell r="AP1066">
            <v>4112.62</v>
          </cell>
          <cell r="AQ1066">
            <v>0</v>
          </cell>
          <cell r="AS1066">
            <v>7400</v>
          </cell>
        </row>
        <row r="1067">
          <cell r="B1067" t="str">
            <v>MB</v>
          </cell>
          <cell r="C1067" t="str">
            <v>IMP</v>
          </cell>
          <cell r="D1067" t="str">
            <v>BT</v>
          </cell>
          <cell r="E1067" t="str">
            <v>P3</v>
          </cell>
          <cell r="F1067">
            <v>39990</v>
          </cell>
          <cell r="G1067">
            <v>40001</v>
          </cell>
          <cell r="H1067" t="str">
            <v>960325</v>
          </cell>
          <cell r="I1067" t="str">
            <v>DIS</v>
          </cell>
          <cell r="K1067" t="str">
            <v>7272 Digital Copier w/ RADF</v>
          </cell>
          <cell r="L1067">
            <v>26500</v>
          </cell>
          <cell r="M1067">
            <v>0</v>
          </cell>
          <cell r="N1067">
            <v>7897</v>
          </cell>
          <cell r="W1067">
            <v>6712.45</v>
          </cell>
          <cell r="AA1067">
            <v>173</v>
          </cell>
          <cell r="AB1067">
            <v>6713</v>
          </cell>
          <cell r="AC1067">
            <v>7459</v>
          </cell>
          <cell r="AD1067">
            <v>7873</v>
          </cell>
          <cell r="AE1067">
            <v>8286.98</v>
          </cell>
          <cell r="AF1067">
            <v>0.19000045855064207</v>
          </cell>
          <cell r="AG1067">
            <v>4.7059363000755354E-2</v>
          </cell>
          <cell r="AH1067">
            <v>8453</v>
          </cell>
          <cell r="AI1067">
            <v>8619</v>
          </cell>
          <cell r="AJ1067">
            <v>0.22120315581854044</v>
          </cell>
          <cell r="AK1067">
            <v>8784.5</v>
          </cell>
          <cell r="AL1067">
            <v>8950</v>
          </cell>
          <cell r="AM1067">
            <v>0.25000558659217881</v>
          </cell>
          <cell r="AN1067">
            <v>10208.57</v>
          </cell>
          <cell r="AO1067">
            <v>11467.14</v>
          </cell>
          <cell r="AP1067">
            <v>12725.71</v>
          </cell>
          <cell r="AQ1067">
            <v>0</v>
          </cell>
          <cell r="AS1067">
            <v>26500</v>
          </cell>
        </row>
        <row r="1068">
          <cell r="B1068" t="str">
            <v>MB</v>
          </cell>
          <cell r="C1068" t="str">
            <v>IMP</v>
          </cell>
          <cell r="D1068" t="str">
            <v>BT</v>
          </cell>
          <cell r="E1068" t="str">
            <v>P3</v>
          </cell>
          <cell r="F1068">
            <v>39990</v>
          </cell>
          <cell r="G1068">
            <v>40001</v>
          </cell>
          <cell r="H1068" t="str">
            <v>960326</v>
          </cell>
          <cell r="I1068" t="str">
            <v>DIS</v>
          </cell>
          <cell r="K1068" t="str">
            <v>7255 Digital Copier w/ RADF - DISCONTINUED</v>
          </cell>
          <cell r="L1068">
            <v>17950</v>
          </cell>
          <cell r="M1068">
            <v>0</v>
          </cell>
          <cell r="N1068">
            <v>5837</v>
          </cell>
          <cell r="W1068">
            <v>4961.45</v>
          </cell>
          <cell r="AA1068">
            <v>288</v>
          </cell>
          <cell r="AB1068">
            <v>4962</v>
          </cell>
          <cell r="AC1068">
            <v>5513</v>
          </cell>
          <cell r="AD1068">
            <v>5820</v>
          </cell>
          <cell r="AE1068">
            <v>6125.25</v>
          </cell>
          <cell r="AF1068">
            <v>0.19000040814660629</v>
          </cell>
          <cell r="AG1068">
            <v>4.7059303701889717E-2</v>
          </cell>
          <cell r="AH1068">
            <v>6249</v>
          </cell>
          <cell r="AI1068">
            <v>6371</v>
          </cell>
          <cell r="AJ1068">
            <v>0.22124470255846809</v>
          </cell>
          <cell r="AK1068">
            <v>6493.5</v>
          </cell>
          <cell r="AL1068">
            <v>6616</v>
          </cell>
          <cell r="AM1068">
            <v>0.25008313180169289</v>
          </cell>
          <cell r="AN1068">
            <v>7546.09</v>
          </cell>
          <cell r="AO1068">
            <v>8476.18</v>
          </cell>
          <cell r="AP1068">
            <v>9406.27</v>
          </cell>
          <cell r="AQ1068">
            <v>0</v>
          </cell>
          <cell r="AS1068">
            <v>17950</v>
          </cell>
        </row>
        <row r="1069">
          <cell r="B1069" t="str">
            <v>MB</v>
          </cell>
          <cell r="C1069" t="str">
            <v>IMP</v>
          </cell>
          <cell r="D1069" t="str">
            <v>BT</v>
          </cell>
          <cell r="E1069" t="str">
            <v>P3</v>
          </cell>
          <cell r="F1069">
            <v>39990</v>
          </cell>
          <cell r="G1069">
            <v>40001</v>
          </cell>
          <cell r="H1069" t="str">
            <v>960400</v>
          </cell>
          <cell r="I1069" t="str">
            <v>DIS</v>
          </cell>
          <cell r="K1069" t="str">
            <v>7145 Digital Copier w/ RADF</v>
          </cell>
          <cell r="L1069">
            <v>12030</v>
          </cell>
          <cell r="M1069">
            <v>0</v>
          </cell>
          <cell r="N1069">
            <v>3631</v>
          </cell>
          <cell r="W1069">
            <v>3086.35</v>
          </cell>
          <cell r="AA1069">
            <v>919.99999999999989</v>
          </cell>
          <cell r="AB1069">
            <v>3087</v>
          </cell>
          <cell r="AC1069">
            <v>3430</v>
          </cell>
          <cell r="AD1069">
            <v>3621</v>
          </cell>
          <cell r="AE1069">
            <v>3810.31</v>
          </cell>
          <cell r="AF1069">
            <v>0.19000028869042151</v>
          </cell>
          <cell r="AG1069">
            <v>4.705916316520177E-2</v>
          </cell>
          <cell r="AH1069">
            <v>3888</v>
          </cell>
          <cell r="AI1069">
            <v>3964</v>
          </cell>
          <cell r="AJ1069">
            <v>0.22140514631685168</v>
          </cell>
          <cell r="AK1069">
            <v>4040</v>
          </cell>
          <cell r="AL1069">
            <v>4116</v>
          </cell>
          <cell r="AM1069">
            <v>0.25015792031098155</v>
          </cell>
          <cell r="AN1069">
            <v>4694.47</v>
          </cell>
          <cell r="AO1069">
            <v>5272.94</v>
          </cell>
          <cell r="AP1069">
            <v>5851.41</v>
          </cell>
          <cell r="AQ1069">
            <v>0</v>
          </cell>
          <cell r="AS1069">
            <v>12030</v>
          </cell>
        </row>
        <row r="1070">
          <cell r="B1070" t="str">
            <v>MB</v>
          </cell>
          <cell r="C1070" t="str">
            <v>IMP</v>
          </cell>
          <cell r="D1070" t="str">
            <v>BT</v>
          </cell>
          <cell r="E1070" t="str">
            <v>P3</v>
          </cell>
          <cell r="F1070">
            <v>39990</v>
          </cell>
          <cell r="G1070">
            <v>40001</v>
          </cell>
          <cell r="H1070" t="str">
            <v>960820</v>
          </cell>
          <cell r="I1070" t="str">
            <v>DIS</v>
          </cell>
          <cell r="K1070" t="str">
            <v>8020 Copier with Imaging Units CMYK</v>
          </cell>
          <cell r="L1070">
            <v>14920</v>
          </cell>
          <cell r="M1070">
            <v>0</v>
          </cell>
          <cell r="N1070">
            <v>3914</v>
          </cell>
          <cell r="W1070">
            <v>3326.9</v>
          </cell>
          <cell r="AA1070">
            <v>69</v>
          </cell>
          <cell r="AB1070">
            <v>3327</v>
          </cell>
          <cell r="AC1070">
            <v>3697</v>
          </cell>
          <cell r="AD1070">
            <v>3903</v>
          </cell>
          <cell r="AE1070">
            <v>4107.28</v>
          </cell>
          <cell r="AF1070">
            <v>0.18999922089558047</v>
          </cell>
          <cell r="AG1070">
            <v>4.7057906935977036E-2</v>
          </cell>
          <cell r="AH1070">
            <v>4190</v>
          </cell>
          <cell r="AI1070">
            <v>4272</v>
          </cell>
          <cell r="AJ1070">
            <v>0.22123127340823967</v>
          </cell>
          <cell r="AK1070">
            <v>4354</v>
          </cell>
          <cell r="AL1070">
            <v>4436</v>
          </cell>
          <cell r="AM1070">
            <v>0.25002254283137959</v>
          </cell>
          <cell r="AN1070">
            <v>5059.76</v>
          </cell>
          <cell r="AO1070">
            <v>5683.52</v>
          </cell>
          <cell r="AP1070">
            <v>6307.28</v>
          </cell>
          <cell r="AQ1070">
            <v>0</v>
          </cell>
          <cell r="AS1070">
            <v>14920</v>
          </cell>
        </row>
        <row r="1071">
          <cell r="B1071" t="str">
            <v>MB</v>
          </cell>
          <cell r="C1071" t="str">
            <v>IMP</v>
          </cell>
          <cell r="D1071" t="str">
            <v>BT</v>
          </cell>
          <cell r="E1071" t="str">
            <v>P3</v>
          </cell>
          <cell r="F1071">
            <v>39990</v>
          </cell>
          <cell r="G1071">
            <v>40001</v>
          </cell>
          <cell r="H1071" t="str">
            <v>960831</v>
          </cell>
          <cell r="I1071" t="str">
            <v>DIS</v>
          </cell>
          <cell r="K1071" t="str">
            <v>8031 Copier with Imaging Units CMYK</v>
          </cell>
          <cell r="L1071">
            <v>18120</v>
          </cell>
          <cell r="M1071">
            <v>0</v>
          </cell>
          <cell r="N1071">
            <v>4921</v>
          </cell>
          <cell r="W1071">
            <v>4182.8499999999995</v>
          </cell>
          <cell r="AA1071">
            <v>1839.9999999999998</v>
          </cell>
          <cell r="AB1071">
            <v>4183</v>
          </cell>
          <cell r="AC1071">
            <v>4648</v>
          </cell>
          <cell r="AD1071">
            <v>4907</v>
          </cell>
          <cell r="AE1071">
            <v>5164.01</v>
          </cell>
          <cell r="AF1071">
            <v>0.18999963206887685</v>
          </cell>
          <cell r="AG1071">
            <v>4.7058390669266752E-2</v>
          </cell>
          <cell r="AH1071">
            <v>5269</v>
          </cell>
          <cell r="AI1071">
            <v>5372</v>
          </cell>
          <cell r="AJ1071">
            <v>0.22136075949367098</v>
          </cell>
          <cell r="AK1071">
            <v>5475</v>
          </cell>
          <cell r="AL1071">
            <v>5578</v>
          </cell>
          <cell r="AM1071">
            <v>0.25011652922194344</v>
          </cell>
          <cell r="AN1071">
            <v>6362.07</v>
          </cell>
          <cell r="AO1071">
            <v>7146.14</v>
          </cell>
          <cell r="AP1071">
            <v>7930.21</v>
          </cell>
          <cell r="AQ1071">
            <v>0</v>
          </cell>
          <cell r="AS1071">
            <v>18120</v>
          </cell>
        </row>
        <row r="1072">
          <cell r="B1072" t="str">
            <v>MB</v>
          </cell>
          <cell r="C1072" t="str">
            <v>IMP</v>
          </cell>
          <cell r="D1072" t="str">
            <v>BT</v>
          </cell>
          <cell r="E1072" t="str">
            <v>P3</v>
          </cell>
          <cell r="F1072">
            <v>39990</v>
          </cell>
          <cell r="G1072">
            <v>40001</v>
          </cell>
          <cell r="H1072" t="str">
            <v>960850</v>
          </cell>
          <cell r="I1072" t="str">
            <v>DIS</v>
          </cell>
          <cell r="K1072" t="str">
            <v>Color Force 8050 (50/50 ppm Color MFP)</v>
          </cell>
          <cell r="L1072">
            <v>36690</v>
          </cell>
          <cell r="M1072">
            <v>0</v>
          </cell>
          <cell r="N1072">
            <v>13047</v>
          </cell>
          <cell r="W1072">
            <v>11089.949999999999</v>
          </cell>
          <cell r="AA1072">
            <v>58</v>
          </cell>
          <cell r="AB1072">
            <v>11090</v>
          </cell>
          <cell r="AC1072">
            <v>12323</v>
          </cell>
          <cell r="AD1072">
            <v>13008</v>
          </cell>
          <cell r="AE1072">
            <v>13691.3</v>
          </cell>
          <cell r="AF1072">
            <v>0.19000021911724968</v>
          </cell>
          <cell r="AG1072">
            <v>4.7059081314411291E-2</v>
          </cell>
          <cell r="AH1072">
            <v>13966</v>
          </cell>
          <cell r="AI1072">
            <v>14240</v>
          </cell>
          <cell r="AJ1072">
            <v>0.22121137640449445</v>
          </cell>
          <cell r="AK1072">
            <v>14513.5</v>
          </cell>
          <cell r="AL1072">
            <v>14787</v>
          </cell>
          <cell r="AM1072">
            <v>0.25002028809089072</v>
          </cell>
          <cell r="AN1072">
            <v>16866.27</v>
          </cell>
          <cell r="AO1072">
            <v>18945.54</v>
          </cell>
          <cell r="AP1072">
            <v>21024.81</v>
          </cell>
          <cell r="AQ1072">
            <v>0</v>
          </cell>
          <cell r="AS1072">
            <v>36690</v>
          </cell>
        </row>
        <row r="1073">
          <cell r="B1073" t="str">
            <v>MB</v>
          </cell>
          <cell r="C1073" t="str">
            <v>IMP</v>
          </cell>
          <cell r="D1073" t="str">
            <v>BT</v>
          </cell>
          <cell r="E1073" t="str">
            <v>P3</v>
          </cell>
          <cell r="F1073">
            <v>39990</v>
          </cell>
          <cell r="G1073">
            <v>40001</v>
          </cell>
          <cell r="H1073" t="str">
            <v>1483311</v>
          </cell>
          <cell r="I1073" t="str">
            <v>DIS</v>
          </cell>
          <cell r="K1073" t="str">
            <v>Bizhub C350</v>
          </cell>
          <cell r="L1073">
            <v>11200</v>
          </cell>
          <cell r="M1073">
            <v>0</v>
          </cell>
          <cell r="N1073">
            <v>4006</v>
          </cell>
          <cell r="W1073">
            <v>3405.1</v>
          </cell>
          <cell r="AA1073">
            <v>175</v>
          </cell>
          <cell r="AB1073">
            <v>3406</v>
          </cell>
          <cell r="AC1073">
            <v>3784</v>
          </cell>
          <cell r="AD1073">
            <v>3994</v>
          </cell>
          <cell r="AE1073">
            <v>4203.83</v>
          </cell>
          <cell r="AF1073">
            <v>0.19000054712012618</v>
          </cell>
          <cell r="AG1073">
            <v>4.7059467200148419E-2</v>
          </cell>
          <cell r="AH1073">
            <v>4289</v>
          </cell>
          <cell r="AI1073">
            <v>4373</v>
          </cell>
          <cell r="AJ1073">
            <v>0.22133546764235082</v>
          </cell>
          <cell r="AK1073">
            <v>4457</v>
          </cell>
          <cell r="AL1073">
            <v>4541</v>
          </cell>
          <cell r="AM1073">
            <v>0.25014314027747192</v>
          </cell>
          <cell r="AN1073">
            <v>5179.24</v>
          </cell>
          <cell r="AO1073">
            <v>5817.48</v>
          </cell>
          <cell r="AP1073">
            <v>6455.72</v>
          </cell>
          <cell r="AQ1073">
            <v>0</v>
          </cell>
          <cell r="AS1073">
            <v>11200</v>
          </cell>
        </row>
        <row r="1074">
          <cell r="B1074" t="str">
            <v>MB</v>
          </cell>
          <cell r="C1074" t="str">
            <v>IMP</v>
          </cell>
          <cell r="D1074" t="str">
            <v>BT</v>
          </cell>
          <cell r="E1074" t="str">
            <v>P3</v>
          </cell>
          <cell r="F1074">
            <v>39990</v>
          </cell>
          <cell r="G1074">
            <v>40001</v>
          </cell>
          <cell r="H1074" t="str">
            <v>4007311</v>
          </cell>
          <cell r="I1074" t="str">
            <v>DIS</v>
          </cell>
          <cell r="K1074" t="str">
            <v>Di151 Digital Copier (Incl. Imaging Cartridge)</v>
          </cell>
          <cell r="L1074">
            <v>1855</v>
          </cell>
          <cell r="M1074">
            <v>0</v>
          </cell>
          <cell r="N1074">
            <v>680</v>
          </cell>
          <cell r="W1074">
            <v>578</v>
          </cell>
          <cell r="AA1074">
            <v>300</v>
          </cell>
          <cell r="AB1074">
            <v>578</v>
          </cell>
          <cell r="AC1074">
            <v>643</v>
          </cell>
          <cell r="AD1074">
            <v>679</v>
          </cell>
          <cell r="AE1074">
            <v>713.58</v>
          </cell>
          <cell r="AF1074">
            <v>0.18999971972308646</v>
          </cell>
          <cell r="AG1074">
            <v>4.705849379186642E-2</v>
          </cell>
          <cell r="AH1074">
            <v>729</v>
          </cell>
          <cell r="AI1074">
            <v>743</v>
          </cell>
          <cell r="AJ1074">
            <v>0.22207267833109018</v>
          </cell>
          <cell r="AK1074">
            <v>757</v>
          </cell>
          <cell r="AL1074">
            <v>771</v>
          </cell>
          <cell r="AM1074">
            <v>0.2503242542153048</v>
          </cell>
          <cell r="AN1074">
            <v>879.29</v>
          </cell>
          <cell r="AO1074">
            <v>987.58</v>
          </cell>
          <cell r="AP1074">
            <v>1095.8699999999999</v>
          </cell>
          <cell r="AQ1074">
            <v>0</v>
          </cell>
          <cell r="AS1074">
            <v>1855</v>
          </cell>
        </row>
        <row r="1075">
          <cell r="B1075" t="str">
            <v>MB</v>
          </cell>
          <cell r="C1075" t="str">
            <v>IMP</v>
          </cell>
          <cell r="D1075" t="str">
            <v>BT</v>
          </cell>
          <cell r="E1075" t="str">
            <v>P3</v>
          </cell>
          <cell r="F1075">
            <v>39990</v>
          </cell>
          <cell r="G1075">
            <v>40001</v>
          </cell>
          <cell r="H1075" t="str">
            <v>4021311</v>
          </cell>
          <cell r="I1075" t="str">
            <v>DIS</v>
          </cell>
          <cell r="K1075" t="str">
            <v>Di183 Digital Copier</v>
          </cell>
          <cell r="L1075">
            <v>3540</v>
          </cell>
          <cell r="M1075">
            <v>0</v>
          </cell>
          <cell r="N1075">
            <v>1247</v>
          </cell>
          <cell r="W1075">
            <v>1059.95</v>
          </cell>
          <cell r="AA1075">
            <v>500</v>
          </cell>
          <cell r="AB1075">
            <v>1060</v>
          </cell>
          <cell r="AC1075">
            <v>1178</v>
          </cell>
          <cell r="AD1075">
            <v>1244</v>
          </cell>
          <cell r="AE1075">
            <v>1308.58</v>
          </cell>
          <cell r="AF1075">
            <v>0.18999984716257309</v>
          </cell>
          <cell r="AG1075">
            <v>4.7058643720674267E-2</v>
          </cell>
          <cell r="AH1075">
            <v>1336</v>
          </cell>
          <cell r="AI1075">
            <v>1362</v>
          </cell>
          <cell r="AJ1075">
            <v>0.22176945668135092</v>
          </cell>
          <cell r="AK1075">
            <v>1388</v>
          </cell>
          <cell r="AL1075">
            <v>1414</v>
          </cell>
          <cell r="AM1075">
            <v>0.25038896746817535</v>
          </cell>
          <cell r="AN1075">
            <v>1612.56</v>
          </cell>
          <cell r="AO1075">
            <v>1811.12</v>
          </cell>
          <cell r="AP1075">
            <v>2009.68</v>
          </cell>
          <cell r="AQ1075">
            <v>0</v>
          </cell>
          <cell r="AS1075">
            <v>3540</v>
          </cell>
        </row>
        <row r="1076">
          <cell r="B1076" t="str">
            <v>MB</v>
          </cell>
          <cell r="C1076" t="str">
            <v>IMP</v>
          </cell>
          <cell r="D1076" t="str">
            <v>BT</v>
          </cell>
          <cell r="E1076" t="str">
            <v>P3</v>
          </cell>
          <cell r="F1076">
            <v>39990</v>
          </cell>
          <cell r="G1076">
            <v>40001</v>
          </cell>
          <cell r="H1076" t="str">
            <v>4022311</v>
          </cell>
          <cell r="I1076" t="str">
            <v>DIS</v>
          </cell>
          <cell r="K1076" t="str">
            <v>Di152 Digital Copier</v>
          </cell>
          <cell r="L1076">
            <v>3020</v>
          </cell>
          <cell r="M1076">
            <v>0</v>
          </cell>
          <cell r="N1076">
            <v>1097</v>
          </cell>
          <cell r="W1076">
            <v>932.44999999999993</v>
          </cell>
          <cell r="AA1076">
            <v>70</v>
          </cell>
          <cell r="AB1076">
            <v>933</v>
          </cell>
          <cell r="AC1076">
            <v>1037</v>
          </cell>
          <cell r="AD1076">
            <v>1095</v>
          </cell>
          <cell r="AE1076">
            <v>1151.17</v>
          </cell>
          <cell r="AF1076">
            <v>0.18999800203271466</v>
          </cell>
          <cell r="AG1076">
            <v>4.7056472979664227E-2</v>
          </cell>
          <cell r="AH1076">
            <v>1175</v>
          </cell>
          <cell r="AI1076">
            <v>1198</v>
          </cell>
          <cell r="AJ1076">
            <v>0.22166110183639404</v>
          </cell>
          <cell r="AK1076">
            <v>1221</v>
          </cell>
          <cell r="AL1076">
            <v>1244</v>
          </cell>
          <cell r="AM1076">
            <v>0.25044212218649525</v>
          </cell>
          <cell r="AN1076">
            <v>1418.65</v>
          </cell>
          <cell r="AO1076">
            <v>1593.3</v>
          </cell>
          <cell r="AP1076">
            <v>1767.95</v>
          </cell>
          <cell r="AQ1076">
            <v>0</v>
          </cell>
          <cell r="AS1076">
            <v>3020</v>
          </cell>
        </row>
        <row r="1077">
          <cell r="B1077" t="str">
            <v>MB</v>
          </cell>
          <cell r="C1077" t="str">
            <v>IMP</v>
          </cell>
          <cell r="D1077" t="str">
            <v>BT</v>
          </cell>
          <cell r="E1077" t="str">
            <v>P3</v>
          </cell>
          <cell r="F1077">
            <v>39990</v>
          </cell>
          <cell r="G1077">
            <v>40001</v>
          </cell>
          <cell r="H1077" t="str">
            <v>4024311</v>
          </cell>
          <cell r="I1077" t="str">
            <v>DIS</v>
          </cell>
          <cell r="K1077" t="str">
            <v>Di650 Digital Copier w/ EDH</v>
          </cell>
          <cell r="L1077">
            <v>24110</v>
          </cell>
          <cell r="M1077">
            <v>0</v>
          </cell>
          <cell r="N1077">
            <v>8202</v>
          </cell>
          <cell r="W1077">
            <v>6971.7</v>
          </cell>
          <cell r="AA1077">
            <v>1000</v>
          </cell>
          <cell r="AB1077">
            <v>6972</v>
          </cell>
          <cell r="AC1077">
            <v>7747</v>
          </cell>
          <cell r="AD1077">
            <v>8178</v>
          </cell>
          <cell r="AE1077">
            <v>8607.0400000000009</v>
          </cell>
          <cell r="AF1077">
            <v>0.19000027884150658</v>
          </cell>
          <cell r="AG1077">
            <v>4.7059151578243023E-2</v>
          </cell>
          <cell r="AH1077">
            <v>8780</v>
          </cell>
          <cell r="AI1077">
            <v>8952</v>
          </cell>
          <cell r="AJ1077">
            <v>0.22121313672922255</v>
          </cell>
          <cell r="AK1077">
            <v>9124</v>
          </cell>
          <cell r="AL1077">
            <v>9296</v>
          </cell>
          <cell r="AM1077">
            <v>0.25003227194492256</v>
          </cell>
          <cell r="AN1077">
            <v>10603.09</v>
          </cell>
          <cell r="AO1077">
            <v>11910.18</v>
          </cell>
          <cell r="AP1077">
            <v>13217.27</v>
          </cell>
          <cell r="AQ1077">
            <v>0</v>
          </cell>
          <cell r="AS1077">
            <v>24110</v>
          </cell>
        </row>
        <row r="1078">
          <cell r="B1078" t="str">
            <v>MB</v>
          </cell>
          <cell r="C1078" t="str">
            <v>IMP</v>
          </cell>
          <cell r="D1078" t="str">
            <v>BT</v>
          </cell>
          <cell r="E1078" t="str">
            <v>P3</v>
          </cell>
          <cell r="F1078">
            <v>39990</v>
          </cell>
          <cell r="G1078">
            <v>40001</v>
          </cell>
          <cell r="H1078" t="str">
            <v>4025301</v>
          </cell>
          <cell r="I1078" t="str">
            <v>DIS</v>
          </cell>
          <cell r="K1078" t="str">
            <v>CF2002 Copier with Imaging Units CMYK</v>
          </cell>
          <cell r="L1078">
            <v>14195</v>
          </cell>
          <cell r="M1078">
            <v>0</v>
          </cell>
          <cell r="N1078">
            <v>3914</v>
          </cell>
          <cell r="W1078">
            <v>3326.9</v>
          </cell>
          <cell r="AA1078">
            <v>50</v>
          </cell>
          <cell r="AB1078">
            <v>3327</v>
          </cell>
          <cell r="AC1078">
            <v>3697</v>
          </cell>
          <cell r="AD1078">
            <v>3903</v>
          </cell>
          <cell r="AE1078">
            <v>4107.28</v>
          </cell>
          <cell r="AF1078">
            <v>0.18999922089558047</v>
          </cell>
          <cell r="AG1078">
            <v>4.7057906935977036E-2</v>
          </cell>
          <cell r="AH1078">
            <v>4190</v>
          </cell>
          <cell r="AI1078">
            <v>4272</v>
          </cell>
          <cell r="AJ1078">
            <v>0.22123127340823967</v>
          </cell>
          <cell r="AK1078">
            <v>4354</v>
          </cell>
          <cell r="AL1078">
            <v>4436</v>
          </cell>
          <cell r="AM1078">
            <v>0.25002254283137959</v>
          </cell>
          <cell r="AN1078">
            <v>5059.76</v>
          </cell>
          <cell r="AO1078">
            <v>5683.52</v>
          </cell>
          <cell r="AP1078">
            <v>6307.28</v>
          </cell>
          <cell r="AQ1078">
            <v>0</v>
          </cell>
          <cell r="AS1078">
            <v>14195</v>
          </cell>
        </row>
        <row r="1079">
          <cell r="B1079" t="str">
            <v>MB</v>
          </cell>
          <cell r="C1079" t="str">
            <v>IMP</v>
          </cell>
          <cell r="D1079" t="str">
            <v>BT</v>
          </cell>
          <cell r="E1079" t="str">
            <v>P3</v>
          </cell>
          <cell r="F1079">
            <v>39990</v>
          </cell>
          <cell r="G1079">
            <v>40001</v>
          </cell>
          <cell r="H1079" t="str">
            <v>4025311</v>
          </cell>
          <cell r="I1079" t="str">
            <v>3MIHE524ZNT_</v>
          </cell>
          <cell r="K1079" t="str">
            <v>CF3102 Copier with Imaging Units CMYK</v>
          </cell>
          <cell r="L1079">
            <v>18120</v>
          </cell>
          <cell r="M1079">
            <v>124.63</v>
          </cell>
          <cell r="N1079">
            <v>4921</v>
          </cell>
          <cell r="O1079">
            <v>0.30984462365591398</v>
          </cell>
          <cell r="P1079">
            <v>186</v>
          </cell>
          <cell r="Q1079">
            <v>132.11000000000001</v>
          </cell>
          <cell r="R1079">
            <v>142.68</v>
          </cell>
          <cell r="S1079">
            <v>180</v>
          </cell>
          <cell r="T1079">
            <v>0.28683944444444448</v>
          </cell>
          <cell r="U1079">
            <v>139.392</v>
          </cell>
          <cell r="V1079">
            <v>7.9079861111111108E-2</v>
          </cell>
          <cell r="W1079">
            <v>4182.8499999999995</v>
          </cell>
          <cell r="X1079">
            <v>1.0333333333333334</v>
          </cell>
          <cell r="AA1079">
            <v>225</v>
          </cell>
          <cell r="AB1079">
            <v>4183</v>
          </cell>
          <cell r="AC1079">
            <v>4648</v>
          </cell>
          <cell r="AD1079">
            <v>4907</v>
          </cell>
          <cell r="AE1079">
            <v>5164.01</v>
          </cell>
          <cell r="AF1079">
            <v>0.18999963206887685</v>
          </cell>
          <cell r="AG1079">
            <v>4.7058390669266752E-2</v>
          </cell>
          <cell r="AH1079">
            <v>5269</v>
          </cell>
          <cell r="AI1079">
            <v>5372</v>
          </cell>
          <cell r="AJ1079">
            <v>0.22136075949367098</v>
          </cell>
          <cell r="AK1079">
            <v>5475</v>
          </cell>
          <cell r="AL1079">
            <v>5578</v>
          </cell>
          <cell r="AM1079">
            <v>0.25011652922194344</v>
          </cell>
          <cell r="AN1079">
            <v>6362.07</v>
          </cell>
          <cell r="AO1079">
            <v>7146.14</v>
          </cell>
          <cell r="AP1079">
            <v>7930.21</v>
          </cell>
          <cell r="AQ1079">
            <v>0</v>
          </cell>
          <cell r="AS1079">
            <v>18120</v>
          </cell>
        </row>
        <row r="1080">
          <cell r="B1080" t="str">
            <v>MB</v>
          </cell>
          <cell r="C1080" t="str">
            <v>IMP</v>
          </cell>
          <cell r="D1080" t="str">
            <v>BT</v>
          </cell>
          <cell r="E1080" t="str">
            <v>P3</v>
          </cell>
          <cell r="F1080">
            <v>39990</v>
          </cell>
          <cell r="G1080">
            <v>40001</v>
          </cell>
          <cell r="H1080" t="str">
            <v>4027221</v>
          </cell>
          <cell r="K1080" t="str">
            <v xml:space="preserve">DISCONTINUED - Di850 Digital Copier w/ EDH and HDD </v>
          </cell>
          <cell r="L1080">
            <v>39610</v>
          </cell>
          <cell r="N1080">
            <v>12296</v>
          </cell>
          <cell r="W1080">
            <v>10451.6</v>
          </cell>
          <cell r="AB1080">
            <v>10452</v>
          </cell>
          <cell r="AC1080">
            <v>11613</v>
          </cell>
          <cell r="AD1080">
            <v>12259</v>
          </cell>
          <cell r="AE1080">
            <v>12903.21</v>
          </cell>
          <cell r="AF1080">
            <v>0.19000000775000941</v>
          </cell>
          <cell r="AG1080">
            <v>4.7058832647069927E-2</v>
          </cell>
          <cell r="AH1080">
            <v>13162</v>
          </cell>
          <cell r="AI1080">
            <v>13420</v>
          </cell>
          <cell r="AJ1080">
            <v>0.22119225037257823</v>
          </cell>
          <cell r="AK1080">
            <v>13678</v>
          </cell>
          <cell r="AL1080">
            <v>13936</v>
          </cell>
          <cell r="AM1080">
            <v>0.25002870264064292</v>
          </cell>
          <cell r="AN1080">
            <v>15895.54</v>
          </cell>
          <cell r="AO1080">
            <v>17855.080000000002</v>
          </cell>
          <cell r="AP1080">
            <v>19814.62</v>
          </cell>
          <cell r="AQ1080">
            <v>0</v>
          </cell>
          <cell r="AS1080">
            <v>39610</v>
          </cell>
        </row>
        <row r="1081">
          <cell r="B1081" t="str">
            <v>MB</v>
          </cell>
          <cell r="C1081" t="str">
            <v>IMP</v>
          </cell>
          <cell r="D1081" t="str">
            <v>BT</v>
          </cell>
          <cell r="E1081" t="str">
            <v>P3</v>
          </cell>
          <cell r="F1081">
            <v>39990</v>
          </cell>
          <cell r="G1081">
            <v>40001</v>
          </cell>
          <cell r="H1081" t="str">
            <v>4028311</v>
          </cell>
          <cell r="K1081" t="str">
            <v>Di470 with PC Drum</v>
          </cell>
          <cell r="L1081">
            <v>9250</v>
          </cell>
          <cell r="N1081">
            <v>2621</v>
          </cell>
          <cell r="W1081">
            <v>2227.85</v>
          </cell>
          <cell r="AB1081">
            <v>2228</v>
          </cell>
          <cell r="AC1081">
            <v>2476</v>
          </cell>
          <cell r="AD1081">
            <v>2614</v>
          </cell>
          <cell r="AE1081">
            <v>2750.43</v>
          </cell>
          <cell r="AF1081">
            <v>0.18999938191482785</v>
          </cell>
          <cell r="AG1081">
            <v>4.7058096370385667E-2</v>
          </cell>
          <cell r="AH1081">
            <v>2806</v>
          </cell>
          <cell r="AI1081">
            <v>2861</v>
          </cell>
          <cell r="AJ1081">
            <v>0.22130373995106609</v>
          </cell>
          <cell r="AK1081">
            <v>2916</v>
          </cell>
          <cell r="AL1081">
            <v>2971</v>
          </cell>
          <cell r="AM1081">
            <v>0.25013463480309661</v>
          </cell>
          <cell r="AN1081">
            <v>3388.59</v>
          </cell>
          <cell r="AO1081">
            <v>3806.18</v>
          </cell>
          <cell r="AP1081">
            <v>4223.7700000000004</v>
          </cell>
          <cell r="AQ1081">
            <v>0</v>
          </cell>
          <cell r="AS1081">
            <v>9250</v>
          </cell>
        </row>
        <row r="1082">
          <cell r="B1082" t="str">
            <v>MB</v>
          </cell>
          <cell r="C1082" t="str">
            <v>IMP</v>
          </cell>
          <cell r="D1082" t="str">
            <v>BT</v>
          </cell>
          <cell r="E1082" t="str">
            <v>P3</v>
          </cell>
          <cell r="F1082">
            <v>39990</v>
          </cell>
          <cell r="G1082">
            <v>40001</v>
          </cell>
          <cell r="H1082" t="str">
            <v>4030311</v>
          </cell>
          <cell r="K1082" t="str">
            <v>DISCONTINUED - Di3510 w/Dup, PC Drum</v>
          </cell>
          <cell r="L1082">
            <v>7320</v>
          </cell>
          <cell r="N1082">
            <v>2461</v>
          </cell>
          <cell r="W1082">
            <v>2091.85</v>
          </cell>
          <cell r="AB1082">
            <v>2092</v>
          </cell>
          <cell r="AC1082">
            <v>2325</v>
          </cell>
          <cell r="AD1082">
            <v>2454</v>
          </cell>
          <cell r="AE1082">
            <v>2582.5300000000002</v>
          </cell>
          <cell r="AF1082">
            <v>0.18999972894796974</v>
          </cell>
          <cell r="AG1082">
            <v>4.7058504644670221E-2</v>
          </cell>
          <cell r="AH1082">
            <v>2635</v>
          </cell>
          <cell r="AI1082">
            <v>2687</v>
          </cell>
          <cell r="AJ1082">
            <v>0.22149237067361374</v>
          </cell>
          <cell r="AK1082">
            <v>2738.5</v>
          </cell>
          <cell r="AL1082">
            <v>2790</v>
          </cell>
          <cell r="AM1082">
            <v>0.25023297491039431</v>
          </cell>
          <cell r="AN1082">
            <v>3182.01</v>
          </cell>
          <cell r="AO1082">
            <v>3574.02</v>
          </cell>
          <cell r="AP1082">
            <v>3966.03</v>
          </cell>
          <cell r="AQ1082">
            <v>0</v>
          </cell>
          <cell r="AS1082">
            <v>7320</v>
          </cell>
        </row>
        <row r="1083">
          <cell r="B1083" t="str">
            <v>MB</v>
          </cell>
          <cell r="C1083" t="str">
            <v>IMP</v>
          </cell>
          <cell r="D1083" t="str">
            <v>BT</v>
          </cell>
          <cell r="E1083" t="str">
            <v>P3</v>
          </cell>
          <cell r="F1083">
            <v>39990</v>
          </cell>
          <cell r="G1083">
            <v>40001</v>
          </cell>
          <cell r="H1083" t="str">
            <v>4031311</v>
          </cell>
          <cell r="K1083" t="str">
            <v>Di3010 w/Dup, PC Drum</v>
          </cell>
          <cell r="L1083">
            <v>6360</v>
          </cell>
          <cell r="N1083">
            <v>2003</v>
          </cell>
          <cell r="W1083">
            <v>1702.55</v>
          </cell>
          <cell r="AB1083">
            <v>1703</v>
          </cell>
          <cell r="AC1083">
            <v>1892</v>
          </cell>
          <cell r="AD1083">
            <v>1997</v>
          </cell>
          <cell r="AE1083">
            <v>2101.91</v>
          </cell>
          <cell r="AF1083">
            <v>0.18999862030248676</v>
          </cell>
          <cell r="AG1083">
            <v>4.7057200355866739E-2</v>
          </cell>
          <cell r="AH1083">
            <v>2145</v>
          </cell>
          <cell r="AI1083">
            <v>2187</v>
          </cell>
          <cell r="AJ1083">
            <v>0.22151348879743943</v>
          </cell>
          <cell r="AK1083">
            <v>2229</v>
          </cell>
          <cell r="AL1083">
            <v>2271</v>
          </cell>
          <cell r="AM1083">
            <v>0.25030823425803611</v>
          </cell>
          <cell r="AN1083">
            <v>2589.9899999999998</v>
          </cell>
          <cell r="AO1083">
            <v>2908.98</v>
          </cell>
          <cell r="AP1083">
            <v>3227.97</v>
          </cell>
          <cell r="AQ1083">
            <v>0</v>
          </cell>
          <cell r="AS1083">
            <v>6360</v>
          </cell>
        </row>
        <row r="1084">
          <cell r="B1084" t="str">
            <v>MB</v>
          </cell>
          <cell r="C1084" t="str">
            <v>IMP</v>
          </cell>
          <cell r="D1084" t="str">
            <v>BT</v>
          </cell>
          <cell r="E1084" t="str">
            <v>P3</v>
          </cell>
          <cell r="F1084">
            <v>39990</v>
          </cell>
          <cell r="G1084">
            <v>40001</v>
          </cell>
          <cell r="H1084" t="str">
            <v>4032311</v>
          </cell>
          <cell r="K1084" t="str">
            <v xml:space="preserve">Di2510 w/Dup, PC Drum </v>
          </cell>
          <cell r="L1084">
            <v>5310</v>
          </cell>
          <cell r="N1084">
            <v>1808</v>
          </cell>
          <cell r="W1084">
            <v>1536.8</v>
          </cell>
          <cell r="AB1084">
            <v>1537</v>
          </cell>
          <cell r="AC1084">
            <v>1708</v>
          </cell>
          <cell r="AD1084">
            <v>1803</v>
          </cell>
          <cell r="AE1084">
            <v>1897.28</v>
          </cell>
          <cell r="AF1084">
            <v>0.18999831337493675</v>
          </cell>
          <cell r="AG1084">
            <v>4.7056839264631459E-2</v>
          </cell>
          <cell r="AH1084">
            <v>1936</v>
          </cell>
          <cell r="AI1084">
            <v>1974</v>
          </cell>
          <cell r="AJ1084">
            <v>0.2214792299898683</v>
          </cell>
          <cell r="AK1084">
            <v>2012</v>
          </cell>
          <cell r="AL1084">
            <v>2050</v>
          </cell>
          <cell r="AM1084">
            <v>0.25034146341463415</v>
          </cell>
          <cell r="AN1084">
            <v>2337.92</v>
          </cell>
          <cell r="AO1084">
            <v>2625.84</v>
          </cell>
          <cell r="AP1084">
            <v>2913.76</v>
          </cell>
          <cell r="AQ1084">
            <v>0</v>
          </cell>
          <cell r="AS1084">
            <v>5310</v>
          </cell>
        </row>
        <row r="1085">
          <cell r="B1085" t="str">
            <v>MB</v>
          </cell>
          <cell r="C1085" t="str">
            <v>IMP</v>
          </cell>
          <cell r="D1085" t="str">
            <v>BT</v>
          </cell>
          <cell r="E1085" t="str">
            <v>P3</v>
          </cell>
          <cell r="F1085">
            <v>39990</v>
          </cell>
          <cell r="G1085">
            <v>40001</v>
          </cell>
          <cell r="H1085" t="str">
            <v>4033311</v>
          </cell>
          <cell r="I1085" t="str">
            <v>STHBDM9110M</v>
          </cell>
          <cell r="J1085" t="str">
            <v>KCA12033</v>
          </cell>
          <cell r="K1085" t="str">
            <v>Di2010 w/ PC Drum</v>
          </cell>
          <cell r="L1085">
            <v>4130</v>
          </cell>
          <cell r="M1085">
            <v>180</v>
          </cell>
          <cell r="N1085">
            <v>1579</v>
          </cell>
          <cell r="O1085">
            <v>0</v>
          </cell>
          <cell r="P1085">
            <v>185.4</v>
          </cell>
          <cell r="Q1085">
            <v>190.8</v>
          </cell>
          <cell r="R1085">
            <v>206.06</v>
          </cell>
          <cell r="T1085" t="e">
            <v>#DIV/0!</v>
          </cell>
          <cell r="W1085">
            <v>1342.1499999999999</v>
          </cell>
          <cell r="X1085" t="e">
            <v>#DIV/0!</v>
          </cell>
          <cell r="AA1085">
            <v>319</v>
          </cell>
          <cell r="AB1085">
            <v>1343</v>
          </cell>
          <cell r="AC1085">
            <v>1492</v>
          </cell>
          <cell r="AD1085">
            <v>1575</v>
          </cell>
          <cell r="AE1085">
            <v>1656.98</v>
          </cell>
          <cell r="AF1085">
            <v>0.19000229332882723</v>
          </cell>
          <cell r="AG1085">
            <v>4.7061521563326061E-2</v>
          </cell>
          <cell r="AH1085">
            <v>1691</v>
          </cell>
          <cell r="AI1085">
            <v>1724</v>
          </cell>
          <cell r="AJ1085">
            <v>0.22149071925754069</v>
          </cell>
          <cell r="AK1085">
            <v>1757</v>
          </cell>
          <cell r="AL1085">
            <v>1790</v>
          </cell>
          <cell r="AM1085">
            <v>0.25019553072625705</v>
          </cell>
          <cell r="AN1085">
            <v>2041.54</v>
          </cell>
          <cell r="AO1085">
            <v>2293.08</v>
          </cell>
          <cell r="AP1085">
            <v>2544.62</v>
          </cell>
          <cell r="AQ1085">
            <v>0</v>
          </cell>
          <cell r="AS1085">
            <v>4130</v>
          </cell>
        </row>
        <row r="1086">
          <cell r="B1086" t="str">
            <v>MB</v>
          </cell>
          <cell r="C1086" t="str">
            <v>IMP</v>
          </cell>
          <cell r="D1086" t="str">
            <v>BT</v>
          </cell>
          <cell r="E1086" t="str">
            <v>P3</v>
          </cell>
          <cell r="F1086">
            <v>39990</v>
          </cell>
          <cell r="G1086">
            <v>40001</v>
          </cell>
          <cell r="H1086" t="str">
            <v>4034311</v>
          </cell>
          <cell r="I1086" t="str">
            <v>SDHBDM9110M</v>
          </cell>
          <cell r="J1086" t="str">
            <v>KCA12842</v>
          </cell>
          <cell r="K1086" t="str">
            <v>Di1811p Package with/ Drum, Single Bypass, GDI controller</v>
          </cell>
          <cell r="L1086">
            <v>3199</v>
          </cell>
          <cell r="M1086">
            <v>69</v>
          </cell>
          <cell r="N1086">
            <v>1007</v>
          </cell>
          <cell r="O1086">
            <v>0</v>
          </cell>
          <cell r="P1086">
            <v>71.069999999999993</v>
          </cell>
          <cell r="Q1086">
            <v>73.14</v>
          </cell>
          <cell r="R1086">
            <v>78.989999999999995</v>
          </cell>
          <cell r="T1086" t="e">
            <v>#DIV/0!</v>
          </cell>
          <cell r="W1086">
            <v>855.94999999999993</v>
          </cell>
          <cell r="X1086" t="e">
            <v>#DIV/0!</v>
          </cell>
          <cell r="AA1086">
            <v>122</v>
          </cell>
          <cell r="AB1086">
            <v>856</v>
          </cell>
          <cell r="AC1086">
            <v>952</v>
          </cell>
          <cell r="AD1086">
            <v>1005</v>
          </cell>
          <cell r="AE1086">
            <v>1056.73</v>
          </cell>
          <cell r="AF1086">
            <v>0.19000123021017676</v>
          </cell>
          <cell r="AG1086">
            <v>4.7060270835501988E-2</v>
          </cell>
          <cell r="AH1086">
            <v>1079</v>
          </cell>
          <cell r="AI1086">
            <v>1100</v>
          </cell>
          <cell r="AJ1086">
            <v>0.22186363636363643</v>
          </cell>
          <cell r="AK1086">
            <v>1121</v>
          </cell>
          <cell r="AL1086">
            <v>1142</v>
          </cell>
          <cell r="AM1086">
            <v>0.25048161120840634</v>
          </cell>
          <cell r="AN1086">
            <v>1302.31</v>
          </cell>
          <cell r="AO1086">
            <v>1462.62</v>
          </cell>
          <cell r="AP1086">
            <v>1622.93</v>
          </cell>
          <cell r="AQ1086">
            <v>0</v>
          </cell>
          <cell r="AS1086">
            <v>3199</v>
          </cell>
        </row>
        <row r="1087">
          <cell r="B1087" t="str">
            <v>MB</v>
          </cell>
          <cell r="C1087" t="str">
            <v>IMP</v>
          </cell>
          <cell r="D1087" t="str">
            <v>BT</v>
          </cell>
          <cell r="E1087" t="str">
            <v>P3</v>
          </cell>
          <cell r="F1087">
            <v>39990</v>
          </cell>
          <cell r="G1087">
            <v>40001</v>
          </cell>
          <cell r="H1087" t="str">
            <v>4036311</v>
          </cell>
          <cell r="J1087" t="str">
            <v>KC7770140</v>
          </cell>
          <cell r="K1087" t="str">
            <v>Bizhub C350 GSA</v>
          </cell>
          <cell r="L1087">
            <v>11200</v>
          </cell>
          <cell r="M1087">
            <v>24</v>
          </cell>
          <cell r="N1087">
            <v>4006</v>
          </cell>
          <cell r="O1087">
            <v>0</v>
          </cell>
          <cell r="P1087">
            <v>24.72</v>
          </cell>
          <cell r="Q1087">
            <v>25.44</v>
          </cell>
          <cell r="R1087">
            <v>27.48</v>
          </cell>
          <cell r="T1087" t="e">
            <v>#DIV/0!</v>
          </cell>
          <cell r="W1087">
            <v>3405.1</v>
          </cell>
          <cell r="X1087" t="e">
            <v>#DIV/0!</v>
          </cell>
          <cell r="AA1087">
            <v>43</v>
          </cell>
          <cell r="AB1087">
            <v>3406</v>
          </cell>
          <cell r="AC1087">
            <v>3784</v>
          </cell>
          <cell r="AD1087">
            <v>3994</v>
          </cell>
          <cell r="AE1087">
            <v>4203.83</v>
          </cell>
          <cell r="AF1087">
            <v>0.19000054712012618</v>
          </cell>
          <cell r="AG1087">
            <v>4.7059467200148419E-2</v>
          </cell>
          <cell r="AH1087">
            <v>4289</v>
          </cell>
          <cell r="AI1087">
            <v>4373</v>
          </cell>
          <cell r="AJ1087">
            <v>0.22133546764235082</v>
          </cell>
          <cell r="AK1087">
            <v>4457</v>
          </cell>
          <cell r="AL1087">
            <v>4541</v>
          </cell>
          <cell r="AM1087">
            <v>0.25014314027747192</v>
          </cell>
          <cell r="AN1087">
            <v>5179.24</v>
          </cell>
          <cell r="AO1087">
            <v>5817.48</v>
          </cell>
          <cell r="AP1087">
            <v>6455.72</v>
          </cell>
          <cell r="AQ1087">
            <v>0</v>
          </cell>
          <cell r="AS1087">
            <v>11200</v>
          </cell>
        </row>
        <row r="1088">
          <cell r="B1088" t="str">
            <v>MB</v>
          </cell>
          <cell r="C1088" t="str">
            <v>IMP</v>
          </cell>
          <cell r="D1088" t="str">
            <v>BT</v>
          </cell>
          <cell r="E1088" t="str">
            <v>P3</v>
          </cell>
          <cell r="F1088">
            <v>39990</v>
          </cell>
          <cell r="G1088">
            <v>40001</v>
          </cell>
          <cell r="H1088" t="str">
            <v>4037301</v>
          </cell>
          <cell r="I1088" t="str">
            <v>SDKM8936488</v>
          </cell>
          <cell r="K1088" t="str">
            <v>bizhub C450P</v>
          </cell>
          <cell r="L1088">
            <v>11995</v>
          </cell>
          <cell r="M1088">
            <v>41.62</v>
          </cell>
          <cell r="N1088">
            <v>4074</v>
          </cell>
          <cell r="O1088">
            <v>0.2921768707482994</v>
          </cell>
          <cell r="P1088">
            <v>61.152000000000001</v>
          </cell>
          <cell r="Q1088">
            <v>44.12</v>
          </cell>
          <cell r="R1088">
            <v>47.65</v>
          </cell>
          <cell r="S1088">
            <v>76.44</v>
          </cell>
          <cell r="T1088">
            <v>0.43374149659863948</v>
          </cell>
          <cell r="W1088">
            <v>3462.9</v>
          </cell>
          <cell r="X1088">
            <v>0.8</v>
          </cell>
          <cell r="Y1088" t="str">
            <v>Act freight</v>
          </cell>
          <cell r="AA1088">
            <v>120</v>
          </cell>
          <cell r="AB1088">
            <v>3463</v>
          </cell>
          <cell r="AC1088">
            <v>3848</v>
          </cell>
          <cell r="AD1088">
            <v>4062</v>
          </cell>
          <cell r="AE1088">
            <v>4275.1899999999996</v>
          </cell>
          <cell r="AF1088">
            <v>0.19000091224015764</v>
          </cell>
          <cell r="AG1088">
            <v>4.7059896753126669E-2</v>
          </cell>
          <cell r="AH1088">
            <v>4362</v>
          </cell>
          <cell r="AI1088">
            <v>4447</v>
          </cell>
          <cell r="AJ1088">
            <v>0.22129525522824373</v>
          </cell>
          <cell r="AK1088">
            <v>4532.5</v>
          </cell>
          <cell r="AL1088">
            <v>4618</v>
          </cell>
          <cell r="AM1088">
            <v>0.2501299263750541</v>
          </cell>
          <cell r="AN1088">
            <v>5267.09</v>
          </cell>
          <cell r="AO1088">
            <v>5916.18</v>
          </cell>
          <cell r="AP1088">
            <v>6565.27</v>
          </cell>
          <cell r="AQ1088">
            <v>0</v>
          </cell>
          <cell r="AS1088">
            <v>11995</v>
          </cell>
        </row>
        <row r="1089">
          <cell r="B1089" t="str">
            <v>MB</v>
          </cell>
          <cell r="C1089" t="str">
            <v>IMP</v>
          </cell>
          <cell r="D1089" t="str">
            <v>BT</v>
          </cell>
          <cell r="E1089" t="str">
            <v>P3</v>
          </cell>
          <cell r="F1089">
            <v>39990</v>
          </cell>
          <cell r="G1089">
            <v>40001</v>
          </cell>
          <cell r="H1089" t="str">
            <v>4037311</v>
          </cell>
          <cell r="I1089" t="str">
            <v>STKM8937782</v>
          </cell>
          <cell r="K1089" t="str">
            <v>bizhub C450</v>
          </cell>
          <cell r="L1089">
            <v>12165</v>
          </cell>
          <cell r="M1089">
            <v>3985</v>
          </cell>
          <cell r="N1089">
            <v>4144.4000000000005</v>
          </cell>
          <cell r="O1089">
            <v>-0.17647058823529418</v>
          </cell>
          <cell r="P1089">
            <v>3522.7400000000002</v>
          </cell>
          <cell r="Q1089">
            <v>4224.1000000000004</v>
          </cell>
          <cell r="R1089">
            <v>4773.2299999999996</v>
          </cell>
          <cell r="S1089">
            <v>8950</v>
          </cell>
          <cell r="T1089">
            <v>0.53693854748603342</v>
          </cell>
          <cell r="U1089">
            <v>6265</v>
          </cell>
          <cell r="V1089">
            <v>0.33848363926576208</v>
          </cell>
          <cell r="W1089">
            <v>3522.7400000000002</v>
          </cell>
          <cell r="X1089">
            <v>0.8</v>
          </cell>
          <cell r="Y1089" t="str">
            <v>Act freight</v>
          </cell>
          <cell r="AA1089">
            <v>57</v>
          </cell>
          <cell r="AB1089">
            <v>3523</v>
          </cell>
          <cell r="AC1089">
            <v>3915</v>
          </cell>
          <cell r="AD1089">
            <v>4133</v>
          </cell>
          <cell r="AE1089">
            <v>4349.0600000000004</v>
          </cell>
          <cell r="AF1089">
            <v>0.1899996780913577</v>
          </cell>
          <cell r="AG1089">
            <v>4.7058444813361931E-2</v>
          </cell>
          <cell r="AH1089">
            <v>4437</v>
          </cell>
          <cell r="AI1089">
            <v>4524</v>
          </cell>
          <cell r="AJ1089">
            <v>0.22132183908045971</v>
          </cell>
          <cell r="AK1089">
            <v>4610.5</v>
          </cell>
          <cell r="AL1089">
            <v>4697</v>
          </cell>
          <cell r="AM1089">
            <v>0.25000212901852242</v>
          </cell>
          <cell r="AN1089">
            <v>5357.51</v>
          </cell>
          <cell r="AO1089">
            <v>6018.02</v>
          </cell>
          <cell r="AP1089">
            <v>6678.53</v>
          </cell>
          <cell r="AQ1089">
            <v>0</v>
          </cell>
          <cell r="AS1089">
            <v>12165</v>
          </cell>
        </row>
        <row r="1090">
          <cell r="B1090" t="str">
            <v>MB</v>
          </cell>
          <cell r="C1090" t="str">
            <v>IMP</v>
          </cell>
          <cell r="D1090" t="str">
            <v>BT</v>
          </cell>
          <cell r="E1090" t="str">
            <v>P3</v>
          </cell>
          <cell r="F1090">
            <v>39990</v>
          </cell>
          <cell r="G1090">
            <v>40001</v>
          </cell>
          <cell r="H1090" t="str">
            <v>4037321</v>
          </cell>
          <cell r="I1090" t="str">
            <v>STKM8938402</v>
          </cell>
          <cell r="K1090" t="str">
            <v>bizhub C351</v>
          </cell>
          <cell r="L1090">
            <v>13100</v>
          </cell>
          <cell r="M1090">
            <v>15.06</v>
          </cell>
          <cell r="N1090">
            <v>4286</v>
          </cell>
          <cell r="O1090">
            <v>0.44850704225352112</v>
          </cell>
          <cell r="P1090">
            <v>28.400000000000002</v>
          </cell>
          <cell r="Q1090">
            <v>15.96</v>
          </cell>
          <cell r="R1090">
            <v>17.239999999999998</v>
          </cell>
          <cell r="S1090">
            <v>35.5</v>
          </cell>
          <cell r="T1090">
            <v>0.55880563380281689</v>
          </cell>
          <cell r="W1090">
            <v>3643.1</v>
          </cell>
          <cell r="X1090">
            <v>0.8</v>
          </cell>
          <cell r="Y1090" t="str">
            <v>Act freight</v>
          </cell>
          <cell r="AA1090">
            <v>49</v>
          </cell>
          <cell r="AB1090">
            <v>3644</v>
          </cell>
          <cell r="AC1090">
            <v>4048</v>
          </cell>
          <cell r="AD1090">
            <v>4273</v>
          </cell>
          <cell r="AE1090">
            <v>4497.6499999999996</v>
          </cell>
          <cell r="AF1090">
            <v>0.18999922181583712</v>
          </cell>
          <cell r="AG1090">
            <v>4.7057908018631876E-2</v>
          </cell>
          <cell r="AH1090">
            <v>4588</v>
          </cell>
          <cell r="AI1090">
            <v>4678</v>
          </cell>
          <cell r="AJ1090">
            <v>0.22122702009405731</v>
          </cell>
          <cell r="AK1090">
            <v>4768</v>
          </cell>
          <cell r="AL1090">
            <v>4858</v>
          </cell>
          <cell r="AM1090">
            <v>0.25008233841086869</v>
          </cell>
          <cell r="AN1090">
            <v>5540.95</v>
          </cell>
          <cell r="AO1090">
            <v>6223.9</v>
          </cell>
          <cell r="AP1090">
            <v>6906.85</v>
          </cell>
          <cell r="AQ1090">
            <v>0</v>
          </cell>
          <cell r="AS1090">
            <v>13100</v>
          </cell>
        </row>
        <row r="1091">
          <cell r="B1091" t="str">
            <v>MB</v>
          </cell>
          <cell r="C1091" t="str">
            <v>IMP</v>
          </cell>
          <cell r="D1091" t="str">
            <v>BT</v>
          </cell>
          <cell r="E1091" t="str">
            <v>P3</v>
          </cell>
          <cell r="F1091">
            <v>39990</v>
          </cell>
          <cell r="G1091">
            <v>40001</v>
          </cell>
          <cell r="H1091" t="str">
            <v>4038301</v>
          </cell>
          <cell r="I1091" t="str">
            <v>STKM8938413</v>
          </cell>
          <cell r="K1091" t="str">
            <v>bizhub C250P</v>
          </cell>
          <cell r="L1091">
            <v>7200</v>
          </cell>
          <cell r="M1091">
            <v>16.579999999999998</v>
          </cell>
          <cell r="N1091">
            <v>2472</v>
          </cell>
          <cell r="O1091">
            <v>0.45432911392405073</v>
          </cell>
          <cell r="P1091">
            <v>31.6</v>
          </cell>
          <cell r="Q1091">
            <v>17.57</v>
          </cell>
          <cell r="R1091">
            <v>18.98</v>
          </cell>
          <cell r="S1091">
            <v>39.5</v>
          </cell>
          <cell r="T1091">
            <v>0.56346329113924054</v>
          </cell>
          <cell r="W1091">
            <v>2101.1999999999998</v>
          </cell>
          <cell r="X1091">
            <v>0.8</v>
          </cell>
          <cell r="Y1091" t="str">
            <v>Act freight</v>
          </cell>
          <cell r="AA1091">
            <v>54</v>
          </cell>
          <cell r="AB1091">
            <v>2102</v>
          </cell>
          <cell r="AC1091">
            <v>2335</v>
          </cell>
          <cell r="AD1091">
            <v>2465</v>
          </cell>
          <cell r="AE1091">
            <v>2594.0700000000002</v>
          </cell>
          <cell r="AF1091">
            <v>0.1899987278677909</v>
          </cell>
          <cell r="AG1091">
            <v>4.705732690328332E-2</v>
          </cell>
          <cell r="AH1091">
            <v>2647</v>
          </cell>
          <cell r="AI1091">
            <v>2699</v>
          </cell>
          <cell r="AJ1091">
            <v>0.22148944053353101</v>
          </cell>
          <cell r="AK1091">
            <v>2750.5</v>
          </cell>
          <cell r="AL1091">
            <v>2802</v>
          </cell>
          <cell r="AM1091">
            <v>0.25010706638115637</v>
          </cell>
          <cell r="AN1091">
            <v>3195.88</v>
          </cell>
          <cell r="AO1091">
            <v>3589.76</v>
          </cell>
          <cell r="AP1091">
            <v>3983.64</v>
          </cell>
          <cell r="AQ1091">
            <v>0</v>
          </cell>
          <cell r="AS1091">
            <v>7200</v>
          </cell>
        </row>
        <row r="1092">
          <cell r="B1092" t="str">
            <v>MB</v>
          </cell>
          <cell r="C1092" t="str">
            <v>IMP</v>
          </cell>
          <cell r="D1092" t="str">
            <v>BT</v>
          </cell>
          <cell r="E1092" t="str">
            <v>P3</v>
          </cell>
          <cell r="F1092">
            <v>39990</v>
          </cell>
          <cell r="G1092">
            <v>40001</v>
          </cell>
          <cell r="H1092" t="str">
            <v>4038311</v>
          </cell>
          <cell r="I1092">
            <v>8938451</v>
          </cell>
          <cell r="K1092" t="str">
            <v>bizhub C250</v>
          </cell>
          <cell r="L1092">
            <v>9995</v>
          </cell>
          <cell r="M1092">
            <v>11.26</v>
          </cell>
          <cell r="N1092">
            <v>3113</v>
          </cell>
          <cell r="O1092">
            <v>0.41448000000000002</v>
          </cell>
          <cell r="P1092">
            <v>20</v>
          </cell>
          <cell r="Q1092">
            <v>11.94</v>
          </cell>
          <cell r="R1092">
            <v>12.9</v>
          </cell>
          <cell r="S1092">
            <v>25</v>
          </cell>
          <cell r="T1092">
            <v>0.53158400000000006</v>
          </cell>
          <cell r="W1092">
            <v>2646.0499999999997</v>
          </cell>
          <cell r="X1092">
            <v>0.8</v>
          </cell>
          <cell r="Y1092" t="str">
            <v>Act freight</v>
          </cell>
          <cell r="AA1092">
            <v>39</v>
          </cell>
          <cell r="AB1092">
            <v>2647</v>
          </cell>
          <cell r="AC1092">
            <v>2941</v>
          </cell>
          <cell r="AD1092">
            <v>3104</v>
          </cell>
          <cell r="AE1092">
            <v>3266.73</v>
          </cell>
          <cell r="AF1092">
            <v>0.19000039795146836</v>
          </cell>
          <cell r="AG1092">
            <v>4.7059291707609759E-2</v>
          </cell>
          <cell r="AH1092">
            <v>3333</v>
          </cell>
          <cell r="AI1092">
            <v>3398</v>
          </cell>
          <cell r="AJ1092">
            <v>0.22129193643319608</v>
          </cell>
          <cell r="AK1092">
            <v>3463.5</v>
          </cell>
          <cell r="AL1092">
            <v>3529</v>
          </cell>
          <cell r="AM1092">
            <v>0.25019835647492217</v>
          </cell>
          <cell r="AN1092">
            <v>4024.9</v>
          </cell>
          <cell r="AO1092">
            <v>4520.8</v>
          </cell>
          <cell r="AP1092">
            <v>5016.7</v>
          </cell>
          <cell r="AQ1092">
            <v>0</v>
          </cell>
          <cell r="AS1092">
            <v>9995</v>
          </cell>
        </row>
        <row r="1093">
          <cell r="B1093" t="str">
            <v>MB</v>
          </cell>
          <cell r="C1093" t="str">
            <v>IMP</v>
          </cell>
          <cell r="D1093" t="str">
            <v>BT</v>
          </cell>
          <cell r="E1093" t="str">
            <v>P3</v>
          </cell>
          <cell r="F1093">
            <v>39990</v>
          </cell>
          <cell r="G1093">
            <v>40001</v>
          </cell>
          <cell r="H1093" t="str">
            <v>4384311</v>
          </cell>
          <cell r="K1093" t="str">
            <v>DISCONTINUED - Di3510f w/Dup, PC Drum</v>
          </cell>
          <cell r="L1093">
            <v>8500</v>
          </cell>
          <cell r="M1093">
            <v>0</v>
          </cell>
          <cell r="N1093">
            <v>2804</v>
          </cell>
          <cell r="O1093">
            <v>0</v>
          </cell>
          <cell r="P1093">
            <v>24.96</v>
          </cell>
          <cell r="Q1093">
            <v>25.44</v>
          </cell>
          <cell r="R1093">
            <v>27.48</v>
          </cell>
          <cell r="S1093">
            <v>0</v>
          </cell>
          <cell r="T1093">
            <v>0.16799999999999998</v>
          </cell>
          <cell r="W1093">
            <v>2383.4</v>
          </cell>
          <cell r="X1093">
            <v>0.83200000000000007</v>
          </cell>
          <cell r="Y1093" t="str">
            <v>Act freight</v>
          </cell>
          <cell r="AA1093">
            <v>49</v>
          </cell>
          <cell r="AB1093">
            <v>2384</v>
          </cell>
          <cell r="AC1093">
            <v>2649</v>
          </cell>
          <cell r="AD1093">
            <v>2796</v>
          </cell>
          <cell r="AE1093">
            <v>2942.47</v>
          </cell>
          <cell r="AF1093">
            <v>0.19000023789537354</v>
          </cell>
          <cell r="AG1093">
            <v>4.7059103406321835E-2</v>
          </cell>
          <cell r="AH1093">
            <v>3002</v>
          </cell>
          <cell r="AI1093">
            <v>3061</v>
          </cell>
          <cell r="AJ1093">
            <v>0.22136556680823258</v>
          </cell>
          <cell r="AK1093">
            <v>3119.5</v>
          </cell>
          <cell r="AL1093">
            <v>3178</v>
          </cell>
          <cell r="AM1093">
            <v>0.2500314663310258</v>
          </cell>
          <cell r="AN1093">
            <v>3624.85</v>
          </cell>
          <cell r="AO1093">
            <v>4071.7</v>
          </cell>
          <cell r="AP1093">
            <v>4518.55</v>
          </cell>
          <cell r="AQ1093">
            <v>0</v>
          </cell>
          <cell r="AS1093">
            <v>8500</v>
          </cell>
        </row>
        <row r="1094">
          <cell r="B1094" t="str">
            <v>MB</v>
          </cell>
          <cell r="C1094" t="str">
            <v>IMP</v>
          </cell>
          <cell r="D1094" t="str">
            <v>BT</v>
          </cell>
          <cell r="E1094" t="str">
            <v>P3</v>
          </cell>
          <cell r="F1094">
            <v>39990</v>
          </cell>
          <cell r="G1094">
            <v>40001</v>
          </cell>
          <cell r="H1094" t="str">
            <v>4384317</v>
          </cell>
          <cell r="K1094" t="str">
            <v>Di3510f GSA</v>
          </cell>
          <cell r="L1094">
            <v>8500</v>
          </cell>
          <cell r="M1094">
            <v>23</v>
          </cell>
          <cell r="N1094">
            <v>2804</v>
          </cell>
          <cell r="O1094">
            <v>0.38979591836734695</v>
          </cell>
          <cell r="P1094">
            <v>39.200000000000003</v>
          </cell>
          <cell r="Q1094">
            <v>24.38</v>
          </cell>
          <cell r="R1094">
            <v>26.33</v>
          </cell>
          <cell r="S1094">
            <v>49</v>
          </cell>
          <cell r="T1094">
            <v>0.51183673469387747</v>
          </cell>
          <cell r="W1094">
            <v>2383.4</v>
          </cell>
          <cell r="X1094">
            <v>0.8</v>
          </cell>
          <cell r="Y1094" t="str">
            <v>Act freight</v>
          </cell>
          <cell r="AA1094">
            <v>77</v>
          </cell>
          <cell r="AB1094">
            <v>2384</v>
          </cell>
          <cell r="AC1094">
            <v>2649</v>
          </cell>
          <cell r="AD1094">
            <v>2796</v>
          </cell>
          <cell r="AE1094">
            <v>2942.47</v>
          </cell>
          <cell r="AF1094">
            <v>0.19000023789537354</v>
          </cell>
          <cell r="AG1094">
            <v>4.7059103406321835E-2</v>
          </cell>
          <cell r="AH1094">
            <v>3002</v>
          </cell>
          <cell r="AI1094">
            <v>3061</v>
          </cell>
          <cell r="AJ1094">
            <v>0.22136556680823258</v>
          </cell>
          <cell r="AK1094">
            <v>3119.5</v>
          </cell>
          <cell r="AL1094">
            <v>3178</v>
          </cell>
          <cell r="AM1094">
            <v>0.2500314663310258</v>
          </cell>
          <cell r="AN1094">
            <v>3624.85</v>
          </cell>
          <cell r="AO1094">
            <v>4071.7</v>
          </cell>
          <cell r="AP1094">
            <v>4518.55</v>
          </cell>
          <cell r="AQ1094">
            <v>0</v>
          </cell>
          <cell r="AS1094">
            <v>8500</v>
          </cell>
        </row>
        <row r="1095">
          <cell r="B1095" t="str">
            <v>MB</v>
          </cell>
          <cell r="C1095" t="str">
            <v>IMP</v>
          </cell>
          <cell r="D1095" t="str">
            <v>BT</v>
          </cell>
          <cell r="E1095" t="str">
            <v>P3</v>
          </cell>
          <cell r="F1095">
            <v>39990</v>
          </cell>
          <cell r="G1095">
            <v>40001</v>
          </cell>
          <cell r="H1095" t="str">
            <v>4385311</v>
          </cell>
          <cell r="K1095" t="str">
            <v>Di3010f w/Dup, PC Drum</v>
          </cell>
          <cell r="L1095">
            <v>7550</v>
          </cell>
          <cell r="M1095">
            <v>23</v>
          </cell>
          <cell r="N1095">
            <v>2346</v>
          </cell>
          <cell r="O1095">
            <v>0.38979591836734695</v>
          </cell>
          <cell r="P1095">
            <v>39.200000000000003</v>
          </cell>
          <cell r="Q1095">
            <v>24.38</v>
          </cell>
          <cell r="R1095">
            <v>26.33</v>
          </cell>
          <cell r="S1095">
            <v>49</v>
          </cell>
          <cell r="T1095">
            <v>0.51183673469387747</v>
          </cell>
          <cell r="W1095">
            <v>1994.1</v>
          </cell>
          <cell r="X1095">
            <v>0.8</v>
          </cell>
          <cell r="Y1095" t="str">
            <v>Act freight</v>
          </cell>
          <cell r="AA1095">
            <v>77</v>
          </cell>
          <cell r="AB1095">
            <v>1995</v>
          </cell>
          <cell r="AC1095">
            <v>2216</v>
          </cell>
          <cell r="AD1095">
            <v>2339</v>
          </cell>
          <cell r="AE1095">
            <v>2461.85</v>
          </cell>
          <cell r="AF1095">
            <v>0.18999939070211427</v>
          </cell>
          <cell r="AG1095">
            <v>4.7058106708369685E-2</v>
          </cell>
          <cell r="AH1095">
            <v>2512</v>
          </cell>
          <cell r="AI1095">
            <v>2561</v>
          </cell>
          <cell r="AJ1095">
            <v>0.22135884420148383</v>
          </cell>
          <cell r="AK1095">
            <v>2610</v>
          </cell>
          <cell r="AL1095">
            <v>2659</v>
          </cell>
          <cell r="AM1095">
            <v>0.250056412185032</v>
          </cell>
          <cell r="AN1095">
            <v>3032.84</v>
          </cell>
          <cell r="AO1095">
            <v>3406.68</v>
          </cell>
          <cell r="AP1095">
            <v>3780.52</v>
          </cell>
          <cell r="AQ1095">
            <v>0</v>
          </cell>
          <cell r="AS1095">
            <v>7550</v>
          </cell>
        </row>
        <row r="1096">
          <cell r="B1096" t="str">
            <v>MB</v>
          </cell>
          <cell r="C1096" t="str">
            <v>IMP</v>
          </cell>
          <cell r="D1096" t="str">
            <v>BT</v>
          </cell>
          <cell r="E1096" t="str">
            <v>P3</v>
          </cell>
          <cell r="F1096">
            <v>39990</v>
          </cell>
          <cell r="G1096">
            <v>40001</v>
          </cell>
          <cell r="H1096" t="str">
            <v>4385317</v>
          </cell>
          <cell r="K1096" t="str">
            <v>Di3010f GSA</v>
          </cell>
          <cell r="L1096">
            <v>7550</v>
          </cell>
          <cell r="M1096">
            <v>23</v>
          </cell>
          <cell r="N1096">
            <v>2346</v>
          </cell>
          <cell r="O1096">
            <v>0.38979591836734695</v>
          </cell>
          <cell r="P1096">
            <v>39.200000000000003</v>
          </cell>
          <cell r="Q1096">
            <v>24.38</v>
          </cell>
          <cell r="R1096">
            <v>26.33</v>
          </cell>
          <cell r="S1096">
            <v>49</v>
          </cell>
          <cell r="T1096">
            <v>0.51183673469387747</v>
          </cell>
          <cell r="W1096">
            <v>1994.1</v>
          </cell>
          <cell r="X1096">
            <v>0.8</v>
          </cell>
          <cell r="Y1096" t="str">
            <v>Act freight</v>
          </cell>
          <cell r="AA1096">
            <v>77</v>
          </cell>
          <cell r="AB1096">
            <v>1995</v>
          </cell>
          <cell r="AC1096">
            <v>2216</v>
          </cell>
          <cell r="AD1096">
            <v>2339</v>
          </cell>
          <cell r="AE1096">
            <v>2461.85</v>
          </cell>
          <cell r="AF1096">
            <v>0.18999939070211427</v>
          </cell>
          <cell r="AG1096">
            <v>4.7058106708369685E-2</v>
          </cell>
          <cell r="AH1096">
            <v>2512</v>
          </cell>
          <cell r="AI1096">
            <v>2561</v>
          </cell>
          <cell r="AJ1096">
            <v>0.22135884420148383</v>
          </cell>
          <cell r="AK1096">
            <v>2610</v>
          </cell>
          <cell r="AL1096">
            <v>2659</v>
          </cell>
          <cell r="AM1096">
            <v>0.250056412185032</v>
          </cell>
          <cell r="AN1096">
            <v>3032.84</v>
          </cell>
          <cell r="AO1096">
            <v>3406.68</v>
          </cell>
          <cell r="AP1096">
            <v>3780.52</v>
          </cell>
          <cell r="AQ1096">
            <v>0</v>
          </cell>
          <cell r="AS1096">
            <v>7550</v>
          </cell>
        </row>
        <row r="1097">
          <cell r="B1097" t="str">
            <v>MB</v>
          </cell>
          <cell r="C1097" t="str">
            <v>IMP</v>
          </cell>
          <cell r="D1097" t="str">
            <v>BT</v>
          </cell>
          <cell r="E1097" t="str">
            <v>P3</v>
          </cell>
          <cell r="F1097">
            <v>39990</v>
          </cell>
          <cell r="G1097">
            <v>40001</v>
          </cell>
          <cell r="H1097" t="str">
            <v>4386311</v>
          </cell>
          <cell r="K1097" t="str">
            <v>Di2510f w/Dup, PC Drum</v>
          </cell>
          <cell r="L1097">
            <v>6490</v>
          </cell>
          <cell r="M1097">
            <v>0</v>
          </cell>
          <cell r="N1097">
            <v>2152</v>
          </cell>
          <cell r="O1097">
            <v>0</v>
          </cell>
          <cell r="P1097">
            <v>24</v>
          </cell>
          <cell r="Q1097">
            <v>21.2</v>
          </cell>
          <cell r="R1097">
            <v>22.9</v>
          </cell>
          <cell r="S1097">
            <v>0</v>
          </cell>
          <cell r="T1097">
            <v>0.30666666666666664</v>
          </cell>
          <cell r="W1097">
            <v>1829.2</v>
          </cell>
          <cell r="X1097">
            <v>0.8</v>
          </cell>
          <cell r="Y1097" t="str">
            <v>Act freight</v>
          </cell>
          <cell r="AA1097">
            <v>47</v>
          </cell>
          <cell r="AB1097">
            <v>1830</v>
          </cell>
          <cell r="AC1097">
            <v>2033</v>
          </cell>
          <cell r="AD1097">
            <v>2146</v>
          </cell>
          <cell r="AE1097">
            <v>2258.27</v>
          </cell>
          <cell r="AF1097">
            <v>0.18999942433809949</v>
          </cell>
          <cell r="AG1097">
            <v>4.7058146280117071E-2</v>
          </cell>
          <cell r="AH1097">
            <v>2304</v>
          </cell>
          <cell r="AI1097">
            <v>2349</v>
          </cell>
          <cell r="AJ1097">
            <v>0.2212856534695615</v>
          </cell>
          <cell r="AK1097">
            <v>2394</v>
          </cell>
          <cell r="AL1097">
            <v>2439</v>
          </cell>
          <cell r="AM1097">
            <v>0.25002050020500205</v>
          </cell>
          <cell r="AN1097">
            <v>2781.96</v>
          </cell>
          <cell r="AO1097">
            <v>3124.92</v>
          </cell>
          <cell r="AP1097">
            <v>3467.88</v>
          </cell>
          <cell r="AQ1097">
            <v>0</v>
          </cell>
          <cell r="AS1097">
            <v>6490</v>
          </cell>
        </row>
        <row r="1098">
          <cell r="B1098" t="str">
            <v>MB</v>
          </cell>
          <cell r="C1098" t="str">
            <v>IMP</v>
          </cell>
          <cell r="D1098" t="str">
            <v>BT</v>
          </cell>
          <cell r="E1098" t="str">
            <v>P3</v>
          </cell>
          <cell r="F1098">
            <v>39990</v>
          </cell>
          <cell r="G1098">
            <v>40001</v>
          </cell>
          <cell r="H1098" t="str">
            <v>4386317</v>
          </cell>
          <cell r="K1098" t="str">
            <v>Di2510f GSA</v>
          </cell>
          <cell r="L1098">
            <v>6490</v>
          </cell>
          <cell r="M1098">
            <v>220</v>
          </cell>
          <cell r="N1098">
            <v>2152</v>
          </cell>
          <cell r="O1098">
            <v>-0.17647058823529418</v>
          </cell>
          <cell r="P1098">
            <v>36.800000000000004</v>
          </cell>
          <cell r="Q1098">
            <v>23.32</v>
          </cell>
          <cell r="R1098">
            <v>25.19</v>
          </cell>
          <cell r="S1098">
            <v>350</v>
          </cell>
          <cell r="T1098">
            <v>0.50260869565217381</v>
          </cell>
          <cell r="W1098">
            <v>1829.2</v>
          </cell>
          <cell r="X1098">
            <v>0.8</v>
          </cell>
          <cell r="Y1098" t="str">
            <v>Act freight</v>
          </cell>
          <cell r="AA1098">
            <v>72</v>
          </cell>
          <cell r="AB1098">
            <v>1830</v>
          </cell>
          <cell r="AC1098">
            <v>2033</v>
          </cell>
          <cell r="AD1098">
            <v>2146</v>
          </cell>
          <cell r="AE1098">
            <v>2258.27</v>
          </cell>
          <cell r="AF1098">
            <v>0.18999942433809949</v>
          </cell>
          <cell r="AG1098">
            <v>4.7058146280117071E-2</v>
          </cell>
          <cell r="AH1098">
            <v>2304</v>
          </cell>
          <cell r="AI1098">
            <v>2349</v>
          </cell>
          <cell r="AJ1098">
            <v>0.2212856534695615</v>
          </cell>
          <cell r="AK1098">
            <v>2394</v>
          </cell>
          <cell r="AL1098">
            <v>2439</v>
          </cell>
          <cell r="AM1098">
            <v>0.25002050020500205</v>
          </cell>
          <cell r="AN1098">
            <v>2781.96</v>
          </cell>
          <cell r="AO1098">
            <v>3124.92</v>
          </cell>
          <cell r="AP1098">
            <v>3467.88</v>
          </cell>
          <cell r="AQ1098">
            <v>0</v>
          </cell>
          <cell r="AS1098">
            <v>6490</v>
          </cell>
        </row>
        <row r="1099">
          <cell r="B1099" t="str">
            <v>MB</v>
          </cell>
          <cell r="C1099" t="str">
            <v>IMP</v>
          </cell>
          <cell r="D1099" t="str">
            <v>BT</v>
          </cell>
          <cell r="E1099" t="str">
            <v>P3</v>
          </cell>
          <cell r="F1099">
            <v>39990</v>
          </cell>
          <cell r="G1099">
            <v>40001</v>
          </cell>
          <cell r="H1099" t="str">
            <v>4396311</v>
          </cell>
          <cell r="K1099" t="str">
            <v>Di7210 Digital Copier Package</v>
          </cell>
          <cell r="L1099">
            <v>26500</v>
          </cell>
          <cell r="M1099">
            <v>0</v>
          </cell>
          <cell r="N1099">
            <v>7846</v>
          </cell>
          <cell r="O1099">
            <v>0</v>
          </cell>
          <cell r="P1099">
            <v>36.800000000000004</v>
          </cell>
          <cell r="Q1099">
            <v>23.32</v>
          </cell>
          <cell r="R1099">
            <v>25.19</v>
          </cell>
          <cell r="S1099">
            <v>0</v>
          </cell>
          <cell r="T1099">
            <v>0.50260869565217381</v>
          </cell>
          <cell r="W1099">
            <v>6669.0999999999995</v>
          </cell>
          <cell r="X1099">
            <v>0.8</v>
          </cell>
          <cell r="Y1099" t="str">
            <v>Act freight</v>
          </cell>
          <cell r="AA1099">
            <v>72</v>
          </cell>
          <cell r="AB1099">
            <v>6670</v>
          </cell>
          <cell r="AC1099">
            <v>7411</v>
          </cell>
          <cell r="AD1099">
            <v>7823</v>
          </cell>
          <cell r="AE1099">
            <v>8233.4599999999991</v>
          </cell>
          <cell r="AF1099">
            <v>0.19000031578461543</v>
          </cell>
          <cell r="AG1099">
            <v>4.7059195040723971E-2</v>
          </cell>
          <cell r="AH1099">
            <v>8399</v>
          </cell>
          <cell r="AI1099">
            <v>8564</v>
          </cell>
          <cell r="AJ1099">
            <v>0.22126342830453066</v>
          </cell>
          <cell r="AK1099">
            <v>8728.5</v>
          </cell>
          <cell r="AL1099">
            <v>8893</v>
          </cell>
          <cell r="AM1099">
            <v>0.25007309119532223</v>
          </cell>
          <cell r="AN1099">
            <v>10143.24</v>
          </cell>
          <cell r="AO1099">
            <v>11393.48</v>
          </cell>
          <cell r="AP1099">
            <v>12643.72</v>
          </cell>
          <cell r="AQ1099">
            <v>0</v>
          </cell>
          <cell r="AS1099">
            <v>26500</v>
          </cell>
        </row>
        <row r="1100">
          <cell r="B1100" t="str">
            <v>MB</v>
          </cell>
          <cell r="C1100" t="str">
            <v>IMP</v>
          </cell>
          <cell r="D1100" t="str">
            <v>BT</v>
          </cell>
          <cell r="E1100" t="str">
            <v>P3</v>
          </cell>
          <cell r="F1100">
            <v>39990</v>
          </cell>
          <cell r="G1100">
            <v>40001</v>
          </cell>
          <cell r="H1100" t="str">
            <v>4397311</v>
          </cell>
          <cell r="K1100" t="str">
            <v>Di5510 Digital Copier Package</v>
          </cell>
          <cell r="L1100">
            <v>17950</v>
          </cell>
          <cell r="M1100">
            <v>22</v>
          </cell>
          <cell r="N1100">
            <v>5786</v>
          </cell>
          <cell r="O1100">
            <v>0.37826086956521737</v>
          </cell>
          <cell r="P1100">
            <v>36.800000000000004</v>
          </cell>
          <cell r="Q1100">
            <v>23.32</v>
          </cell>
          <cell r="R1100">
            <v>25.19</v>
          </cell>
          <cell r="S1100">
            <v>46</v>
          </cell>
          <cell r="T1100">
            <v>0.50260869565217381</v>
          </cell>
          <cell r="W1100">
            <v>4918.0999999999995</v>
          </cell>
          <cell r="X1100">
            <v>0.8</v>
          </cell>
          <cell r="Y1100" t="str">
            <v>Act freight</v>
          </cell>
          <cell r="AA1100">
            <v>72</v>
          </cell>
          <cell r="AB1100">
            <v>4919</v>
          </cell>
          <cell r="AC1100">
            <v>5465</v>
          </cell>
          <cell r="AD1100">
            <v>5769</v>
          </cell>
          <cell r="AE1100">
            <v>6071.73</v>
          </cell>
          <cell r="AF1100">
            <v>0.19000021410701731</v>
          </cell>
          <cell r="AG1100">
            <v>4.7059075420020254E-2</v>
          </cell>
          <cell r="AH1100">
            <v>6194</v>
          </cell>
          <cell r="AI1100">
            <v>6315</v>
          </cell>
          <cell r="AJ1100">
            <v>0.22120348376880453</v>
          </cell>
          <cell r="AK1100">
            <v>6436.5</v>
          </cell>
          <cell r="AL1100">
            <v>6558</v>
          </cell>
          <cell r="AM1100">
            <v>0.25006099420555056</v>
          </cell>
          <cell r="AN1100">
            <v>7480.01</v>
          </cell>
          <cell r="AO1100">
            <v>8402.02</v>
          </cell>
          <cell r="AP1100">
            <v>9324.0300000000007</v>
          </cell>
          <cell r="AQ1100">
            <v>0</v>
          </cell>
          <cell r="AS1100">
            <v>17950</v>
          </cell>
        </row>
        <row r="1101">
          <cell r="B1101" t="str">
            <v>MB</v>
          </cell>
          <cell r="C1101" t="str">
            <v>IMP</v>
          </cell>
          <cell r="D1101" t="str">
            <v>BT</v>
          </cell>
          <cell r="E1101" t="str">
            <v>P3</v>
          </cell>
          <cell r="F1101">
            <v>39990</v>
          </cell>
          <cell r="G1101">
            <v>40001</v>
          </cell>
          <cell r="H1101" t="str">
            <v>4399311</v>
          </cell>
          <cell r="K1101" t="str">
            <v>Di2010f w/ PC Drum</v>
          </cell>
          <cell r="L1101">
            <v>5330</v>
          </cell>
          <cell r="N1101">
            <v>1923</v>
          </cell>
          <cell r="W1101">
            <v>1634.55</v>
          </cell>
          <cell r="AB1101">
            <v>1635</v>
          </cell>
          <cell r="AC1101">
            <v>1817</v>
          </cell>
          <cell r="AD1101">
            <v>1918</v>
          </cell>
          <cell r="AE1101">
            <v>2017.96</v>
          </cell>
          <cell r="AF1101">
            <v>0.18999881068009281</v>
          </cell>
          <cell r="AG1101">
            <v>4.7057424329520918E-2</v>
          </cell>
          <cell r="AH1101">
            <v>2059</v>
          </cell>
          <cell r="AI1101">
            <v>2099</v>
          </cell>
          <cell r="AJ1101">
            <v>0.22127203430204861</v>
          </cell>
          <cell r="AK1101">
            <v>2139.5</v>
          </cell>
          <cell r="AL1101">
            <v>2180</v>
          </cell>
          <cell r="AM1101">
            <v>0.25020642201834864</v>
          </cell>
          <cell r="AN1101">
            <v>2486.33</v>
          </cell>
          <cell r="AO1101">
            <v>2792.66</v>
          </cell>
          <cell r="AP1101">
            <v>3098.99</v>
          </cell>
          <cell r="AQ1101">
            <v>0</v>
          </cell>
          <cell r="AS1101">
            <v>5330</v>
          </cell>
        </row>
        <row r="1102">
          <cell r="B1102" t="str">
            <v>MB</v>
          </cell>
          <cell r="C1102" t="str">
            <v>IMP</v>
          </cell>
          <cell r="D1102" t="str">
            <v>BT</v>
          </cell>
          <cell r="E1102" t="str">
            <v>P3</v>
          </cell>
          <cell r="F1102">
            <v>39990</v>
          </cell>
          <cell r="G1102">
            <v>40001</v>
          </cell>
          <cell r="H1102" t="str">
            <v>4399317</v>
          </cell>
          <cell r="K1102" t="str">
            <v>Di2010f GSA</v>
          </cell>
          <cell r="L1102">
            <v>5330</v>
          </cell>
          <cell r="M1102">
            <v>68</v>
          </cell>
          <cell r="N1102">
            <v>1923</v>
          </cell>
          <cell r="O1102">
            <v>-0.1764705882352941</v>
          </cell>
          <cell r="S1102">
            <v>88</v>
          </cell>
          <cell r="W1102">
            <v>1634.55</v>
          </cell>
          <cell r="AB1102">
            <v>1635</v>
          </cell>
          <cell r="AC1102">
            <v>1817</v>
          </cell>
          <cell r="AD1102">
            <v>1918</v>
          </cell>
          <cell r="AE1102">
            <v>2017.96</v>
          </cell>
          <cell r="AF1102">
            <v>0.18999881068009281</v>
          </cell>
          <cell r="AG1102">
            <v>4.7057424329520918E-2</v>
          </cell>
          <cell r="AH1102">
            <v>2059</v>
          </cell>
          <cell r="AI1102">
            <v>2099</v>
          </cell>
          <cell r="AJ1102">
            <v>0.22127203430204861</v>
          </cell>
          <cell r="AK1102">
            <v>2139.5</v>
          </cell>
          <cell r="AL1102">
            <v>2180</v>
          </cell>
          <cell r="AM1102">
            <v>0.25020642201834864</v>
          </cell>
          <cell r="AN1102">
            <v>2486.33</v>
          </cell>
          <cell r="AO1102">
            <v>2792.66</v>
          </cell>
          <cell r="AP1102">
            <v>3098.99</v>
          </cell>
          <cell r="AQ1102">
            <v>0</v>
          </cell>
          <cell r="AS1102">
            <v>5330</v>
          </cell>
        </row>
        <row r="1103">
          <cell r="B1103" t="str">
            <v>MB</v>
          </cell>
          <cell r="C1103" t="str">
            <v>IMP</v>
          </cell>
          <cell r="D1103" t="str">
            <v>BT</v>
          </cell>
          <cell r="E1103" t="str">
            <v>P3</v>
          </cell>
          <cell r="F1103">
            <v>39990</v>
          </cell>
          <cell r="G1103">
            <v>40001</v>
          </cell>
          <cell r="H1103" t="str">
            <v>4506301</v>
          </cell>
          <cell r="K1103" t="str">
            <v>Di183F Digital Copier/Fax</v>
          </cell>
          <cell r="L1103">
            <v>4540</v>
          </cell>
          <cell r="M1103">
            <v>14.87</v>
          </cell>
          <cell r="N1103">
            <v>1694</v>
          </cell>
          <cell r="O1103">
            <v>-0.17647058823529421</v>
          </cell>
          <cell r="S1103">
            <v>48.17</v>
          </cell>
          <cell r="W1103">
            <v>1439.8999999999999</v>
          </cell>
          <cell r="AB1103">
            <v>1440</v>
          </cell>
          <cell r="AC1103">
            <v>1600</v>
          </cell>
          <cell r="AD1103">
            <v>1689</v>
          </cell>
          <cell r="AE1103">
            <v>1777.65</v>
          </cell>
          <cell r="AF1103">
            <v>0.18999803110848604</v>
          </cell>
          <cell r="AG1103">
            <v>4.7056507186454072E-2</v>
          </cell>
          <cell r="AH1103">
            <v>1814</v>
          </cell>
          <cell r="AI1103">
            <v>1849</v>
          </cell>
          <cell r="AJ1103">
            <v>0.22125473228772316</v>
          </cell>
          <cell r="AK1103">
            <v>1884.5</v>
          </cell>
          <cell r="AL1103">
            <v>1920</v>
          </cell>
          <cell r="AM1103">
            <v>0.2500520833333334</v>
          </cell>
          <cell r="AN1103">
            <v>2189.9499999999998</v>
          </cell>
          <cell r="AO1103">
            <v>2459.9</v>
          </cell>
          <cell r="AP1103">
            <v>2729.85</v>
          </cell>
          <cell r="AQ1103">
            <v>0</v>
          </cell>
          <cell r="AS1103">
            <v>4540</v>
          </cell>
        </row>
        <row r="1104">
          <cell r="B1104" t="str">
            <v>MB</v>
          </cell>
          <cell r="C1104" t="str">
            <v>IMP</v>
          </cell>
          <cell r="D1104" t="str">
            <v>BT</v>
          </cell>
          <cell r="E1104" t="str">
            <v>P3</v>
          </cell>
          <cell r="F1104">
            <v>39990</v>
          </cell>
          <cell r="G1104">
            <v>40001</v>
          </cell>
          <cell r="H1104" t="str">
            <v>4507301</v>
          </cell>
          <cell r="K1104" t="str">
            <v>Di152f Digital Copier/Fax</v>
          </cell>
          <cell r="L1104">
            <v>4020</v>
          </cell>
          <cell r="M1104">
            <v>0</v>
          </cell>
          <cell r="N1104">
            <v>1637</v>
          </cell>
          <cell r="O1104">
            <v>0</v>
          </cell>
          <cell r="S1104">
            <v>0</v>
          </cell>
          <cell r="W1104">
            <v>1391.45</v>
          </cell>
          <cell r="AB1104">
            <v>1392</v>
          </cell>
          <cell r="AC1104">
            <v>1547</v>
          </cell>
          <cell r="AD1104">
            <v>1633</v>
          </cell>
          <cell r="AE1104">
            <v>1717.84</v>
          </cell>
          <cell r="AF1104">
            <v>0.19000023285055645</v>
          </cell>
          <cell r="AG1104">
            <v>4.7059097471242914E-2</v>
          </cell>
          <cell r="AH1104">
            <v>1753</v>
          </cell>
          <cell r="AI1104">
            <v>1787</v>
          </cell>
          <cell r="AJ1104">
            <v>0.22134862898712923</v>
          </cell>
          <cell r="AK1104">
            <v>1821.5</v>
          </cell>
          <cell r="AL1104">
            <v>1856</v>
          </cell>
          <cell r="AM1104">
            <v>0.25029633620689651</v>
          </cell>
          <cell r="AN1104">
            <v>2116.71</v>
          </cell>
          <cell r="AO1104">
            <v>2377.42</v>
          </cell>
          <cell r="AP1104">
            <v>2638.13</v>
          </cell>
          <cell r="AQ1104">
            <v>0</v>
          </cell>
          <cell r="AS1104">
            <v>4020</v>
          </cell>
        </row>
        <row r="1105">
          <cell r="B1105" t="str">
            <v>MB</v>
          </cell>
          <cell r="C1105" t="str">
            <v>IMP</v>
          </cell>
          <cell r="D1105" t="str">
            <v>BT</v>
          </cell>
          <cell r="E1105" t="str">
            <v>P3</v>
          </cell>
          <cell r="F1105">
            <v>39990</v>
          </cell>
          <cell r="G1105">
            <v>40001</v>
          </cell>
          <cell r="H1105" t="str">
            <v>4555311</v>
          </cell>
          <cell r="K1105" t="str">
            <v>bizhub C450 GSA</v>
          </cell>
          <cell r="L1105">
            <v>16035</v>
          </cell>
          <cell r="N1105">
            <v>5007</v>
          </cell>
          <cell r="W1105">
            <v>4255.95</v>
          </cell>
          <cell r="AB1105">
            <v>4256</v>
          </cell>
          <cell r="AC1105">
            <v>4729</v>
          </cell>
          <cell r="AD1105">
            <v>4992</v>
          </cell>
          <cell r="AE1105">
            <v>5254.26</v>
          </cell>
          <cell r="AF1105">
            <v>0.19000011419305485</v>
          </cell>
          <cell r="AG1105">
            <v>4.7058957874182135E-2</v>
          </cell>
          <cell r="AH1105">
            <v>5360</v>
          </cell>
          <cell r="AI1105">
            <v>5465</v>
          </cell>
          <cell r="AJ1105">
            <v>0.22123513266239711</v>
          </cell>
          <cell r="AK1105">
            <v>5570</v>
          </cell>
          <cell r="AL1105">
            <v>5675</v>
          </cell>
          <cell r="AM1105">
            <v>0.25005286343612337</v>
          </cell>
          <cell r="AN1105">
            <v>6472.89</v>
          </cell>
          <cell r="AO1105">
            <v>7270.78</v>
          </cell>
          <cell r="AP1105">
            <v>8068.67</v>
          </cell>
          <cell r="AQ1105">
            <v>0</v>
          </cell>
          <cell r="AS1105">
            <v>16035</v>
          </cell>
        </row>
        <row r="1106">
          <cell r="B1106" t="str">
            <v>MB</v>
          </cell>
          <cell r="C1106" t="str">
            <v>IMP</v>
          </cell>
          <cell r="D1106" t="str">
            <v>BT</v>
          </cell>
          <cell r="E1106" t="str">
            <v>P3</v>
          </cell>
          <cell r="F1106">
            <v>39990</v>
          </cell>
          <cell r="G1106">
            <v>40001</v>
          </cell>
          <cell r="H1106" t="str">
            <v>4969221</v>
          </cell>
          <cell r="K1106" t="str">
            <v>CF 5001 50/50 ppm Color MFP</v>
          </cell>
          <cell r="L1106">
            <v>36690</v>
          </cell>
          <cell r="N1106">
            <v>13047</v>
          </cell>
          <cell r="W1106">
            <v>11089.949999999999</v>
          </cell>
          <cell r="AB1106">
            <v>11090</v>
          </cell>
          <cell r="AC1106">
            <v>12323</v>
          </cell>
          <cell r="AD1106">
            <v>13008</v>
          </cell>
          <cell r="AE1106">
            <v>13691.3</v>
          </cell>
          <cell r="AF1106">
            <v>0.19000021911724968</v>
          </cell>
          <cell r="AG1106">
            <v>4.7059081314411291E-2</v>
          </cell>
          <cell r="AH1106">
            <v>13966</v>
          </cell>
          <cell r="AI1106">
            <v>14240</v>
          </cell>
          <cell r="AJ1106">
            <v>0.22121137640449445</v>
          </cell>
          <cell r="AK1106">
            <v>14513.5</v>
          </cell>
          <cell r="AL1106">
            <v>14787</v>
          </cell>
          <cell r="AM1106">
            <v>0.25002028809089072</v>
          </cell>
          <cell r="AN1106">
            <v>16866.27</v>
          </cell>
          <cell r="AO1106">
            <v>18945.54</v>
          </cell>
          <cell r="AP1106">
            <v>21024.81</v>
          </cell>
          <cell r="AQ1106">
            <v>0</v>
          </cell>
          <cell r="AS1106">
            <v>36690</v>
          </cell>
        </row>
        <row r="1107">
          <cell r="B1107" t="str">
            <v>MB</v>
          </cell>
          <cell r="C1107" t="str">
            <v>IMP</v>
          </cell>
          <cell r="D1107" t="str">
            <v>BT</v>
          </cell>
          <cell r="E1107" t="str">
            <v>P3</v>
          </cell>
          <cell r="F1107">
            <v>39990</v>
          </cell>
          <cell r="G1107">
            <v>40001</v>
          </cell>
          <cell r="H1107" t="str">
            <v>56YE</v>
          </cell>
          <cell r="I1107" t="str">
            <v>9KMBHPRO1050v2_X</v>
          </cell>
          <cell r="K1107" t="str">
            <v>bizhub PRO 1050 V.2</v>
          </cell>
          <cell r="L1107">
            <v>59610</v>
          </cell>
          <cell r="N1107">
            <v>18712</v>
          </cell>
          <cell r="W1107">
            <v>15905.199999999999</v>
          </cell>
          <cell r="AB1107">
            <v>15906</v>
          </cell>
          <cell r="AC1107">
            <v>17673</v>
          </cell>
          <cell r="AD1107">
            <v>18655</v>
          </cell>
          <cell r="AE1107">
            <v>19636.05</v>
          </cell>
          <cell r="AF1107">
            <v>0.19000002546336969</v>
          </cell>
          <cell r="AG1107">
            <v>4.705885348631722E-2</v>
          </cell>
          <cell r="AH1107">
            <v>20030</v>
          </cell>
          <cell r="AI1107">
            <v>20422</v>
          </cell>
          <cell r="AJ1107">
            <v>0.22117324454020179</v>
          </cell>
          <cell r="AK1107">
            <v>20814.5</v>
          </cell>
          <cell r="AL1107">
            <v>21207</v>
          </cell>
          <cell r="AM1107">
            <v>0.25000235771207624</v>
          </cell>
          <cell r="AN1107">
            <v>24189.21</v>
          </cell>
          <cell r="AO1107">
            <v>27171.42</v>
          </cell>
          <cell r="AP1107">
            <v>30153.63</v>
          </cell>
          <cell r="AQ1107">
            <v>0</v>
          </cell>
          <cell r="AS1107">
            <v>59610</v>
          </cell>
        </row>
        <row r="1108">
          <cell r="B1108" t="str">
            <v>MB</v>
          </cell>
          <cell r="C1108" t="str">
            <v>IMP</v>
          </cell>
          <cell r="D1108" t="str">
            <v>BT</v>
          </cell>
          <cell r="E1108" t="str">
            <v>P3</v>
          </cell>
          <cell r="F1108">
            <v>39990</v>
          </cell>
          <cell r="G1108">
            <v>40001</v>
          </cell>
          <cell r="H1108" t="str">
            <v>56ZE</v>
          </cell>
          <cell r="I1108" t="str">
            <v>9KMBHPRO1050P_X</v>
          </cell>
          <cell r="K1108" t="str">
            <v>bizhub PRO 1050P</v>
          </cell>
          <cell r="L1108">
            <v>52610</v>
          </cell>
          <cell r="N1108">
            <v>16995</v>
          </cell>
          <cell r="W1108">
            <v>14445.75</v>
          </cell>
          <cell r="AB1108">
            <v>14446</v>
          </cell>
          <cell r="AC1108">
            <v>16051</v>
          </cell>
          <cell r="AD1108">
            <v>16943</v>
          </cell>
          <cell r="AE1108">
            <v>17834.259999999998</v>
          </cell>
          <cell r="AF1108">
            <v>0.19000003364311155</v>
          </cell>
          <cell r="AG1108">
            <v>4.7058863109543006E-2</v>
          </cell>
          <cell r="AH1108">
            <v>18192</v>
          </cell>
          <cell r="AI1108">
            <v>18548</v>
          </cell>
          <cell r="AJ1108">
            <v>0.22116939831787794</v>
          </cell>
          <cell r="AK1108">
            <v>18904.5</v>
          </cell>
          <cell r="AL1108">
            <v>19261</v>
          </cell>
          <cell r="AM1108">
            <v>0.25</v>
          </cell>
          <cell r="AN1108">
            <v>21969.58</v>
          </cell>
          <cell r="AO1108">
            <v>24678.16</v>
          </cell>
          <cell r="AP1108">
            <v>27386.74</v>
          </cell>
          <cell r="AQ1108">
            <v>0</v>
          </cell>
          <cell r="AS1108">
            <v>52610</v>
          </cell>
        </row>
        <row r="1109">
          <cell r="B1109" t="str">
            <v>MB</v>
          </cell>
          <cell r="C1109" t="str">
            <v>IMP</v>
          </cell>
          <cell r="D1109" t="str">
            <v>BT</v>
          </cell>
          <cell r="E1109" t="str">
            <v>P3</v>
          </cell>
          <cell r="F1109">
            <v>39990</v>
          </cell>
          <cell r="G1109">
            <v>40001</v>
          </cell>
          <cell r="H1109" t="str">
            <v>65LE</v>
          </cell>
          <cell r="J1109" t="str">
            <v>NLA</v>
          </cell>
          <cell r="K1109" t="str">
            <v>bizhub PRO C500 Color Printer/Copier/Scanner</v>
          </cell>
          <cell r="L1109">
            <v>35900</v>
          </cell>
          <cell r="M1109">
            <v>10260</v>
          </cell>
          <cell r="N1109">
            <v>5335.2</v>
          </cell>
          <cell r="O1109">
            <v>-0.17647058823529405</v>
          </cell>
          <cell r="S1109">
            <v>15050</v>
          </cell>
          <cell r="W1109">
            <v>4534.92</v>
          </cell>
          <cell r="AB1109">
            <v>4535</v>
          </cell>
          <cell r="AC1109">
            <v>5039</v>
          </cell>
          <cell r="AD1109">
            <v>5319</v>
          </cell>
          <cell r="AE1109">
            <v>5598.67</v>
          </cell>
          <cell r="AF1109">
            <v>0.19000048225739327</v>
          </cell>
          <cell r="AG1109">
            <v>4.7059390891050955E-2</v>
          </cell>
          <cell r="AH1109">
            <v>5711</v>
          </cell>
          <cell r="AI1109">
            <v>5823</v>
          </cell>
          <cell r="AJ1109">
            <v>0.22120556414219472</v>
          </cell>
          <cell r="AK1109">
            <v>5935</v>
          </cell>
          <cell r="AL1109">
            <v>6047</v>
          </cell>
          <cell r="AM1109">
            <v>0.25005457251529684</v>
          </cell>
          <cell r="AN1109">
            <v>6897.19</v>
          </cell>
          <cell r="AO1109">
            <v>7747.38</v>
          </cell>
          <cell r="AP1109">
            <v>8597.57</v>
          </cell>
          <cell r="AQ1109">
            <v>0</v>
          </cell>
          <cell r="AS1109">
            <v>35900</v>
          </cell>
        </row>
        <row r="1110">
          <cell r="B1110" t="str">
            <v>MB</v>
          </cell>
          <cell r="C1110" t="str">
            <v>IMP</v>
          </cell>
          <cell r="D1110" t="str">
            <v>BT</v>
          </cell>
          <cell r="E1110" t="str">
            <v>P3</v>
          </cell>
          <cell r="F1110">
            <v>39990</v>
          </cell>
          <cell r="G1110">
            <v>40001</v>
          </cell>
          <cell r="H1110" t="str">
            <v>65LEX003</v>
          </cell>
          <cell r="K1110" t="str">
            <v>bizhub PRO C500 w/IC-301 PROMO PKG</v>
          </cell>
          <cell r="L1110">
            <v>62400</v>
          </cell>
          <cell r="M1110">
            <v>20760</v>
          </cell>
          <cell r="N1110">
            <v>12677.2</v>
          </cell>
          <cell r="O1110">
            <v>-0.1764705882352941</v>
          </cell>
          <cell r="S1110">
            <v>32275</v>
          </cell>
          <cell r="W1110">
            <v>10775.62</v>
          </cell>
          <cell r="AB1110">
            <v>10776</v>
          </cell>
          <cell r="AC1110">
            <v>11973</v>
          </cell>
          <cell r="AD1110">
            <v>12639</v>
          </cell>
          <cell r="AE1110">
            <v>13303.23</v>
          </cell>
          <cell r="AF1110">
            <v>0.18999972187205655</v>
          </cell>
          <cell r="AG1110">
            <v>4.7058496320066548E-2</v>
          </cell>
          <cell r="AH1110">
            <v>13570</v>
          </cell>
          <cell r="AI1110">
            <v>13836</v>
          </cell>
          <cell r="AJ1110">
            <v>0.22118965018791553</v>
          </cell>
          <cell r="AK1110">
            <v>14102</v>
          </cell>
          <cell r="AL1110">
            <v>14368</v>
          </cell>
          <cell r="AM1110">
            <v>0.25002644766146986</v>
          </cell>
          <cell r="AN1110">
            <v>16388.3</v>
          </cell>
          <cell r="AO1110">
            <v>18408.599999999999</v>
          </cell>
          <cell r="AP1110">
            <v>20428.900000000001</v>
          </cell>
          <cell r="AQ1110">
            <v>0</v>
          </cell>
          <cell r="AS1110">
            <v>62400</v>
          </cell>
        </row>
        <row r="1111">
          <cell r="B1111" t="str">
            <v>MB</v>
          </cell>
          <cell r="C1111" t="str">
            <v>IMP</v>
          </cell>
          <cell r="D1111" t="str">
            <v>BT</v>
          </cell>
          <cell r="E1111" t="str">
            <v>P3</v>
          </cell>
          <cell r="F1111">
            <v>40000</v>
          </cell>
          <cell r="G1111">
            <v>40001</v>
          </cell>
          <cell r="H1111" t="str">
            <v>56UJ</v>
          </cell>
          <cell r="K1111" t="str">
            <v>bizhub PRO 1050 GSA</v>
          </cell>
          <cell r="L1111">
            <v>62591</v>
          </cell>
          <cell r="N1111">
            <v>18712</v>
          </cell>
          <cell r="O1111">
            <v>-0.17647058823529418</v>
          </cell>
          <cell r="P1111">
            <v>15905.199999999999</v>
          </cell>
          <cell r="Q1111">
            <v>0</v>
          </cell>
          <cell r="R1111">
            <v>0</v>
          </cell>
          <cell r="S1111">
            <v>26775</v>
          </cell>
          <cell r="T1111">
            <v>0.30113912231559292</v>
          </cell>
          <cell r="U1111">
            <v>18743</v>
          </cell>
          <cell r="V1111">
            <v>1.653950808301766E-3</v>
          </cell>
          <cell r="W1111">
            <v>15905.199999999999</v>
          </cell>
          <cell r="X1111">
            <v>0.59403174603174602</v>
          </cell>
          <cell r="Y1111">
            <v>800</v>
          </cell>
          <cell r="Z1111">
            <v>500</v>
          </cell>
          <cell r="AA1111">
            <v>19243</v>
          </cell>
          <cell r="AB1111">
            <v>15906</v>
          </cell>
          <cell r="AC1111">
            <v>17673</v>
          </cell>
          <cell r="AD1111">
            <v>18655</v>
          </cell>
          <cell r="AE1111">
            <v>19636.05</v>
          </cell>
          <cell r="AF1111">
            <v>0.19000002546336969</v>
          </cell>
          <cell r="AG1111">
            <v>4.705885348631722E-2</v>
          </cell>
          <cell r="AH1111">
            <v>20030</v>
          </cell>
          <cell r="AI1111">
            <v>20422</v>
          </cell>
          <cell r="AJ1111">
            <v>0.22117324454020179</v>
          </cell>
          <cell r="AK1111">
            <v>20814.5</v>
          </cell>
          <cell r="AL1111">
            <v>21207</v>
          </cell>
          <cell r="AM1111">
            <v>0.25000235771207624</v>
          </cell>
          <cell r="AN1111">
            <v>24189.21</v>
          </cell>
          <cell r="AO1111">
            <v>27171.42</v>
          </cell>
          <cell r="AP1111">
            <v>30153.63</v>
          </cell>
          <cell r="AQ1111">
            <v>0</v>
          </cell>
          <cell r="AR1111">
            <v>811</v>
          </cell>
          <cell r="AS1111">
            <v>62591</v>
          </cell>
        </row>
        <row r="1112">
          <cell r="B1112" t="str">
            <v>MB</v>
          </cell>
          <cell r="C1112" t="str">
            <v>IMP</v>
          </cell>
          <cell r="D1112" t="str">
            <v>BT</v>
          </cell>
          <cell r="E1112" t="str">
            <v>P3</v>
          </cell>
          <cell r="F1112">
            <v>40017</v>
          </cell>
          <cell r="G1112">
            <v>40017</v>
          </cell>
          <cell r="H1112" t="str">
            <v>56VE</v>
          </cell>
          <cell r="I1112" t="str">
            <v>9KMBHPRO1050P_X</v>
          </cell>
          <cell r="K1112" t="str">
            <v>bizhub PRO 1050P</v>
          </cell>
          <cell r="L1112">
            <v>52610</v>
          </cell>
          <cell r="M1112">
            <v>0</v>
          </cell>
          <cell r="N1112">
            <v>16995</v>
          </cell>
          <cell r="O1112">
            <v>0</v>
          </cell>
          <cell r="S1112">
            <v>0</v>
          </cell>
          <cell r="W1112">
            <v>14445.75</v>
          </cell>
          <cell r="AB1112">
            <v>14446</v>
          </cell>
          <cell r="AC1112">
            <v>16051</v>
          </cell>
          <cell r="AD1112">
            <v>16943</v>
          </cell>
          <cell r="AE1112">
            <v>17834.259999999998</v>
          </cell>
          <cell r="AF1112">
            <v>0.19000003364311155</v>
          </cell>
          <cell r="AG1112">
            <v>4.7058863109543006E-2</v>
          </cell>
          <cell r="AH1112">
            <v>18192</v>
          </cell>
          <cell r="AI1112">
            <v>18548</v>
          </cell>
          <cell r="AJ1112">
            <v>0.22116939831787794</v>
          </cell>
          <cell r="AK1112">
            <v>18904.5</v>
          </cell>
          <cell r="AL1112">
            <v>19261</v>
          </cell>
          <cell r="AM1112">
            <v>0.25</v>
          </cell>
          <cell r="AN1112">
            <v>21969.58</v>
          </cell>
          <cell r="AO1112">
            <v>24678.16</v>
          </cell>
          <cell r="AP1112">
            <v>27386.74</v>
          </cell>
          <cell r="AQ1112">
            <v>0</v>
          </cell>
          <cell r="AS1112">
            <v>52610</v>
          </cell>
        </row>
        <row r="1113">
          <cell r="B1113" t="str">
            <v>MB</v>
          </cell>
          <cell r="C1113" t="str">
            <v>IMP</v>
          </cell>
          <cell r="D1113" t="str">
            <v>BT</v>
          </cell>
          <cell r="E1113" t="str">
            <v>08</v>
          </cell>
          <cell r="F1113">
            <v>40038</v>
          </cell>
          <cell r="G1113">
            <v>40038</v>
          </cell>
          <cell r="H1113" t="str">
            <v>A0G6011</v>
          </cell>
          <cell r="I1113" t="str">
            <v>9KMBHPRO1200_N</v>
          </cell>
          <cell r="K1113" t="str">
            <v>bizhub PRO 1200 120 ppm Production Printer/Copier/Scanner</v>
          </cell>
          <cell r="L1113">
            <v>74900</v>
          </cell>
          <cell r="M1113">
            <v>15900</v>
          </cell>
          <cell r="N1113">
            <v>16536</v>
          </cell>
          <cell r="O1113">
            <v>0.26408544726301736</v>
          </cell>
          <cell r="P1113">
            <v>22470</v>
          </cell>
          <cell r="Q1113">
            <v>16854</v>
          </cell>
          <cell r="R1113">
            <v>19045.02</v>
          </cell>
          <cell r="S1113">
            <v>32100</v>
          </cell>
          <cell r="T1113">
            <v>0.48485981308411213</v>
          </cell>
          <cell r="U1113">
            <v>22470</v>
          </cell>
          <cell r="V1113">
            <v>0.26408544726301736</v>
          </cell>
          <cell r="W1113">
            <v>22470</v>
          </cell>
          <cell r="X1113">
            <v>0.7</v>
          </cell>
          <cell r="Y1113">
            <v>800</v>
          </cell>
          <cell r="Z1113">
            <v>500</v>
          </cell>
          <cell r="AA1113">
            <v>29758</v>
          </cell>
          <cell r="AB1113">
            <v>22470</v>
          </cell>
          <cell r="AC1113">
            <v>27403</v>
          </cell>
          <cell r="AD1113">
            <v>29261</v>
          </cell>
          <cell r="AE1113">
            <v>30364.86</v>
          </cell>
          <cell r="AF1113">
            <v>0.25999988144190356</v>
          </cell>
          <cell r="AG1113">
            <v>0.45542314372600434</v>
          </cell>
          <cell r="AH1113">
            <v>31648</v>
          </cell>
          <cell r="AI1113">
            <v>35110</v>
          </cell>
          <cell r="AJ1113">
            <v>0.36001139276559385</v>
          </cell>
          <cell r="AK1113">
            <v>38741.379999999997</v>
          </cell>
          <cell r="AL1113">
            <v>43716</v>
          </cell>
          <cell r="AM1113">
            <v>0.48600054899807849</v>
          </cell>
          <cell r="AN1113">
            <v>51512</v>
          </cell>
          <cell r="AO1113">
            <v>59308</v>
          </cell>
          <cell r="AP1113">
            <v>67104</v>
          </cell>
          <cell r="AQ1113">
            <v>0</v>
          </cell>
          <cell r="AR1113">
            <v>811</v>
          </cell>
          <cell r="AS1113">
            <v>74900</v>
          </cell>
        </row>
        <row r="1114">
          <cell r="B1114" t="str">
            <v>MB</v>
          </cell>
          <cell r="C1114" t="str">
            <v>IMP</v>
          </cell>
          <cell r="D1114" t="str">
            <v>BT</v>
          </cell>
          <cell r="E1114" t="str">
            <v>08</v>
          </cell>
          <cell r="F1114">
            <v>40038</v>
          </cell>
          <cell r="G1114">
            <v>40038</v>
          </cell>
          <cell r="H1114" t="str">
            <v>A0G9011</v>
          </cell>
          <cell r="I1114" t="str">
            <v>9KMBHPRO1051_N</v>
          </cell>
          <cell r="K1114" t="str">
            <v>bizhub PRO 1051</v>
          </cell>
          <cell r="L1114">
            <v>62590</v>
          </cell>
          <cell r="M1114">
            <v>12900</v>
          </cell>
          <cell r="N1114">
            <v>13416</v>
          </cell>
          <cell r="O1114">
            <v>0.28419367747098839</v>
          </cell>
          <cell r="P1114">
            <v>18742.5</v>
          </cell>
          <cell r="Q1114">
            <v>13674</v>
          </cell>
          <cell r="R1114">
            <v>15451.62</v>
          </cell>
          <cell r="S1114">
            <v>26775</v>
          </cell>
          <cell r="T1114">
            <v>0.49893557422969187</v>
          </cell>
          <cell r="U1114">
            <v>18743</v>
          </cell>
          <cell r="V1114">
            <v>0.28421277276850027</v>
          </cell>
          <cell r="W1114">
            <v>18742.5</v>
          </cell>
          <cell r="X1114">
            <v>0.7</v>
          </cell>
          <cell r="Y1114">
            <v>800</v>
          </cell>
          <cell r="Z1114">
            <v>500</v>
          </cell>
          <cell r="AA1114">
            <v>24821</v>
          </cell>
          <cell r="AB1114">
            <v>18743</v>
          </cell>
          <cell r="AC1114">
            <v>22857</v>
          </cell>
          <cell r="AD1114">
            <v>24407</v>
          </cell>
          <cell r="AE1114">
            <v>25327.7</v>
          </cell>
          <cell r="AF1114">
            <v>0.2599999210350723</v>
          </cell>
          <cell r="AG1114">
            <v>0.47030326480493689</v>
          </cell>
          <cell r="AH1114">
            <v>26398</v>
          </cell>
          <cell r="AI1114">
            <v>29286</v>
          </cell>
          <cell r="AJ1114">
            <v>0.36001843884449908</v>
          </cell>
          <cell r="AK1114">
            <v>32314.66</v>
          </cell>
          <cell r="AL1114">
            <v>36465</v>
          </cell>
          <cell r="AM1114">
            <v>0.48601398601398599</v>
          </cell>
          <cell r="AN1114">
            <v>42996.25</v>
          </cell>
          <cell r="AO1114">
            <v>49527.5</v>
          </cell>
          <cell r="AP1114">
            <v>56058.75</v>
          </cell>
          <cell r="AQ1114">
            <v>0</v>
          </cell>
          <cell r="AR1114">
            <v>811</v>
          </cell>
          <cell r="AS1114">
            <v>62590</v>
          </cell>
        </row>
        <row r="1115">
          <cell r="B1115" t="str">
            <v>MB</v>
          </cell>
          <cell r="C1115" t="str">
            <v>IMP</v>
          </cell>
          <cell r="D1115" t="str">
            <v>BT</v>
          </cell>
          <cell r="E1115" t="str">
            <v>08</v>
          </cell>
          <cell r="F1115">
            <v>40038</v>
          </cell>
          <cell r="G1115">
            <v>40038</v>
          </cell>
          <cell r="H1115" t="str">
            <v>A0GA011</v>
          </cell>
          <cell r="I1115" t="str">
            <v>9KMBHPRO1200P_N</v>
          </cell>
          <cell r="K1115" t="str">
            <v>bizhub PRO 1200P 120 ppm Production Printer</v>
          </cell>
          <cell r="L1115">
            <v>65900</v>
          </cell>
          <cell r="M1115">
            <v>14700</v>
          </cell>
          <cell r="N1115">
            <v>15288</v>
          </cell>
          <cell r="O1115">
            <v>0.22277580071174377</v>
          </cell>
          <cell r="P1115">
            <v>19670</v>
          </cell>
          <cell r="Q1115">
            <v>15582</v>
          </cell>
          <cell r="R1115">
            <v>17607.66</v>
          </cell>
          <cell r="S1115">
            <v>28100</v>
          </cell>
          <cell r="T1115">
            <v>0.45594306049822064</v>
          </cell>
          <cell r="U1115">
            <v>19670</v>
          </cell>
          <cell r="V1115">
            <v>0.22277580071174377</v>
          </cell>
          <cell r="W1115">
            <v>19670</v>
          </cell>
          <cell r="X1115">
            <v>0.7</v>
          </cell>
          <cell r="Y1115">
            <v>800</v>
          </cell>
          <cell r="Z1115">
            <v>500</v>
          </cell>
          <cell r="AA1115">
            <v>26049</v>
          </cell>
          <cell r="AB1115">
            <v>19670</v>
          </cell>
          <cell r="AC1115">
            <v>23988</v>
          </cell>
          <cell r="AD1115">
            <v>25615</v>
          </cell>
          <cell r="AE1115">
            <v>26581.08</v>
          </cell>
          <cell r="AF1115">
            <v>0.25999996990340501</v>
          </cell>
          <cell r="AG1115">
            <v>0.42485406913488843</v>
          </cell>
          <cell r="AH1115">
            <v>27705</v>
          </cell>
          <cell r="AI1115">
            <v>30735</v>
          </cell>
          <cell r="AJ1115">
            <v>0.36001301447860745</v>
          </cell>
          <cell r="AK1115">
            <v>33913.79</v>
          </cell>
          <cell r="AL1115">
            <v>38269</v>
          </cell>
          <cell r="AM1115">
            <v>0.48600695079568318</v>
          </cell>
          <cell r="AN1115">
            <v>45176.75</v>
          </cell>
          <cell r="AO1115">
            <v>52084.5</v>
          </cell>
          <cell r="AP1115">
            <v>58992.25</v>
          </cell>
          <cell r="AQ1115">
            <v>0</v>
          </cell>
          <cell r="AR1115">
            <v>811</v>
          </cell>
          <cell r="AS1115">
            <v>65900</v>
          </cell>
        </row>
        <row r="1116">
          <cell r="B1116" t="str">
            <v>MB</v>
          </cell>
          <cell r="C1116" t="str">
            <v>IMP</v>
          </cell>
          <cell r="D1116" t="str">
            <v>BT</v>
          </cell>
          <cell r="E1116" t="str">
            <v>08</v>
          </cell>
          <cell r="F1116">
            <v>40056</v>
          </cell>
          <cell r="G1116">
            <v>40056</v>
          </cell>
          <cell r="H1116" t="str">
            <v>A0ED011</v>
          </cell>
          <cell r="I1116" t="str">
            <v>9KMBHC360_N</v>
          </cell>
          <cell r="K1116" t="str">
            <v>bizhub C360</v>
          </cell>
          <cell r="L1116">
            <v>13613</v>
          </cell>
          <cell r="M1116">
            <v>3265</v>
          </cell>
          <cell r="N1116">
            <v>3395.6</v>
          </cell>
          <cell r="O1116">
            <v>0.24734567217111827</v>
          </cell>
          <cell r="P1116">
            <v>4511.5</v>
          </cell>
          <cell r="Q1116">
            <v>3460.9</v>
          </cell>
          <cell r="R1116">
            <v>3910.82</v>
          </cell>
          <cell r="S1116">
            <v>6445</v>
          </cell>
          <cell r="T1116">
            <v>0.4731419705197828</v>
          </cell>
          <cell r="U1116">
            <v>4512</v>
          </cell>
          <cell r="V1116">
            <v>0.24742907801418443</v>
          </cell>
          <cell r="W1116">
            <v>4511.5</v>
          </cell>
          <cell r="X1116">
            <v>0.7</v>
          </cell>
          <cell r="Y1116">
            <v>150</v>
          </cell>
          <cell r="Z1116">
            <v>300</v>
          </cell>
          <cell r="AA1116">
            <v>5975</v>
          </cell>
          <cell r="AB1116">
            <v>4512</v>
          </cell>
          <cell r="AC1116">
            <v>5502</v>
          </cell>
          <cell r="AD1116">
            <v>5875</v>
          </cell>
          <cell r="AE1116">
            <v>6096.62</v>
          </cell>
          <cell r="AF1116">
            <v>0.25999980316962512</v>
          </cell>
          <cell r="AG1116">
            <v>0.44303564926139405</v>
          </cell>
          <cell r="AH1116">
            <v>6355</v>
          </cell>
          <cell r="AI1116">
            <v>7050</v>
          </cell>
          <cell r="AJ1116">
            <v>0.36007092198581558</v>
          </cell>
          <cell r="AK1116">
            <v>7778.45</v>
          </cell>
          <cell r="AL1116">
            <v>8778</v>
          </cell>
          <cell r="AM1116">
            <v>0.48604465709728867</v>
          </cell>
          <cell r="AN1116">
            <v>9986.75</v>
          </cell>
          <cell r="AO1116">
            <v>11195.5</v>
          </cell>
          <cell r="AP1116">
            <v>12404.25</v>
          </cell>
          <cell r="AQ1116">
            <v>0</v>
          </cell>
          <cell r="AR1116">
            <v>488</v>
          </cell>
          <cell r="AS1116">
            <v>13613</v>
          </cell>
        </row>
        <row r="1117">
          <cell r="B1117" t="str">
            <v>MB</v>
          </cell>
          <cell r="C1117" t="str">
            <v>IMP</v>
          </cell>
          <cell r="D1117" t="str">
            <v>BT</v>
          </cell>
          <cell r="E1117" t="str">
            <v>08</v>
          </cell>
          <cell r="F1117">
            <v>40056</v>
          </cell>
          <cell r="G1117">
            <v>40056</v>
          </cell>
          <cell r="H1117" t="str">
            <v>A0ED012</v>
          </cell>
          <cell r="I1117" t="str">
            <v>9KMBHC280_N</v>
          </cell>
          <cell r="K1117" t="str">
            <v>bizhub  C280</v>
          </cell>
          <cell r="L1117">
            <v>10315</v>
          </cell>
          <cell r="M1117">
            <v>2600</v>
          </cell>
          <cell r="N1117">
            <v>2704</v>
          </cell>
          <cell r="O1117">
            <v>0.17811550151975683</v>
          </cell>
          <cell r="P1117">
            <v>3290</v>
          </cell>
          <cell r="Q1117">
            <v>2756</v>
          </cell>
          <cell r="R1117">
            <v>3114.28</v>
          </cell>
          <cell r="S1117">
            <v>4700</v>
          </cell>
          <cell r="T1117">
            <v>0.4246808510638298</v>
          </cell>
          <cell r="U1117">
            <v>3290</v>
          </cell>
          <cell r="V1117">
            <v>0.17811550151975683</v>
          </cell>
          <cell r="W1117">
            <v>3290</v>
          </cell>
          <cell r="X1117">
            <v>0.7</v>
          </cell>
          <cell r="Y1117">
            <v>150</v>
          </cell>
          <cell r="Z1117">
            <v>300</v>
          </cell>
          <cell r="AA1117">
            <v>4357</v>
          </cell>
          <cell r="AB1117">
            <v>3290</v>
          </cell>
          <cell r="AC1117">
            <v>4013</v>
          </cell>
          <cell r="AD1117">
            <v>4285</v>
          </cell>
          <cell r="AE1117">
            <v>4445.95</v>
          </cell>
          <cell r="AF1117">
            <v>0.26000067477142114</v>
          </cell>
          <cell r="AG1117">
            <v>0.39180602570879114</v>
          </cell>
          <cell r="AH1117">
            <v>4634</v>
          </cell>
          <cell r="AI1117">
            <v>5141</v>
          </cell>
          <cell r="AJ1117">
            <v>0.36004668352460611</v>
          </cell>
          <cell r="AK1117">
            <v>5672.41</v>
          </cell>
          <cell r="AL1117">
            <v>6401</v>
          </cell>
          <cell r="AM1117">
            <v>0.48601780971723169</v>
          </cell>
          <cell r="AN1117">
            <v>7379.5</v>
          </cell>
          <cell r="AO1117">
            <v>8358</v>
          </cell>
          <cell r="AP1117">
            <v>9336.5</v>
          </cell>
          <cell r="AQ1117">
            <v>0</v>
          </cell>
          <cell r="AR1117">
            <v>472</v>
          </cell>
          <cell r="AS1117">
            <v>10315</v>
          </cell>
        </row>
        <row r="1118">
          <cell r="B1118" t="str">
            <v>MB</v>
          </cell>
          <cell r="C1118" t="str">
            <v>IMP</v>
          </cell>
          <cell r="D1118" t="str">
            <v>BT</v>
          </cell>
          <cell r="E1118" t="str">
            <v>08</v>
          </cell>
          <cell r="F1118">
            <v>40056</v>
          </cell>
          <cell r="G1118">
            <v>40056</v>
          </cell>
          <cell r="H1118" t="str">
            <v>A0ED013</v>
          </cell>
          <cell r="I1118" t="str">
            <v>9KMBHC220_N</v>
          </cell>
          <cell r="K1118" t="str">
            <v>bizhub  C220</v>
          </cell>
          <cell r="L1118">
            <v>9165</v>
          </cell>
          <cell r="M1118">
            <v>2150</v>
          </cell>
          <cell r="N1118">
            <v>2236</v>
          </cell>
          <cell r="O1118">
            <v>8.4731887024150632E-2</v>
          </cell>
          <cell r="P1118">
            <v>2443</v>
          </cell>
          <cell r="Q1118">
            <v>2279</v>
          </cell>
          <cell r="R1118">
            <v>2575.27</v>
          </cell>
          <cell r="S1118">
            <v>3490</v>
          </cell>
          <cell r="T1118">
            <v>0.35931232091690546</v>
          </cell>
          <cell r="U1118">
            <v>2443</v>
          </cell>
          <cell r="V1118">
            <v>8.4731887024150632E-2</v>
          </cell>
          <cell r="W1118">
            <v>2443</v>
          </cell>
          <cell r="X1118">
            <v>0.7</v>
          </cell>
          <cell r="Y1118">
            <v>150</v>
          </cell>
          <cell r="Z1118">
            <v>300</v>
          </cell>
          <cell r="AA1118">
            <v>3235</v>
          </cell>
          <cell r="AB1118">
            <v>2443</v>
          </cell>
          <cell r="AC1118">
            <v>2980</v>
          </cell>
          <cell r="AD1118">
            <v>3182</v>
          </cell>
          <cell r="AE1118">
            <v>3301.35</v>
          </cell>
          <cell r="AF1118">
            <v>0.2599996970936132</v>
          </cell>
          <cell r="AG1118">
            <v>0.32270131915731443</v>
          </cell>
          <cell r="AH1118">
            <v>3441</v>
          </cell>
          <cell r="AI1118">
            <v>3818</v>
          </cell>
          <cell r="AJ1118">
            <v>0.36013619696176008</v>
          </cell>
          <cell r="AK1118">
            <v>4212.07</v>
          </cell>
          <cell r="AL1118">
            <v>4753</v>
          </cell>
          <cell r="AM1118">
            <v>0.48600883652430044</v>
          </cell>
          <cell r="AN1118">
            <v>5856</v>
          </cell>
          <cell r="AO1118">
            <v>6959</v>
          </cell>
          <cell r="AP1118">
            <v>8062</v>
          </cell>
          <cell r="AQ1118">
            <v>0</v>
          </cell>
          <cell r="AR1118">
            <v>443</v>
          </cell>
          <cell r="AS1118">
            <v>9165</v>
          </cell>
        </row>
        <row r="1119">
          <cell r="B1119" t="str">
            <v>MB</v>
          </cell>
          <cell r="C1119" t="str">
            <v>IMP</v>
          </cell>
          <cell r="D1119" t="str">
            <v>BT</v>
          </cell>
          <cell r="E1119" t="str">
            <v>08</v>
          </cell>
          <cell r="F1119">
            <v>40064</v>
          </cell>
          <cell r="G1119">
            <v>40070</v>
          </cell>
          <cell r="H1119" t="str">
            <v>A0P2011</v>
          </cell>
          <cell r="I1119" t="str">
            <v>9KMBHC452_N </v>
          </cell>
          <cell r="K1119" t="str">
            <v>bizhub C452</v>
          </cell>
          <cell r="L1119">
            <v>21858</v>
          </cell>
          <cell r="M1119">
            <v>5426</v>
          </cell>
          <cell r="N1119">
            <v>5643.04</v>
          </cell>
          <cell r="O1119">
            <v>0.15356092878142441</v>
          </cell>
          <cell r="P1119">
            <v>6666.8</v>
          </cell>
          <cell r="Q1119">
            <v>5751.56</v>
          </cell>
          <cell r="R1119">
            <v>999908.71</v>
          </cell>
          <cell r="S1119">
            <v>9524</v>
          </cell>
          <cell r="T1119">
            <v>0.40749265014699704</v>
          </cell>
          <cell r="U1119">
            <v>6667</v>
          </cell>
          <cell r="V1119">
            <v>0.1535863206839658</v>
          </cell>
          <cell r="W1119">
            <v>6666.8</v>
          </cell>
          <cell r="X1119">
            <v>0.70000000000000007</v>
          </cell>
          <cell r="Y1119">
            <v>150</v>
          </cell>
          <cell r="Z1119">
            <v>300</v>
          </cell>
          <cell r="AA1119">
            <v>8829</v>
          </cell>
          <cell r="AB1119">
            <v>6667</v>
          </cell>
          <cell r="AC1119">
            <v>8131</v>
          </cell>
          <cell r="AD1119">
            <v>8682</v>
          </cell>
          <cell r="AE1119">
            <v>9009.19</v>
          </cell>
          <cell r="AF1119">
            <v>0.26000006659866204</v>
          </cell>
          <cell r="AG1119">
            <v>0.3736351436699637</v>
          </cell>
          <cell r="AH1119">
            <v>9390</v>
          </cell>
          <cell r="AI1119">
            <v>10417</v>
          </cell>
          <cell r="AJ1119">
            <v>0.36000767975424786</v>
          </cell>
          <cell r="AK1119">
            <v>11494.48</v>
          </cell>
          <cell r="AL1119">
            <v>12971</v>
          </cell>
          <cell r="AM1119">
            <v>0.4860226659471128</v>
          </cell>
          <cell r="AN1119">
            <v>15192.75</v>
          </cell>
          <cell r="AO1119">
            <v>17414.5</v>
          </cell>
          <cell r="AP1119">
            <v>19636.25</v>
          </cell>
          <cell r="AQ1119">
            <v>0</v>
          </cell>
          <cell r="AR1119">
            <v>295</v>
          </cell>
          <cell r="AS1119">
            <v>21858</v>
          </cell>
        </row>
        <row r="1120">
          <cell r="B1120" t="str">
            <v>MB</v>
          </cell>
          <cell r="C1120" t="str">
            <v>IMP</v>
          </cell>
          <cell r="D1120" t="str">
            <v>BT</v>
          </cell>
          <cell r="E1120" t="str">
            <v>08</v>
          </cell>
          <cell r="F1120">
            <v>40113</v>
          </cell>
          <cell r="G1120">
            <v>40113</v>
          </cell>
          <cell r="H1120" t="str">
            <v>A11V012</v>
          </cell>
          <cell r="K1120" t="str">
            <v>bizhub 282 GSA</v>
          </cell>
          <cell r="L1120">
            <v>6300</v>
          </cell>
          <cell r="M1120">
            <v>1516</v>
          </cell>
          <cell r="N1120">
            <v>1576.64</v>
          </cell>
          <cell r="O1120">
            <v>0.31423003984202369</v>
          </cell>
          <cell r="P1120">
            <v>2299.08</v>
          </cell>
          <cell r="Q1120">
            <v>1606.96</v>
          </cell>
          <cell r="R1120">
            <v>1815.86</v>
          </cell>
          <cell r="S1120">
            <v>3284.4</v>
          </cell>
          <cell r="T1120">
            <v>0.51996102788941667</v>
          </cell>
          <cell r="U1120">
            <v>2299</v>
          </cell>
          <cell r="V1120">
            <v>0.31420617659852107</v>
          </cell>
          <cell r="W1120">
            <v>2299.08</v>
          </cell>
          <cell r="X1120">
            <v>0.7</v>
          </cell>
          <cell r="Y1120">
            <v>150</v>
          </cell>
          <cell r="Z1120">
            <v>175</v>
          </cell>
          <cell r="AA1120">
            <v>3045</v>
          </cell>
          <cell r="AB1120">
            <v>2300</v>
          </cell>
          <cell r="AC1120">
            <v>2804</v>
          </cell>
          <cell r="AD1120">
            <v>2994</v>
          </cell>
          <cell r="AE1120">
            <v>3106.86</v>
          </cell>
          <cell r="AF1120">
            <v>0.25999884127382639</v>
          </cell>
          <cell r="AG1120">
            <v>0.4925294348634956</v>
          </cell>
          <cell r="AH1120">
            <v>3239</v>
          </cell>
          <cell r="AI1120">
            <v>3593</v>
          </cell>
          <cell r="AJ1120">
            <v>0.36012246033954914</v>
          </cell>
          <cell r="AK1120">
            <v>3963.93</v>
          </cell>
          <cell r="AL1120">
            <v>4473</v>
          </cell>
          <cell r="AM1120">
            <v>0.48600938967136154</v>
          </cell>
          <cell r="AN1120">
            <v>4929.75</v>
          </cell>
          <cell r="AO1120">
            <v>5386.5</v>
          </cell>
          <cell r="AP1120">
            <v>5843.25</v>
          </cell>
          <cell r="AQ1120">
            <v>0</v>
          </cell>
          <cell r="AR1120">
            <v>295</v>
          </cell>
          <cell r="AS1120">
            <v>6300</v>
          </cell>
        </row>
        <row r="1121">
          <cell r="B1121" t="str">
            <v>MB</v>
          </cell>
          <cell r="C1121" t="str">
            <v>IMP</v>
          </cell>
          <cell r="D1121" t="str">
            <v>BT</v>
          </cell>
          <cell r="E1121" t="str">
            <v>08</v>
          </cell>
          <cell r="F1121" t="str">
            <v>2/25/10</v>
          </cell>
          <cell r="G1121" t="str">
            <v>2/25/10</v>
          </cell>
          <cell r="H1121" t="str">
            <v>A1DM011</v>
          </cell>
          <cell r="I1121" t="str">
            <v xml:space="preserve"> </v>
          </cell>
          <cell r="K1121" t="str">
            <v>bizhub C652DS</v>
          </cell>
          <cell r="L1121">
            <v>32950</v>
          </cell>
          <cell r="M1121">
            <v>7203</v>
          </cell>
          <cell r="N1121">
            <v>7491.12</v>
          </cell>
          <cell r="O1121">
            <v>0.24901052631578949</v>
          </cell>
          <cell r="P1121">
            <v>9975</v>
          </cell>
          <cell r="Q1121">
            <v>7635.18</v>
          </cell>
          <cell r="R1121">
            <v>8627.75</v>
          </cell>
          <cell r="S1121">
            <v>14250</v>
          </cell>
          <cell r="T1121">
            <v>0.47430736842105264</v>
          </cell>
          <cell r="U1121">
            <v>9975</v>
          </cell>
          <cell r="V1121">
            <v>0.24901052631578949</v>
          </cell>
          <cell r="W1121">
            <v>9975</v>
          </cell>
          <cell r="X1121">
            <v>0.7</v>
          </cell>
          <cell r="Y1121">
            <v>250</v>
          </cell>
          <cell r="Z1121">
            <v>300</v>
          </cell>
          <cell r="AA1121">
            <v>13210</v>
          </cell>
          <cell r="AB1121">
            <v>9975</v>
          </cell>
          <cell r="AC1121">
            <v>12165</v>
          </cell>
          <cell r="AD1121">
            <v>12990</v>
          </cell>
          <cell r="AE1121">
            <v>13479.73</v>
          </cell>
          <cell r="AF1121">
            <v>0.2600000148370924</v>
          </cell>
          <cell r="AG1121">
            <v>0.44426780061618443</v>
          </cell>
          <cell r="AH1121">
            <v>14050</v>
          </cell>
          <cell r="AI1121">
            <v>15586</v>
          </cell>
          <cell r="AJ1121">
            <v>0.36000256640574874</v>
          </cell>
          <cell r="AK1121">
            <v>17198.28</v>
          </cell>
          <cell r="AL1121">
            <v>19407</v>
          </cell>
          <cell r="AM1121">
            <v>0.48601020250425103</v>
          </cell>
          <cell r="AN1121">
            <v>22792.75</v>
          </cell>
          <cell r="AO1121">
            <v>26178.5</v>
          </cell>
          <cell r="AP1121">
            <v>29564.25</v>
          </cell>
          <cell r="AQ1121">
            <v>0</v>
          </cell>
          <cell r="AS1121">
            <v>32950</v>
          </cell>
        </row>
        <row r="1122">
          <cell r="B1122" t="str">
            <v>MB</v>
          </cell>
          <cell r="C1122" t="str">
            <v>IMP</v>
          </cell>
          <cell r="D1122" t="str">
            <v>BT</v>
          </cell>
          <cell r="E1122" t="str">
            <v>08</v>
          </cell>
          <cell r="F1122" t="str">
            <v>2/25/10</v>
          </cell>
          <cell r="G1122" t="str">
            <v>2/25/10</v>
          </cell>
          <cell r="H1122" t="str">
            <v>A1DN011</v>
          </cell>
          <cell r="I1122" t="str">
            <v xml:space="preserve"> </v>
          </cell>
          <cell r="K1122" t="str">
            <v>bizhub C552DS</v>
          </cell>
          <cell r="L1122">
            <v>26695</v>
          </cell>
          <cell r="M1122">
            <v>6209</v>
          </cell>
          <cell r="N1122">
            <v>6457.3600000000006</v>
          </cell>
          <cell r="O1122">
            <v>0.22153586497890287</v>
          </cell>
          <cell r="P1122">
            <v>8295</v>
          </cell>
          <cell r="Q1122">
            <v>6581.54</v>
          </cell>
          <cell r="R1122">
            <v>7437.14</v>
          </cell>
          <cell r="S1122">
            <v>11850</v>
          </cell>
          <cell r="T1122">
            <v>0.455075105485232</v>
          </cell>
          <cell r="U1122">
            <v>8295</v>
          </cell>
          <cell r="V1122">
            <v>0.22153586497890287</v>
          </cell>
          <cell r="W1122">
            <v>8295</v>
          </cell>
          <cell r="X1122">
            <v>0.7</v>
          </cell>
          <cell r="Y1122">
            <v>250</v>
          </cell>
          <cell r="Z1122">
            <v>300</v>
          </cell>
          <cell r="AA1122">
            <v>10985</v>
          </cell>
          <cell r="AB1122">
            <v>8295</v>
          </cell>
          <cell r="AC1122">
            <v>10116</v>
          </cell>
          <cell r="AD1122">
            <v>10802</v>
          </cell>
          <cell r="AE1122">
            <v>11209.46</v>
          </cell>
          <cell r="AF1122">
            <v>0.26000003568414531</v>
          </cell>
          <cell r="AG1122">
            <v>0.42393656786321543</v>
          </cell>
          <cell r="AH1122">
            <v>11684</v>
          </cell>
          <cell r="AI1122">
            <v>12961</v>
          </cell>
          <cell r="AJ1122">
            <v>0.3600030861816218</v>
          </cell>
          <cell r="AK1122">
            <v>14301.72</v>
          </cell>
          <cell r="AL1122">
            <v>16139</v>
          </cell>
          <cell r="AM1122">
            <v>0.48602763492161843</v>
          </cell>
          <cell r="AN1122">
            <v>18778</v>
          </cell>
          <cell r="AO1122">
            <v>21417</v>
          </cell>
          <cell r="AP1122">
            <v>24056</v>
          </cell>
          <cell r="AQ1122">
            <v>0</v>
          </cell>
          <cell r="AS1122">
            <v>26695</v>
          </cell>
        </row>
        <row r="1123">
          <cell r="B1123" t="str">
            <v>AC</v>
          </cell>
          <cell r="C1123" t="str">
            <v>DOM</v>
          </cell>
          <cell r="D1123" t="str">
            <v>DOM</v>
          </cell>
          <cell r="E1123" t="str">
            <v>P3</v>
          </cell>
          <cell r="F1123">
            <v>39990</v>
          </cell>
          <cell r="G1123">
            <v>40001</v>
          </cell>
          <cell r="H1123" t="str">
            <v>7640001346</v>
          </cell>
          <cell r="K1123" t="str">
            <v>Graphic Arts package (GA1)IP901-ver.2</v>
          </cell>
          <cell r="L1123">
            <v>3200</v>
          </cell>
          <cell r="M1123">
            <v>0</v>
          </cell>
          <cell r="N1123">
            <v>1545</v>
          </cell>
          <cell r="O1123">
            <v>0</v>
          </cell>
          <cell r="S1123">
            <v>0</v>
          </cell>
          <cell r="W1123">
            <v>1313.25</v>
          </cell>
          <cell r="AB1123">
            <v>1313.25</v>
          </cell>
          <cell r="AC1123">
            <v>1459.17</v>
          </cell>
          <cell r="AD1123">
            <v>1540.24</v>
          </cell>
          <cell r="AE1123">
            <v>1621.3</v>
          </cell>
          <cell r="AF1123">
            <v>0.19000185036698944</v>
          </cell>
          <cell r="AG1123">
            <v>4.7061000431752271E-2</v>
          </cell>
          <cell r="AH1123">
            <v>1653.73</v>
          </cell>
          <cell r="AI1123">
            <v>1686.15</v>
          </cell>
          <cell r="AJ1123">
            <v>0.22115470153900901</v>
          </cell>
          <cell r="AK1123">
            <v>1718.58</v>
          </cell>
          <cell r="AL1123">
            <v>1751</v>
          </cell>
          <cell r="AM1123">
            <v>0.25</v>
          </cell>
          <cell r="AN1123">
            <v>1997.23</v>
          </cell>
          <cell r="AO1123">
            <v>2243.46</v>
          </cell>
          <cell r="AP1123">
            <v>2489.69</v>
          </cell>
          <cell r="AQ1123">
            <v>0</v>
          </cell>
          <cell r="AS1123">
            <v>3200</v>
          </cell>
        </row>
        <row r="1124">
          <cell r="B1124" t="str">
            <v>PMC</v>
          </cell>
          <cell r="C1124" t="str">
            <v>PMP</v>
          </cell>
          <cell r="D1124" t="str">
            <v>BT</v>
          </cell>
          <cell r="E1124" t="str">
            <v>08</v>
          </cell>
          <cell r="F1124">
            <v>39924</v>
          </cell>
          <cell r="G1124">
            <v>39924</v>
          </cell>
          <cell r="H1124" t="str">
            <v>A0ATWY0</v>
          </cell>
          <cell r="I1124" t="str">
            <v>SWKMA0ATWY0</v>
          </cell>
          <cell r="K1124" t="str">
            <v>Waste Toner Box</v>
          </cell>
          <cell r="L1124">
            <v>41</v>
          </cell>
          <cell r="M1124">
            <v>12</v>
          </cell>
          <cell r="N1124">
            <v>12.600000000000001</v>
          </cell>
          <cell r="O1124">
            <v>0.21249999999999991</v>
          </cell>
          <cell r="P1124">
            <v>16</v>
          </cell>
          <cell r="Q1124">
            <v>12.72</v>
          </cell>
          <cell r="R1124">
            <v>14.37</v>
          </cell>
          <cell r="S1124">
            <v>20</v>
          </cell>
          <cell r="T1124">
            <v>0.36999999999999994</v>
          </cell>
          <cell r="W1124">
            <v>16</v>
          </cell>
          <cell r="X1124">
            <v>0.8</v>
          </cell>
          <cell r="Y1124" t="str">
            <v>Act freight</v>
          </cell>
          <cell r="AA1124">
            <v>28</v>
          </cell>
          <cell r="AB1124">
            <v>19</v>
          </cell>
          <cell r="AC1124">
            <v>20</v>
          </cell>
          <cell r="AD1124">
            <v>25</v>
          </cell>
          <cell r="AE1124">
            <v>28.07</v>
          </cell>
          <cell r="AF1124">
            <v>0.42999643747773425</v>
          </cell>
          <cell r="AG1124">
            <v>0.55112219451371569</v>
          </cell>
          <cell r="AH1124">
            <v>32</v>
          </cell>
          <cell r="AI1124">
            <v>35</v>
          </cell>
          <cell r="AJ1124">
            <v>0.54285714285714282</v>
          </cell>
          <cell r="AK1124">
            <v>38</v>
          </cell>
          <cell r="AL1124">
            <v>41</v>
          </cell>
          <cell r="AM1124">
            <v>0.6097560975609756</v>
          </cell>
          <cell r="AN1124">
            <v>41</v>
          </cell>
          <cell r="AO1124">
            <v>41</v>
          </cell>
          <cell r="AP1124">
            <v>41</v>
          </cell>
          <cell r="AQ1124">
            <v>0</v>
          </cell>
          <cell r="AS1124">
            <v>41</v>
          </cell>
        </row>
        <row r="1125">
          <cell r="B1125" t="str">
            <v>PMC</v>
          </cell>
          <cell r="C1125" t="str">
            <v>PMP</v>
          </cell>
          <cell r="D1125" t="str">
            <v>BT</v>
          </cell>
          <cell r="E1125" t="str">
            <v>08</v>
          </cell>
          <cell r="F1125">
            <v>39924</v>
          </cell>
          <cell r="G1125">
            <v>39924</v>
          </cell>
          <cell r="H1125" t="str">
            <v>A0DTWY0</v>
          </cell>
          <cell r="I1125" t="str">
            <v>SWKMA0DTWY0</v>
          </cell>
          <cell r="K1125" t="str">
            <v>Waste Toner Box (50K)</v>
          </cell>
          <cell r="L1125">
            <v>50</v>
          </cell>
          <cell r="M1125">
            <v>16.8</v>
          </cell>
          <cell r="N1125">
            <v>17.64</v>
          </cell>
          <cell r="O1125">
            <v>0</v>
          </cell>
          <cell r="P1125">
            <v>17.64</v>
          </cell>
          <cell r="Q1125">
            <v>17.809999999999999</v>
          </cell>
          <cell r="R1125">
            <v>20.13</v>
          </cell>
          <cell r="S1125">
            <v>22</v>
          </cell>
          <cell r="T1125">
            <v>0.19818181818181815</v>
          </cell>
          <cell r="W1125">
            <v>17.64</v>
          </cell>
          <cell r="X1125">
            <v>0.80181818181818187</v>
          </cell>
          <cell r="Y1125" t="str">
            <v>Act freight</v>
          </cell>
          <cell r="AA1125">
            <v>30</v>
          </cell>
          <cell r="AB1125">
            <v>21</v>
          </cell>
          <cell r="AC1125">
            <v>23</v>
          </cell>
          <cell r="AD1125">
            <v>27</v>
          </cell>
          <cell r="AE1125">
            <v>30.95</v>
          </cell>
          <cell r="AF1125">
            <v>0.43004846526655893</v>
          </cell>
          <cell r="AG1125">
            <v>0.43004846526655893</v>
          </cell>
          <cell r="AH1125">
            <v>36</v>
          </cell>
          <cell r="AI1125">
            <v>41</v>
          </cell>
          <cell r="AJ1125">
            <v>0.56975609756097556</v>
          </cell>
          <cell r="AK1125">
            <v>45.5</v>
          </cell>
          <cell r="AL1125">
            <v>50</v>
          </cell>
          <cell r="AM1125">
            <v>0.6472</v>
          </cell>
          <cell r="AN1125">
            <v>50</v>
          </cell>
          <cell r="AO1125">
            <v>50</v>
          </cell>
          <cell r="AP1125">
            <v>50</v>
          </cell>
          <cell r="AQ1125">
            <v>0</v>
          </cell>
          <cell r="AS1125">
            <v>50</v>
          </cell>
        </row>
        <row r="1126">
          <cell r="B1126" t="str">
            <v>PMC</v>
          </cell>
          <cell r="C1126" t="str">
            <v>PMP</v>
          </cell>
          <cell r="D1126" t="str">
            <v>BT</v>
          </cell>
          <cell r="E1126" t="str">
            <v>08</v>
          </cell>
          <cell r="F1126">
            <v>39924</v>
          </cell>
          <cell r="G1126">
            <v>39924</v>
          </cell>
          <cell r="H1126" t="str">
            <v>A0XPWY1</v>
          </cell>
          <cell r="I1126" t="str">
            <v>SWKMA0XPWY1_</v>
          </cell>
          <cell r="K1126" t="str">
            <v>Waste Toner Box (Yield: 48K)</v>
          </cell>
          <cell r="L1126">
            <v>41</v>
          </cell>
          <cell r="M1126">
            <v>16.22</v>
          </cell>
          <cell r="N1126">
            <v>17.030999999999999</v>
          </cell>
          <cell r="O1126">
            <v>4.9609374999999969E-2</v>
          </cell>
          <cell r="P1126">
            <v>17.919999999999998</v>
          </cell>
          <cell r="Q1126">
            <v>17.190000000000001</v>
          </cell>
          <cell r="R1126">
            <v>19.420000000000002</v>
          </cell>
          <cell r="S1126">
            <v>22.4</v>
          </cell>
          <cell r="T1126">
            <v>0.2396875</v>
          </cell>
          <cell r="W1126">
            <v>17.919999999999998</v>
          </cell>
          <cell r="X1126">
            <v>0.79999999999999993</v>
          </cell>
          <cell r="Y1126" t="str">
            <v>Act freight</v>
          </cell>
          <cell r="AA1126">
            <v>31</v>
          </cell>
          <cell r="AB1126">
            <v>22</v>
          </cell>
          <cell r="AC1126">
            <v>23</v>
          </cell>
          <cell r="AD1126">
            <v>28</v>
          </cell>
          <cell r="AE1126">
            <v>31.44</v>
          </cell>
          <cell r="AF1126">
            <v>0.43002544529262093</v>
          </cell>
          <cell r="AG1126">
            <v>0.45830152671755731</v>
          </cell>
          <cell r="AH1126">
            <v>35</v>
          </cell>
          <cell r="AI1126">
            <v>37</v>
          </cell>
          <cell r="AJ1126">
            <v>0.51567567567567574</v>
          </cell>
          <cell r="AK1126">
            <v>39</v>
          </cell>
          <cell r="AL1126">
            <v>41</v>
          </cell>
          <cell r="AM1126">
            <v>0.56292682926829274</v>
          </cell>
          <cell r="AN1126">
            <v>41</v>
          </cell>
          <cell r="AO1126">
            <v>41</v>
          </cell>
          <cell r="AP1126">
            <v>41</v>
          </cell>
          <cell r="AQ1126">
            <v>0</v>
          </cell>
          <cell r="AS1126">
            <v>41</v>
          </cell>
        </row>
        <row r="1127">
          <cell r="B1127" t="str">
            <v>PMC</v>
          </cell>
          <cell r="C1127" t="str">
            <v>PMP</v>
          </cell>
          <cell r="D1127" t="str">
            <v>BT</v>
          </cell>
          <cell r="E1127" t="str">
            <v>08</v>
          </cell>
          <cell r="F1127">
            <v>40056</v>
          </cell>
          <cell r="G1127">
            <v>40056</v>
          </cell>
          <cell r="H1127" t="str">
            <v>A162WY1</v>
          </cell>
          <cell r="I1127" t="str">
            <v>SWKMA162WY1</v>
          </cell>
          <cell r="K1127" t="str">
            <v>Waste Toner Box</v>
          </cell>
          <cell r="L1127">
            <v>59</v>
          </cell>
          <cell r="M1127">
            <v>13.59</v>
          </cell>
          <cell r="N1127">
            <v>14.269500000000001</v>
          </cell>
          <cell r="O1127">
            <v>6.1217105263157913E-2</v>
          </cell>
          <cell r="P1127">
            <v>15.200000000000001</v>
          </cell>
          <cell r="Q1127">
            <v>14.41</v>
          </cell>
          <cell r="R1127">
            <v>16.28</v>
          </cell>
          <cell r="S1127">
            <v>19</v>
          </cell>
          <cell r="T1127">
            <v>0.24897368421052626</v>
          </cell>
          <cell r="W1127">
            <v>15.200000000000001</v>
          </cell>
          <cell r="X1127">
            <v>0.8</v>
          </cell>
          <cell r="AA1127">
            <v>26</v>
          </cell>
          <cell r="AB1127">
            <v>18</v>
          </cell>
          <cell r="AC1127">
            <v>19</v>
          </cell>
          <cell r="AD1127">
            <v>23</v>
          </cell>
          <cell r="AE1127">
            <v>26.67</v>
          </cell>
          <cell r="AF1127">
            <v>0.43007124109486317</v>
          </cell>
          <cell r="AG1127">
            <v>0.46496062992125986</v>
          </cell>
          <cell r="AH1127">
            <v>35</v>
          </cell>
          <cell r="AI1127">
            <v>43</v>
          </cell>
          <cell r="AJ1127">
            <v>0.64651162790697669</v>
          </cell>
          <cell r="AK1127">
            <v>51</v>
          </cell>
          <cell r="AL1127">
            <v>59</v>
          </cell>
          <cell r="AM1127">
            <v>0.74237288135593216</v>
          </cell>
          <cell r="AN1127">
            <v>59</v>
          </cell>
          <cell r="AO1127">
            <v>59</v>
          </cell>
          <cell r="AP1127">
            <v>59</v>
          </cell>
          <cell r="AQ1127">
            <v>0</v>
          </cell>
          <cell r="AS1127">
            <v>59</v>
          </cell>
        </row>
        <row r="1128">
          <cell r="B1128" t="str">
            <v>AC</v>
          </cell>
          <cell r="C1128" t="str">
            <v>DOM</v>
          </cell>
          <cell r="D1128" t="str">
            <v>DOM</v>
          </cell>
          <cell r="E1128" t="str">
            <v>P3</v>
          </cell>
          <cell r="F1128">
            <v>39990</v>
          </cell>
          <cell r="G1128">
            <v>40001</v>
          </cell>
          <cell r="H1128" t="str">
            <v>7640002240</v>
          </cell>
          <cell r="K1128" t="str">
            <v>EFI Spot On for IC-405</v>
          </cell>
          <cell r="L1128">
            <v>825</v>
          </cell>
          <cell r="M1128">
            <v>400</v>
          </cell>
          <cell r="N1128">
            <v>412</v>
          </cell>
          <cell r="O1128">
            <v>-0.17647058823529416</v>
          </cell>
          <cell r="S1128">
            <v>535</v>
          </cell>
          <cell r="W1128">
            <v>350.2</v>
          </cell>
          <cell r="AB1128">
            <v>350.2</v>
          </cell>
          <cell r="AC1128">
            <v>389.11</v>
          </cell>
          <cell r="AD1128">
            <v>410.73</v>
          </cell>
          <cell r="AE1128">
            <v>432.35</v>
          </cell>
          <cell r="AF1128">
            <v>0.19000809529316534</v>
          </cell>
          <cell r="AG1128">
            <v>4.7068347403723884E-2</v>
          </cell>
          <cell r="AH1128">
            <v>441</v>
          </cell>
          <cell r="AI1128">
            <v>449.64</v>
          </cell>
          <cell r="AJ1128">
            <v>0.22115470153900899</v>
          </cell>
          <cell r="AK1128">
            <v>458.29</v>
          </cell>
          <cell r="AL1128">
            <v>466.93</v>
          </cell>
          <cell r="AM1128">
            <v>0.24999464587839723</v>
          </cell>
          <cell r="AN1128">
            <v>532.59</v>
          </cell>
          <cell r="AO1128">
            <v>598.25</v>
          </cell>
          <cell r="AP1128">
            <v>663.91</v>
          </cell>
          <cell r="AQ1128">
            <v>0</v>
          </cell>
          <cell r="AS1128">
            <v>825</v>
          </cell>
        </row>
        <row r="1129">
          <cell r="B1129" t="str">
            <v>PMP</v>
          </cell>
          <cell r="C1129" t="str">
            <v>DDP</v>
          </cell>
          <cell r="D1129" t="str">
            <v>Oce</v>
          </cell>
          <cell r="E1129" t="str">
            <v>08</v>
          </cell>
          <cell r="F1129">
            <v>39924</v>
          </cell>
          <cell r="G1129">
            <v>39924</v>
          </cell>
          <cell r="H1129" t="str">
            <v>A0XUF30</v>
          </cell>
          <cell r="I1129" t="str">
            <v>TBD</v>
          </cell>
          <cell r="K1129" t="str">
            <v>TTF Fuser Belt</v>
          </cell>
          <cell r="L1129">
            <v>808</v>
          </cell>
          <cell r="M1129">
            <v>323</v>
          </cell>
          <cell r="N1129">
            <v>323</v>
          </cell>
          <cell r="O1129">
            <v>0.11122117660007709</v>
          </cell>
          <cell r="P1129">
            <v>363.42</v>
          </cell>
          <cell r="Q1129">
            <v>332.41</v>
          </cell>
          <cell r="R1129">
            <v>375.62</v>
          </cell>
          <cell r="S1129">
            <v>403.8</v>
          </cell>
          <cell r="T1129">
            <v>0.20009905894006935</v>
          </cell>
          <cell r="W1129">
            <v>363.42</v>
          </cell>
          <cell r="X1129">
            <v>0.9</v>
          </cell>
          <cell r="Y1129" t="str">
            <v>Act freight</v>
          </cell>
          <cell r="AA1129">
            <v>712</v>
          </cell>
          <cell r="AB1129">
            <v>520</v>
          </cell>
          <cell r="AC1129">
            <v>606</v>
          </cell>
          <cell r="AD1129">
            <v>667</v>
          </cell>
          <cell r="AE1129">
            <v>726.84</v>
          </cell>
          <cell r="AF1129">
            <v>0.5</v>
          </cell>
          <cell r="AG1129">
            <v>0.55561058830003851</v>
          </cell>
          <cell r="AH1129">
            <v>748</v>
          </cell>
          <cell r="AI1129">
            <v>768</v>
          </cell>
          <cell r="AJ1129">
            <v>0.52679687499999994</v>
          </cell>
          <cell r="AK1129">
            <v>788</v>
          </cell>
          <cell r="AL1129">
            <v>808</v>
          </cell>
          <cell r="AM1129">
            <v>0.55022277227722771</v>
          </cell>
          <cell r="AN1129">
            <v>808</v>
          </cell>
          <cell r="AO1129">
            <v>808</v>
          </cell>
          <cell r="AP1129">
            <v>808</v>
          </cell>
          <cell r="AQ1129">
            <v>0</v>
          </cell>
          <cell r="AS1129">
            <v>808</v>
          </cell>
        </row>
        <row r="1130">
          <cell r="B1130" t="str">
            <v>AC</v>
          </cell>
          <cell r="C1130" t="str">
            <v>DOM</v>
          </cell>
          <cell r="D1130" t="str">
            <v>DOM</v>
          </cell>
          <cell r="E1130" t="str">
            <v>P3</v>
          </cell>
          <cell r="F1130">
            <v>39990</v>
          </cell>
          <cell r="G1130">
            <v>40001</v>
          </cell>
          <cell r="H1130" t="str">
            <v>7640002297</v>
          </cell>
          <cell r="K1130" t="str">
            <v>EFI Bundle-GA2/PPP for IC-302</v>
          </cell>
          <cell r="L1130">
            <v>11500</v>
          </cell>
          <cell r="M1130">
            <v>5474.7572</v>
          </cell>
          <cell r="N1130">
            <v>5638.9999159999998</v>
          </cell>
          <cell r="O1130">
            <v>-0.1764705882352941</v>
          </cell>
          <cell r="S1130">
            <v>7475</v>
          </cell>
          <cell r="W1130">
            <v>4793.1499285999998</v>
          </cell>
          <cell r="AB1130">
            <v>4793.1499285999998</v>
          </cell>
          <cell r="AC1130">
            <v>5325.72</v>
          </cell>
          <cell r="AD1130">
            <v>5621.6</v>
          </cell>
          <cell r="AE1130">
            <v>5917.47</v>
          </cell>
          <cell r="AF1130">
            <v>0.19000013035976529</v>
          </cell>
          <cell r="AG1130">
            <v>4.7058976893841538E-2</v>
          </cell>
          <cell r="AH1130">
            <v>6035.82</v>
          </cell>
          <cell r="AI1130">
            <v>6154.17</v>
          </cell>
          <cell r="AJ1130">
            <v>0.22115412336675785</v>
          </cell>
          <cell r="AK1130">
            <v>6272.52</v>
          </cell>
          <cell r="AL1130">
            <v>6390.87</v>
          </cell>
          <cell r="AM1130">
            <v>0.25000040235523491</v>
          </cell>
          <cell r="AN1130">
            <v>7289.58</v>
          </cell>
          <cell r="AO1130">
            <v>8188.29</v>
          </cell>
          <cell r="AP1130">
            <v>9087</v>
          </cell>
          <cell r="AQ1130">
            <v>0</v>
          </cell>
          <cell r="AS1130">
            <v>11500</v>
          </cell>
        </row>
        <row r="1131">
          <cell r="B1131" t="str">
            <v>PMP</v>
          </cell>
          <cell r="C1131" t="str">
            <v>DOM</v>
          </cell>
          <cell r="D1131" t="str">
            <v>Oce</v>
          </cell>
          <cell r="E1131" t="str">
            <v>08</v>
          </cell>
          <cell r="F1131">
            <v>39924</v>
          </cell>
          <cell r="G1131">
            <v>39924</v>
          </cell>
          <cell r="H1131" t="str">
            <v>A0X3PP6500</v>
          </cell>
          <cell r="I1131" t="str">
            <v>TBD</v>
          </cell>
          <cell r="K1131" t="str">
            <v>Charge Unit</v>
          </cell>
          <cell r="L1131">
            <v>108</v>
          </cell>
          <cell r="M1131">
            <v>39.135922330097088</v>
          </cell>
          <cell r="N1131">
            <v>40.31</v>
          </cell>
          <cell r="O1131">
            <v>0.11133156966490294</v>
          </cell>
          <cell r="P1131">
            <v>45.36</v>
          </cell>
          <cell r="Q1131">
            <v>41.48</v>
          </cell>
          <cell r="R1131">
            <v>46.87</v>
          </cell>
          <cell r="S1131">
            <v>50.4</v>
          </cell>
          <cell r="T1131">
            <v>0.20019841269841263</v>
          </cell>
          <cell r="W1131">
            <v>45.36</v>
          </cell>
          <cell r="X1131">
            <v>0.9</v>
          </cell>
          <cell r="Y1131" t="str">
            <v>Act freight</v>
          </cell>
          <cell r="AA1131">
            <v>89</v>
          </cell>
          <cell r="AB1131">
            <v>65</v>
          </cell>
          <cell r="AC1131">
            <v>76</v>
          </cell>
          <cell r="AD1131">
            <v>84</v>
          </cell>
          <cell r="AE1131">
            <v>90.72</v>
          </cell>
          <cell r="AF1131">
            <v>0.5</v>
          </cell>
          <cell r="AG1131">
            <v>0.55566578483245144</v>
          </cell>
          <cell r="AH1131">
            <v>96</v>
          </cell>
          <cell r="AI1131">
            <v>100</v>
          </cell>
          <cell r="AJ1131">
            <v>0.5464</v>
          </cell>
          <cell r="AK1131">
            <v>104</v>
          </cell>
          <cell r="AL1131">
            <v>108</v>
          </cell>
          <cell r="AM1131">
            <v>0.57999999999999996</v>
          </cell>
          <cell r="AN1131">
            <v>108</v>
          </cell>
          <cell r="AO1131">
            <v>108</v>
          </cell>
          <cell r="AP1131">
            <v>108</v>
          </cell>
          <cell r="AQ1131">
            <v>0</v>
          </cell>
          <cell r="AS1131">
            <v>108</v>
          </cell>
        </row>
        <row r="1132">
          <cell r="B1132" t="str">
            <v>PMP</v>
          </cell>
          <cell r="C1132" t="str">
            <v>DOM</v>
          </cell>
          <cell r="D1132" t="str">
            <v>Oce</v>
          </cell>
          <cell r="E1132" t="str">
            <v>08</v>
          </cell>
          <cell r="F1132">
            <v>39924</v>
          </cell>
          <cell r="G1132">
            <v>39924</v>
          </cell>
          <cell r="H1132" t="str">
            <v>A0X3PP8Q00</v>
          </cell>
          <cell r="I1132" t="str">
            <v>TBD</v>
          </cell>
          <cell r="K1132" t="str">
            <v>TTF Cleaner</v>
          </cell>
          <cell r="L1132">
            <v>65</v>
          </cell>
          <cell r="M1132">
            <v>26.135922330097088</v>
          </cell>
          <cell r="N1132">
            <v>26.92</v>
          </cell>
          <cell r="O1132">
            <v>0.11242993735575338</v>
          </cell>
          <cell r="P1132">
            <v>30.330000000000002</v>
          </cell>
          <cell r="Q1132">
            <v>27.7</v>
          </cell>
          <cell r="R1132">
            <v>31.3</v>
          </cell>
          <cell r="S1132">
            <v>33.700000000000003</v>
          </cell>
          <cell r="T1132">
            <v>0.20118694362017805</v>
          </cell>
          <cell r="W1132">
            <v>30.330000000000002</v>
          </cell>
          <cell r="X1132">
            <v>0.9</v>
          </cell>
          <cell r="Y1132" t="str">
            <v>Act freight</v>
          </cell>
          <cell r="AA1132">
            <v>59</v>
          </cell>
          <cell r="AB1132">
            <v>44</v>
          </cell>
          <cell r="AC1132">
            <v>51</v>
          </cell>
          <cell r="AD1132">
            <v>56</v>
          </cell>
          <cell r="AE1132">
            <v>60.66</v>
          </cell>
          <cell r="AF1132">
            <v>0.49999999999999994</v>
          </cell>
          <cell r="AG1132">
            <v>0.55621496867787668</v>
          </cell>
          <cell r="AH1132">
            <v>62</v>
          </cell>
          <cell r="AI1132">
            <v>63</v>
          </cell>
          <cell r="AJ1132">
            <v>0.51857142857142857</v>
          </cell>
          <cell r="AK1132">
            <v>64</v>
          </cell>
          <cell r="AL1132">
            <v>65</v>
          </cell>
          <cell r="AM1132">
            <v>0.53338461538461546</v>
          </cell>
          <cell r="AN1132">
            <v>65</v>
          </cell>
          <cell r="AO1132">
            <v>65</v>
          </cell>
          <cell r="AP1132">
            <v>65</v>
          </cell>
          <cell r="AQ1132">
            <v>0</v>
          </cell>
          <cell r="AS1132">
            <v>65</v>
          </cell>
        </row>
        <row r="1133">
          <cell r="B1133" t="str">
            <v>AC</v>
          </cell>
          <cell r="C1133" t="str">
            <v>DOM</v>
          </cell>
          <cell r="D1133" t="str">
            <v>DOM</v>
          </cell>
          <cell r="E1133" t="str">
            <v>P3</v>
          </cell>
          <cell r="F1133">
            <v>39990</v>
          </cell>
          <cell r="G1133">
            <v>40001</v>
          </cell>
          <cell r="H1133" t="str">
            <v>7640002302</v>
          </cell>
          <cell r="K1133" t="str">
            <v>EFI Impose 2.5 for IC-302</v>
          </cell>
          <cell r="L1133">
            <v>2500</v>
          </cell>
          <cell r="M1133">
            <v>1250.4849999999999</v>
          </cell>
          <cell r="N1133">
            <v>1287.99955</v>
          </cell>
          <cell r="O1133">
            <v>-0.17647058823529405</v>
          </cell>
          <cell r="S1133">
            <v>1625</v>
          </cell>
          <cell r="W1133">
            <v>1094.7996175000001</v>
          </cell>
          <cell r="AB1133">
            <v>1094.7996175000001</v>
          </cell>
          <cell r="AC1133">
            <v>1216.44</v>
          </cell>
          <cell r="AD1133">
            <v>1284.02</v>
          </cell>
          <cell r="AE1133">
            <v>1351.6</v>
          </cell>
          <cell r="AF1133">
            <v>0.18999732354246809</v>
          </cell>
          <cell r="AG1133">
            <v>4.7055674755844858E-2</v>
          </cell>
          <cell r="AH1133">
            <v>1378.64</v>
          </cell>
          <cell r="AI1133">
            <v>1405.67</v>
          </cell>
          <cell r="AJ1133">
            <v>0.22115459709604671</v>
          </cell>
          <cell r="AK1133">
            <v>1432.7</v>
          </cell>
          <cell r="AL1133">
            <v>1459.73</v>
          </cell>
          <cell r="AM1133">
            <v>0.24999854938927057</v>
          </cell>
          <cell r="AN1133">
            <v>1665.01</v>
          </cell>
          <cell r="AO1133">
            <v>1870.29</v>
          </cell>
          <cell r="AP1133">
            <v>2075.5700000000002</v>
          </cell>
          <cell r="AQ1133">
            <v>0</v>
          </cell>
          <cell r="AS1133">
            <v>2500</v>
          </cell>
        </row>
        <row r="1134">
          <cell r="B1134" t="str">
            <v>PMP</v>
          </cell>
          <cell r="C1134" t="str">
            <v>PMP</v>
          </cell>
          <cell r="D1134" t="str">
            <v>BT</v>
          </cell>
          <cell r="E1134" t="str">
            <v>08</v>
          </cell>
          <cell r="F1134">
            <v>39924</v>
          </cell>
          <cell r="G1134">
            <v>39924</v>
          </cell>
          <cell r="H1134" t="str">
            <v>56UE-PM75</v>
          </cell>
          <cell r="I1134" t="str">
            <v>TBD</v>
          </cell>
          <cell r="K1134" t="str">
            <v>PM Kit for 1050 (750K)</v>
          </cell>
          <cell r="L1134">
            <v>510</v>
          </cell>
          <cell r="M1134">
            <v>69.333333333333329</v>
          </cell>
          <cell r="N1134">
            <v>72.8</v>
          </cell>
          <cell r="O1134">
            <v>0.40072439907803759</v>
          </cell>
          <cell r="P1134">
            <v>121.48</v>
          </cell>
          <cell r="Q1134">
            <v>73.489999999999995</v>
          </cell>
          <cell r="R1134">
            <v>83.04</v>
          </cell>
          <cell r="S1134">
            <v>151.85</v>
          </cell>
          <cell r="T1134">
            <v>0.52057951926243007</v>
          </cell>
          <cell r="W1134">
            <v>121.48</v>
          </cell>
          <cell r="X1134">
            <v>0.8</v>
          </cell>
          <cell r="Y1134" t="str">
            <v>Act freight</v>
          </cell>
          <cell r="AA1134">
            <v>238</v>
          </cell>
          <cell r="AB1134">
            <v>174</v>
          </cell>
          <cell r="AC1134">
            <v>203</v>
          </cell>
          <cell r="AD1134">
            <v>223</v>
          </cell>
          <cell r="AE1134">
            <v>242.96</v>
          </cell>
          <cell r="AF1134">
            <v>0.5</v>
          </cell>
          <cell r="AG1134">
            <v>0.7003621995390189</v>
          </cell>
          <cell r="AH1134">
            <v>310</v>
          </cell>
          <cell r="AI1134">
            <v>377</v>
          </cell>
          <cell r="AJ1134">
            <v>0.67777188328912463</v>
          </cell>
          <cell r="AK1134">
            <v>443.5</v>
          </cell>
          <cell r="AL1134">
            <v>510</v>
          </cell>
          <cell r="AM1134">
            <v>0.76180392156862742</v>
          </cell>
          <cell r="AN1134">
            <v>510</v>
          </cell>
          <cell r="AO1134">
            <v>510</v>
          </cell>
          <cell r="AP1134">
            <v>510</v>
          </cell>
          <cell r="AQ1134">
            <v>0</v>
          </cell>
          <cell r="AS1134">
            <v>510</v>
          </cell>
        </row>
        <row r="1135">
          <cell r="B1135" t="str">
            <v>PMP</v>
          </cell>
          <cell r="C1135" t="str">
            <v>PMP</v>
          </cell>
          <cell r="D1135" t="str">
            <v>BT</v>
          </cell>
          <cell r="E1135" t="str">
            <v>08</v>
          </cell>
          <cell r="F1135">
            <v>39924</v>
          </cell>
          <cell r="G1135">
            <v>39924</v>
          </cell>
          <cell r="H1135" t="str">
            <v>57AE-PM25</v>
          </cell>
          <cell r="I1135" t="str">
            <v>57AE-PM25</v>
          </cell>
          <cell r="K1135" t="str">
            <v>Maintenance Kit for 600/750 (250K)</v>
          </cell>
          <cell r="L1135">
            <v>445</v>
          </cell>
          <cell r="M1135">
            <v>95.452190476190481</v>
          </cell>
          <cell r="N1135">
            <v>100.2248</v>
          </cell>
          <cell r="O1135">
            <v>0.37359500000000001</v>
          </cell>
          <cell r="P1135">
            <v>160</v>
          </cell>
          <cell r="Q1135">
            <v>101.18</v>
          </cell>
          <cell r="R1135">
            <v>114.33</v>
          </cell>
          <cell r="S1135">
            <v>200</v>
          </cell>
          <cell r="T1135">
            <v>0.49887599999999999</v>
          </cell>
          <cell r="W1135">
            <v>160</v>
          </cell>
          <cell r="X1135">
            <v>0.8</v>
          </cell>
          <cell r="Y1135" t="str">
            <v>Act freight</v>
          </cell>
          <cell r="AA1135">
            <v>314</v>
          </cell>
          <cell r="AB1135">
            <v>229</v>
          </cell>
          <cell r="AC1135">
            <v>267</v>
          </cell>
          <cell r="AD1135">
            <v>294</v>
          </cell>
          <cell r="AE1135">
            <v>320</v>
          </cell>
          <cell r="AF1135">
            <v>0.5</v>
          </cell>
          <cell r="AG1135">
            <v>0.68679749999999995</v>
          </cell>
          <cell r="AH1135">
            <v>352</v>
          </cell>
          <cell r="AI1135">
            <v>383</v>
          </cell>
          <cell r="AJ1135">
            <v>0.5822454308093995</v>
          </cell>
          <cell r="AK1135">
            <v>414</v>
          </cell>
          <cell r="AL1135">
            <v>445</v>
          </cell>
          <cell r="AM1135">
            <v>0.6404494382022472</v>
          </cell>
          <cell r="AN1135">
            <v>445</v>
          </cell>
          <cell r="AO1135">
            <v>445</v>
          </cell>
          <cell r="AP1135">
            <v>445</v>
          </cell>
          <cell r="AQ1135">
            <v>0</v>
          </cell>
          <cell r="AS1135">
            <v>445</v>
          </cell>
        </row>
        <row r="1136">
          <cell r="B1136" t="str">
            <v>PMP</v>
          </cell>
          <cell r="C1136" t="str">
            <v>PMP</v>
          </cell>
          <cell r="D1136" t="str">
            <v>BT</v>
          </cell>
          <cell r="E1136" t="str">
            <v>08</v>
          </cell>
          <cell r="F1136">
            <v>39924</v>
          </cell>
          <cell r="G1136">
            <v>39924</v>
          </cell>
          <cell r="H1136" t="str">
            <v>57GA-PM50</v>
          </cell>
          <cell r="I1136" t="str">
            <v>TBD</v>
          </cell>
          <cell r="K1136" t="str">
            <v>Maintenance Kit for 920 (500K)</v>
          </cell>
          <cell r="L1136">
            <v>400</v>
          </cell>
          <cell r="M1136">
            <v>64.095238095238088</v>
          </cell>
          <cell r="N1136">
            <v>67.3</v>
          </cell>
          <cell r="O1136">
            <v>0.49015151515151517</v>
          </cell>
          <cell r="P1136">
            <v>132</v>
          </cell>
          <cell r="Q1136">
            <v>67.94</v>
          </cell>
          <cell r="R1136">
            <v>76.77</v>
          </cell>
          <cell r="S1136">
            <v>165</v>
          </cell>
          <cell r="T1136">
            <v>0.59212121212121216</v>
          </cell>
          <cell r="W1136">
            <v>132</v>
          </cell>
          <cell r="X1136">
            <v>0.8</v>
          </cell>
          <cell r="Y1136" t="str">
            <v>Act freight</v>
          </cell>
          <cell r="AA1136">
            <v>259</v>
          </cell>
          <cell r="AB1136">
            <v>189</v>
          </cell>
          <cell r="AC1136">
            <v>220</v>
          </cell>
          <cell r="AD1136">
            <v>242</v>
          </cell>
          <cell r="AE1136">
            <v>264</v>
          </cell>
          <cell r="AF1136">
            <v>0.5</v>
          </cell>
          <cell r="AG1136">
            <v>0.7450757575757575</v>
          </cell>
          <cell r="AH1136">
            <v>298</v>
          </cell>
          <cell r="AI1136">
            <v>332</v>
          </cell>
          <cell r="AJ1136">
            <v>0.60240963855421692</v>
          </cell>
          <cell r="AK1136">
            <v>366</v>
          </cell>
          <cell r="AL1136">
            <v>400</v>
          </cell>
          <cell r="AM1136">
            <v>0.67</v>
          </cell>
          <cell r="AN1136">
            <v>400</v>
          </cell>
          <cell r="AO1136">
            <v>400</v>
          </cell>
          <cell r="AP1136">
            <v>400</v>
          </cell>
          <cell r="AQ1136">
            <v>0</v>
          </cell>
          <cell r="AS1136">
            <v>400</v>
          </cell>
        </row>
        <row r="1137">
          <cell r="B1137" t="str">
            <v>PMP</v>
          </cell>
          <cell r="C1137" t="str">
            <v>PMP</v>
          </cell>
          <cell r="D1137" t="str">
            <v>BT</v>
          </cell>
          <cell r="E1137" t="str">
            <v>DLR</v>
          </cell>
          <cell r="F1137">
            <v>39924</v>
          </cell>
          <cell r="G1137">
            <v>39924</v>
          </cell>
          <cell r="H1137" t="str">
            <v>7640X025</v>
          </cell>
          <cell r="I1137" t="str">
            <v>7640X025</v>
          </cell>
          <cell r="K1137" t="str">
            <v>PM Kit - A 200K for C6500/C5500 (Dealer only)  (C5500:150k)</v>
          </cell>
          <cell r="L1137">
            <v>2833</v>
          </cell>
          <cell r="M1137">
            <v>622.23809523809518</v>
          </cell>
          <cell r="N1137">
            <v>653.35</v>
          </cell>
          <cell r="O1137">
            <v>0.23937086709509175</v>
          </cell>
          <cell r="P1137">
            <v>858.96</v>
          </cell>
          <cell r="Q1137">
            <v>659.57</v>
          </cell>
          <cell r="R1137">
            <v>745.31</v>
          </cell>
          <cell r="S1137">
            <v>1073.7</v>
          </cell>
          <cell r="T1137">
            <v>0.39149669367607337</v>
          </cell>
          <cell r="W1137">
            <v>858.96</v>
          </cell>
          <cell r="X1137">
            <v>0.8</v>
          </cell>
          <cell r="Y1137" t="str">
            <v>Act freight</v>
          </cell>
          <cell r="AA1137">
            <v>1684</v>
          </cell>
          <cell r="AB1137">
            <v>1228</v>
          </cell>
          <cell r="AC1137">
            <v>1432</v>
          </cell>
          <cell r="AD1137">
            <v>1575</v>
          </cell>
          <cell r="AE1137">
            <v>1717.92</v>
          </cell>
          <cell r="AF1137">
            <v>0.5</v>
          </cell>
          <cell r="AG1137">
            <v>0.61968543354754591</v>
          </cell>
          <cell r="AH1137">
            <v>1997</v>
          </cell>
          <cell r="AI1137">
            <v>2276</v>
          </cell>
          <cell r="AJ1137">
            <v>0.62260105448154657</v>
          </cell>
          <cell r="AK1137">
            <v>2554.5</v>
          </cell>
          <cell r="AL1137">
            <v>2833</v>
          </cell>
          <cell r="AM1137">
            <v>0.69680197670314148</v>
          </cell>
          <cell r="AN1137">
            <v>2833</v>
          </cell>
          <cell r="AO1137">
            <v>2833</v>
          </cell>
          <cell r="AP1137">
            <v>2833</v>
          </cell>
          <cell r="AQ1137">
            <v>0</v>
          </cell>
          <cell r="AS1137">
            <v>2833</v>
          </cell>
        </row>
        <row r="1138">
          <cell r="B1138" t="str">
            <v>PMP</v>
          </cell>
          <cell r="C1138" t="str">
            <v>PMP</v>
          </cell>
          <cell r="D1138" t="str">
            <v>BT</v>
          </cell>
          <cell r="E1138" t="str">
            <v>DLR</v>
          </cell>
          <cell r="F1138">
            <v>39924</v>
          </cell>
          <cell r="G1138">
            <v>39924</v>
          </cell>
          <cell r="H1138" t="str">
            <v>7640X026</v>
          </cell>
          <cell r="I1138" t="str">
            <v>7640X026</v>
          </cell>
          <cell r="K1138" t="str">
            <v>PM Kit - B 200K for C6500/C5500 (Dealer only)  (C5500:150k)</v>
          </cell>
          <cell r="L1138">
            <v>4413</v>
          </cell>
          <cell r="M1138">
            <v>1196.7142857142856</v>
          </cell>
          <cell r="N1138">
            <v>1256.55</v>
          </cell>
          <cell r="O1138">
            <v>0.15812429651069315</v>
          </cell>
          <cell r="P1138">
            <v>1492.5600000000002</v>
          </cell>
          <cell r="Q1138">
            <v>1268.52</v>
          </cell>
          <cell r="R1138">
            <v>1433.43</v>
          </cell>
          <cell r="S1138">
            <v>1865.7</v>
          </cell>
          <cell r="T1138">
            <v>0.32649943720855445</v>
          </cell>
          <cell r="W1138">
            <v>1492.5600000000002</v>
          </cell>
          <cell r="X1138">
            <v>0.8</v>
          </cell>
          <cell r="Y1138" t="str">
            <v>Act freight</v>
          </cell>
          <cell r="AA1138">
            <v>2925</v>
          </cell>
          <cell r="AB1138">
            <v>2133</v>
          </cell>
          <cell r="AC1138">
            <v>2488</v>
          </cell>
          <cell r="AD1138">
            <v>2737</v>
          </cell>
          <cell r="AE1138">
            <v>2985.12</v>
          </cell>
          <cell r="AF1138">
            <v>0.49999999999999994</v>
          </cell>
          <cell r="AG1138">
            <v>0.57906214825534652</v>
          </cell>
          <cell r="AH1138">
            <v>3343</v>
          </cell>
          <cell r="AI1138">
            <v>3700</v>
          </cell>
          <cell r="AJ1138">
            <v>0.5966054054054053</v>
          </cell>
          <cell r="AK1138">
            <v>4056.5</v>
          </cell>
          <cell r="AL1138">
            <v>4413</v>
          </cell>
          <cell r="AM1138">
            <v>0.66178110129163825</v>
          </cell>
          <cell r="AN1138">
            <v>4413</v>
          </cell>
          <cell r="AO1138">
            <v>4413</v>
          </cell>
          <cell r="AP1138">
            <v>4413</v>
          </cell>
          <cell r="AQ1138">
            <v>0</v>
          </cell>
          <cell r="AS1138">
            <v>4413</v>
          </cell>
        </row>
        <row r="1139">
          <cell r="B1139" t="str">
            <v>PMP</v>
          </cell>
          <cell r="C1139" t="str">
            <v>PMP</v>
          </cell>
          <cell r="D1139" t="str">
            <v>BT</v>
          </cell>
          <cell r="E1139" t="str">
            <v>08</v>
          </cell>
          <cell r="F1139">
            <v>39924</v>
          </cell>
          <cell r="G1139">
            <v>39924</v>
          </cell>
          <cell r="H1139" t="str">
            <v>A00JR70000</v>
          </cell>
          <cell r="I1139" t="str">
            <v>A00JR70000</v>
          </cell>
          <cell r="K1139" t="str">
            <v>Color Toner Filter</v>
          </cell>
          <cell r="L1139">
            <v>45</v>
          </cell>
          <cell r="M1139">
            <v>19.690000000000001</v>
          </cell>
          <cell r="N1139">
            <v>20.674500000000002</v>
          </cell>
          <cell r="O1139">
            <v>4.2847222222222196E-2</v>
          </cell>
          <cell r="P1139">
            <v>21.6</v>
          </cell>
          <cell r="Q1139">
            <v>20.87</v>
          </cell>
          <cell r="R1139">
            <v>23.58</v>
          </cell>
          <cell r="S1139">
            <v>27</v>
          </cell>
          <cell r="T1139">
            <v>0.2342777777777777</v>
          </cell>
          <cell r="W1139">
            <v>21.6</v>
          </cell>
          <cell r="X1139">
            <v>0.8</v>
          </cell>
          <cell r="Y1139" t="str">
            <v>Act freight</v>
          </cell>
          <cell r="AA1139">
            <v>42</v>
          </cell>
          <cell r="AB1139">
            <v>31</v>
          </cell>
          <cell r="AC1139">
            <v>36</v>
          </cell>
          <cell r="AD1139">
            <v>40</v>
          </cell>
          <cell r="AE1139">
            <v>43.2</v>
          </cell>
          <cell r="AF1139">
            <v>0.5</v>
          </cell>
          <cell r="AG1139">
            <v>0.52142361111111113</v>
          </cell>
          <cell r="AH1139">
            <v>45</v>
          </cell>
          <cell r="AI1139">
            <v>45</v>
          </cell>
          <cell r="AJ1139">
            <v>0.52</v>
          </cell>
          <cell r="AK1139">
            <v>45</v>
          </cell>
          <cell r="AL1139">
            <v>45</v>
          </cell>
          <cell r="AM1139">
            <v>0.52</v>
          </cell>
          <cell r="AN1139">
            <v>45</v>
          </cell>
          <cell r="AO1139">
            <v>45</v>
          </cell>
          <cell r="AP1139">
            <v>45</v>
          </cell>
          <cell r="AQ1139">
            <v>0</v>
          </cell>
          <cell r="AS1139">
            <v>45</v>
          </cell>
        </row>
        <row r="1140">
          <cell r="B1140" t="str">
            <v>PMP</v>
          </cell>
          <cell r="C1140" t="str">
            <v>PMP</v>
          </cell>
          <cell r="D1140" t="str">
            <v>BT</v>
          </cell>
          <cell r="E1140" t="str">
            <v>08</v>
          </cell>
          <cell r="F1140">
            <v>39924</v>
          </cell>
          <cell r="G1140">
            <v>39924</v>
          </cell>
          <cell r="H1140" t="str">
            <v>A00JR71400</v>
          </cell>
          <cell r="I1140" t="str">
            <v>A00JR71400</v>
          </cell>
          <cell r="K1140" t="str">
            <v>Transfer Belt Unit</v>
          </cell>
          <cell r="L1140">
            <v>750</v>
          </cell>
          <cell r="M1140">
            <v>222.63</v>
          </cell>
          <cell r="N1140">
            <v>233.76150000000001</v>
          </cell>
          <cell r="O1140">
            <v>0.22079499999999996</v>
          </cell>
          <cell r="P1140">
            <v>300</v>
          </cell>
          <cell r="Q1140">
            <v>235.99</v>
          </cell>
          <cell r="R1140">
            <v>266.67</v>
          </cell>
          <cell r="S1140">
            <v>375</v>
          </cell>
          <cell r="T1140">
            <v>0.37663599999999997</v>
          </cell>
          <cell r="W1140">
            <v>300</v>
          </cell>
          <cell r="X1140">
            <v>0.8</v>
          </cell>
          <cell r="Y1140" t="str">
            <v>Act freight</v>
          </cell>
          <cell r="AA1140">
            <v>588</v>
          </cell>
          <cell r="AB1140">
            <v>429</v>
          </cell>
          <cell r="AC1140">
            <v>500</v>
          </cell>
          <cell r="AD1140">
            <v>550</v>
          </cell>
          <cell r="AE1140">
            <v>600</v>
          </cell>
          <cell r="AF1140">
            <v>0.5</v>
          </cell>
          <cell r="AG1140">
            <v>0.61039749999999993</v>
          </cell>
          <cell r="AH1140">
            <v>638</v>
          </cell>
          <cell r="AI1140">
            <v>675</v>
          </cell>
          <cell r="AJ1140">
            <v>0.55555555555555558</v>
          </cell>
          <cell r="AK1140">
            <v>712.5</v>
          </cell>
          <cell r="AL1140">
            <v>750</v>
          </cell>
          <cell r="AM1140">
            <v>0.6</v>
          </cell>
          <cell r="AN1140">
            <v>750</v>
          </cell>
          <cell r="AO1140">
            <v>750</v>
          </cell>
          <cell r="AP1140">
            <v>750</v>
          </cell>
          <cell r="AQ1140">
            <v>0</v>
          </cell>
          <cell r="AS1140">
            <v>750</v>
          </cell>
        </row>
        <row r="1141">
          <cell r="B1141" t="str">
            <v>PMP</v>
          </cell>
          <cell r="C1141" t="str">
            <v>PMP</v>
          </cell>
          <cell r="D1141" t="str">
            <v>BT</v>
          </cell>
          <cell r="E1141" t="str">
            <v>08</v>
          </cell>
          <cell r="F1141">
            <v>39924</v>
          </cell>
          <cell r="G1141">
            <v>39924</v>
          </cell>
          <cell r="H1141" t="str">
            <v>A00JR71500</v>
          </cell>
          <cell r="I1141" t="str">
            <v>A00JR71500</v>
          </cell>
          <cell r="K1141" t="str">
            <v>Transfer Roller Unit</v>
          </cell>
          <cell r="L1141">
            <v>72</v>
          </cell>
          <cell r="M1141">
            <v>16.37</v>
          </cell>
          <cell r="N1141">
            <v>17.188500000000001</v>
          </cell>
          <cell r="O1141">
            <v>0.39933953033268105</v>
          </cell>
          <cell r="P1141">
            <v>28.616000000000003</v>
          </cell>
          <cell r="Q1141">
            <v>17.350000000000001</v>
          </cell>
          <cell r="R1141">
            <v>19.61</v>
          </cell>
          <cell r="S1141">
            <v>35.770000000000003</v>
          </cell>
          <cell r="T1141">
            <v>0.51947162426614479</v>
          </cell>
          <cell r="W1141">
            <v>28.616000000000003</v>
          </cell>
          <cell r="X1141">
            <v>0.8</v>
          </cell>
          <cell r="Y1141" t="str">
            <v>Act freight</v>
          </cell>
          <cell r="AA1141">
            <v>56</v>
          </cell>
          <cell r="AB1141">
            <v>41</v>
          </cell>
          <cell r="AC1141">
            <v>48</v>
          </cell>
          <cell r="AD1141">
            <v>53</v>
          </cell>
          <cell r="AE1141">
            <v>57.23</v>
          </cell>
          <cell r="AF1141">
            <v>0.49998252664686343</v>
          </cell>
          <cell r="AG1141">
            <v>0.69965926961383895</v>
          </cell>
          <cell r="AH1141">
            <v>62</v>
          </cell>
          <cell r="AI1141">
            <v>65</v>
          </cell>
          <cell r="AJ1141">
            <v>0.55975384615384616</v>
          </cell>
          <cell r="AK1141">
            <v>68.5</v>
          </cell>
          <cell r="AL1141">
            <v>72</v>
          </cell>
          <cell r="AM1141">
            <v>0.60255555555555551</v>
          </cell>
          <cell r="AN1141">
            <v>72</v>
          </cell>
          <cell r="AO1141">
            <v>72</v>
          </cell>
          <cell r="AP1141">
            <v>72</v>
          </cell>
          <cell r="AQ1141">
            <v>0</v>
          </cell>
          <cell r="AS1141">
            <v>72</v>
          </cell>
        </row>
        <row r="1142">
          <cell r="B1142" t="str">
            <v>PMP</v>
          </cell>
          <cell r="C1142" t="str">
            <v>PMP</v>
          </cell>
          <cell r="D1142" t="str">
            <v>BT</v>
          </cell>
          <cell r="E1142" t="str">
            <v>08</v>
          </cell>
          <cell r="F1142">
            <v>39924</v>
          </cell>
          <cell r="G1142">
            <v>39924</v>
          </cell>
          <cell r="H1142" t="str">
            <v>A00JR72100</v>
          </cell>
          <cell r="I1142" t="str">
            <v>A00JR72100</v>
          </cell>
          <cell r="K1142" t="str">
            <v>Fusing Unit (includes Ozone Filter)</v>
          </cell>
          <cell r="L1142">
            <v>600</v>
          </cell>
          <cell r="M1142">
            <v>276</v>
          </cell>
          <cell r="N1142">
            <v>289.8</v>
          </cell>
          <cell r="O1142">
            <v>2.0945945945945909E-2</v>
          </cell>
          <cell r="P1142">
            <v>296</v>
          </cell>
          <cell r="Q1142">
            <v>292.56</v>
          </cell>
          <cell r="R1142">
            <v>330.59</v>
          </cell>
          <cell r="S1142">
            <v>370</v>
          </cell>
          <cell r="T1142">
            <v>0.21675675675675674</v>
          </cell>
          <cell r="W1142">
            <v>296</v>
          </cell>
          <cell r="X1142">
            <v>0.8</v>
          </cell>
          <cell r="Y1142" t="str">
            <v>Act freight</v>
          </cell>
          <cell r="AA1142">
            <v>580</v>
          </cell>
          <cell r="AB1142">
            <v>423</v>
          </cell>
          <cell r="AC1142">
            <v>494</v>
          </cell>
          <cell r="AD1142">
            <v>543</v>
          </cell>
          <cell r="AE1142">
            <v>592</v>
          </cell>
          <cell r="AF1142">
            <v>0.5</v>
          </cell>
          <cell r="AG1142">
            <v>0.510472972972973</v>
          </cell>
          <cell r="AH1142">
            <v>594</v>
          </cell>
          <cell r="AI1142">
            <v>596</v>
          </cell>
          <cell r="AJ1142">
            <v>0.50335570469798663</v>
          </cell>
          <cell r="AK1142">
            <v>598</v>
          </cell>
          <cell r="AL1142">
            <v>600</v>
          </cell>
          <cell r="AM1142">
            <v>0.50666666666666671</v>
          </cell>
          <cell r="AN1142">
            <v>600</v>
          </cell>
          <cell r="AO1142">
            <v>600</v>
          </cell>
          <cell r="AP1142">
            <v>600</v>
          </cell>
          <cell r="AQ1142">
            <v>0</v>
          </cell>
          <cell r="AS1142">
            <v>600</v>
          </cell>
        </row>
        <row r="1143">
          <cell r="B1143" t="str">
            <v>PMP</v>
          </cell>
          <cell r="C1143" t="str">
            <v>PMP</v>
          </cell>
          <cell r="D1143" t="str">
            <v>BT</v>
          </cell>
          <cell r="E1143" t="str">
            <v>08</v>
          </cell>
          <cell r="F1143">
            <v>39924</v>
          </cell>
          <cell r="G1143">
            <v>39924</v>
          </cell>
          <cell r="H1143" t="str">
            <v>A02ER71300</v>
          </cell>
          <cell r="I1143" t="str">
            <v>A02ER71300</v>
          </cell>
          <cell r="K1143" t="str">
            <v>Transfer Roller (150K)</v>
          </cell>
          <cell r="L1143">
            <v>70</v>
          </cell>
          <cell r="M1143">
            <v>18.43</v>
          </cell>
          <cell r="N1143">
            <v>19.351500000000001</v>
          </cell>
          <cell r="O1143">
            <v>0.30887499999999996</v>
          </cell>
          <cell r="P1143">
            <v>28</v>
          </cell>
          <cell r="Q1143">
            <v>19.54</v>
          </cell>
          <cell r="R1143">
            <v>22.08</v>
          </cell>
          <cell r="S1143">
            <v>35</v>
          </cell>
          <cell r="T1143">
            <v>0.44709999999999994</v>
          </cell>
          <cell r="W1143">
            <v>28</v>
          </cell>
          <cell r="X1143">
            <v>0.8</v>
          </cell>
          <cell r="Y1143" t="str">
            <v>Act freight</v>
          </cell>
          <cell r="AA1143">
            <v>55</v>
          </cell>
          <cell r="AB1143">
            <v>40</v>
          </cell>
          <cell r="AC1143">
            <v>47</v>
          </cell>
          <cell r="AD1143">
            <v>52</v>
          </cell>
          <cell r="AE1143">
            <v>56</v>
          </cell>
          <cell r="AF1143">
            <v>0.5</v>
          </cell>
          <cell r="AG1143">
            <v>0.65443750000000001</v>
          </cell>
          <cell r="AH1143">
            <v>60</v>
          </cell>
          <cell r="AI1143">
            <v>63</v>
          </cell>
          <cell r="AJ1143">
            <v>0.55555555555555558</v>
          </cell>
          <cell r="AK1143">
            <v>66.5</v>
          </cell>
          <cell r="AL1143">
            <v>70</v>
          </cell>
          <cell r="AM1143">
            <v>0.6</v>
          </cell>
          <cell r="AN1143">
            <v>70</v>
          </cell>
          <cell r="AO1143">
            <v>70</v>
          </cell>
          <cell r="AP1143">
            <v>70</v>
          </cell>
          <cell r="AQ1143">
            <v>0</v>
          </cell>
          <cell r="AS1143">
            <v>70</v>
          </cell>
        </row>
        <row r="1144">
          <cell r="B1144" t="str">
            <v>PMP</v>
          </cell>
          <cell r="C1144" t="str">
            <v>PMP</v>
          </cell>
          <cell r="D1144" t="str">
            <v>BT</v>
          </cell>
          <cell r="E1144" t="str">
            <v>08</v>
          </cell>
          <cell r="F1144">
            <v>39924</v>
          </cell>
          <cell r="G1144">
            <v>39924</v>
          </cell>
          <cell r="H1144" t="str">
            <v>A02ER72000</v>
          </cell>
          <cell r="I1144" t="str">
            <v>A02ER72000</v>
          </cell>
          <cell r="K1144" t="str">
            <v>Fusing Unit (400K)</v>
          </cell>
          <cell r="L1144">
            <v>700</v>
          </cell>
          <cell r="M1144">
            <v>185.13</v>
          </cell>
          <cell r="N1144">
            <v>194.38650000000001</v>
          </cell>
          <cell r="O1144">
            <v>0.29365370639534877</v>
          </cell>
          <cell r="P1144">
            <v>275.2</v>
          </cell>
          <cell r="Q1144">
            <v>196.24</v>
          </cell>
          <cell r="R1144">
            <v>221.75</v>
          </cell>
          <cell r="S1144">
            <v>344</v>
          </cell>
          <cell r="T1144">
            <v>0.43492296511627904</v>
          </cell>
          <cell r="W1144">
            <v>275.2</v>
          </cell>
          <cell r="X1144">
            <v>0.79999999999999993</v>
          </cell>
          <cell r="Y1144" t="str">
            <v>Act freight</v>
          </cell>
          <cell r="AA1144">
            <v>539</v>
          </cell>
          <cell r="AB1144">
            <v>394</v>
          </cell>
          <cell r="AC1144">
            <v>459</v>
          </cell>
          <cell r="AD1144">
            <v>505</v>
          </cell>
          <cell r="AE1144">
            <v>550.4</v>
          </cell>
          <cell r="AF1144">
            <v>0.5</v>
          </cell>
          <cell r="AG1144">
            <v>0.64682685319767441</v>
          </cell>
          <cell r="AH1144">
            <v>589</v>
          </cell>
          <cell r="AI1144">
            <v>626</v>
          </cell>
          <cell r="AJ1144">
            <v>0.56038338658146969</v>
          </cell>
          <cell r="AK1144">
            <v>663</v>
          </cell>
          <cell r="AL1144">
            <v>700</v>
          </cell>
          <cell r="AM1144">
            <v>0.60685714285714287</v>
          </cell>
          <cell r="AN1144">
            <v>700</v>
          </cell>
          <cell r="AO1144">
            <v>700</v>
          </cell>
          <cell r="AP1144">
            <v>700</v>
          </cell>
          <cell r="AQ1144">
            <v>0</v>
          </cell>
          <cell r="AS1144">
            <v>700</v>
          </cell>
        </row>
        <row r="1145">
          <cell r="B1145" t="str">
            <v>PMP</v>
          </cell>
          <cell r="C1145" t="str">
            <v>PMP</v>
          </cell>
          <cell r="D1145" t="str">
            <v>BT</v>
          </cell>
          <cell r="E1145" t="str">
            <v>08</v>
          </cell>
          <cell r="F1145">
            <v>39924</v>
          </cell>
          <cell r="G1145">
            <v>39924</v>
          </cell>
          <cell r="H1145" t="str">
            <v>A02ER73000</v>
          </cell>
          <cell r="I1145" t="str">
            <v>A02ER73000</v>
          </cell>
          <cell r="K1145" t="str">
            <v>Transfer Belt Unit (150K)</v>
          </cell>
          <cell r="L1145">
            <v>325</v>
          </cell>
          <cell r="M1145">
            <v>71.86</v>
          </cell>
          <cell r="N1145">
            <v>75.453000000000003</v>
          </cell>
          <cell r="O1145">
            <v>0.41052343749999998</v>
          </cell>
          <cell r="P1145">
            <v>128</v>
          </cell>
          <cell r="Q1145">
            <v>76.17</v>
          </cell>
          <cell r="R1145">
            <v>86.07</v>
          </cell>
          <cell r="S1145">
            <v>160</v>
          </cell>
          <cell r="T1145">
            <v>0.52841874999999994</v>
          </cell>
          <cell r="W1145">
            <v>128</v>
          </cell>
          <cell r="X1145">
            <v>0.8</v>
          </cell>
          <cell r="Y1145" t="str">
            <v>Act freight</v>
          </cell>
          <cell r="AA1145">
            <v>251</v>
          </cell>
          <cell r="AB1145">
            <v>183</v>
          </cell>
          <cell r="AC1145">
            <v>214</v>
          </cell>
          <cell r="AD1145">
            <v>235</v>
          </cell>
          <cell r="AE1145">
            <v>256</v>
          </cell>
          <cell r="AF1145">
            <v>0.5</v>
          </cell>
          <cell r="AG1145">
            <v>0.70526171874999999</v>
          </cell>
          <cell r="AH1145">
            <v>274</v>
          </cell>
          <cell r="AI1145">
            <v>291</v>
          </cell>
          <cell r="AJ1145">
            <v>0.56013745704467355</v>
          </cell>
          <cell r="AK1145">
            <v>308</v>
          </cell>
          <cell r="AL1145">
            <v>325</v>
          </cell>
          <cell r="AM1145">
            <v>0.60615384615384615</v>
          </cell>
          <cell r="AN1145">
            <v>325</v>
          </cell>
          <cell r="AO1145">
            <v>325</v>
          </cell>
          <cell r="AP1145">
            <v>325</v>
          </cell>
          <cell r="AQ1145">
            <v>0</v>
          </cell>
          <cell r="AS1145">
            <v>325</v>
          </cell>
        </row>
        <row r="1146">
          <cell r="B1146" t="str">
            <v>PMP</v>
          </cell>
          <cell r="C1146" t="str">
            <v>PMP</v>
          </cell>
          <cell r="D1146" t="str">
            <v>BT</v>
          </cell>
          <cell r="E1146" t="str">
            <v>08</v>
          </cell>
          <cell r="F1146">
            <v>39924</v>
          </cell>
          <cell r="G1146">
            <v>39924</v>
          </cell>
          <cell r="H1146" t="str">
            <v>A0P0R70000</v>
          </cell>
          <cell r="I1146" t="str">
            <v>TBD</v>
          </cell>
          <cell r="J1146" t="str">
            <v>NLA</v>
          </cell>
          <cell r="K1146" t="str">
            <v>Transfer Belt Unit (570K)</v>
          </cell>
          <cell r="L1146">
            <v>950</v>
          </cell>
          <cell r="M1146">
            <v>218.15</v>
          </cell>
          <cell r="N1146">
            <v>229.0575</v>
          </cell>
          <cell r="O1146">
            <v>0.3972171052631579</v>
          </cell>
          <cell r="P1146">
            <v>380</v>
          </cell>
          <cell r="Q1146">
            <v>231.24</v>
          </cell>
          <cell r="R1146">
            <v>261.3</v>
          </cell>
          <cell r="S1146">
            <v>475</v>
          </cell>
          <cell r="T1146">
            <v>0.51777368421052627</v>
          </cell>
          <cell r="W1146">
            <v>380</v>
          </cell>
          <cell r="X1146">
            <v>0.8</v>
          </cell>
          <cell r="Y1146" t="str">
            <v>Act freight</v>
          </cell>
          <cell r="AA1146">
            <v>745</v>
          </cell>
          <cell r="AB1146">
            <v>543</v>
          </cell>
          <cell r="AC1146">
            <v>634</v>
          </cell>
          <cell r="AD1146">
            <v>697</v>
          </cell>
          <cell r="AE1146">
            <v>760</v>
          </cell>
          <cell r="AF1146">
            <v>0.5</v>
          </cell>
          <cell r="AG1146">
            <v>0.69860855263157895</v>
          </cell>
          <cell r="AH1146">
            <v>808</v>
          </cell>
          <cell r="AI1146">
            <v>855</v>
          </cell>
          <cell r="AJ1146">
            <v>0.55555555555555558</v>
          </cell>
          <cell r="AK1146">
            <v>902.5</v>
          </cell>
          <cell r="AL1146">
            <v>950</v>
          </cell>
          <cell r="AM1146">
            <v>0.6</v>
          </cell>
          <cell r="AN1146">
            <v>950</v>
          </cell>
          <cell r="AO1146">
            <v>950</v>
          </cell>
          <cell r="AP1146">
            <v>950</v>
          </cell>
          <cell r="AQ1146">
            <v>0</v>
          </cell>
          <cell r="AS1146">
            <v>950</v>
          </cell>
        </row>
        <row r="1147">
          <cell r="B1147" t="str">
            <v>PMP</v>
          </cell>
          <cell r="C1147" t="str">
            <v>PMP</v>
          </cell>
          <cell r="D1147" t="str">
            <v>BT</v>
          </cell>
          <cell r="E1147" t="str">
            <v>08</v>
          </cell>
          <cell r="F1147">
            <v>39924</v>
          </cell>
          <cell r="G1147">
            <v>39924</v>
          </cell>
          <cell r="H1147" t="str">
            <v>A0P0R70100</v>
          </cell>
          <cell r="I1147" t="str">
            <v>TBD</v>
          </cell>
          <cell r="K1147" t="str">
            <v>Toner Filter (Monochrome - 285K or Color - 120K whichever is achieved first)</v>
          </cell>
          <cell r="L1147">
            <v>45</v>
          </cell>
          <cell r="M1147">
            <v>11.92</v>
          </cell>
          <cell r="N1147">
            <v>12.516</v>
          </cell>
          <cell r="O1147">
            <v>0.42055555555555557</v>
          </cell>
          <cell r="P1147">
            <v>21.6</v>
          </cell>
          <cell r="Q1147">
            <v>12.64</v>
          </cell>
          <cell r="R1147">
            <v>14.28</v>
          </cell>
          <cell r="S1147">
            <v>27</v>
          </cell>
          <cell r="T1147">
            <v>0.53644444444444439</v>
          </cell>
          <cell r="W1147">
            <v>21.6</v>
          </cell>
          <cell r="X1147">
            <v>0.8</v>
          </cell>
          <cell r="Y1147" t="str">
            <v>Act freight</v>
          </cell>
          <cell r="AA1147">
            <v>42</v>
          </cell>
          <cell r="AB1147">
            <v>31</v>
          </cell>
          <cell r="AC1147">
            <v>36</v>
          </cell>
          <cell r="AD1147">
            <v>40</v>
          </cell>
          <cell r="AE1147">
            <v>43.2</v>
          </cell>
          <cell r="AF1147">
            <v>0.5</v>
          </cell>
          <cell r="AG1147">
            <v>0.71027777777777779</v>
          </cell>
          <cell r="AH1147">
            <v>45</v>
          </cell>
          <cell r="AI1147">
            <v>45</v>
          </cell>
          <cell r="AJ1147">
            <v>0.52</v>
          </cell>
          <cell r="AK1147">
            <v>45</v>
          </cell>
          <cell r="AL1147">
            <v>45</v>
          </cell>
          <cell r="AM1147">
            <v>0.52</v>
          </cell>
          <cell r="AN1147">
            <v>45</v>
          </cell>
          <cell r="AO1147">
            <v>45</v>
          </cell>
          <cell r="AP1147">
            <v>45</v>
          </cell>
          <cell r="AQ1147">
            <v>0</v>
          </cell>
          <cell r="AS1147">
            <v>45</v>
          </cell>
        </row>
        <row r="1148">
          <cell r="B1148" t="str">
            <v>PMP</v>
          </cell>
          <cell r="C1148" t="str">
            <v>PMP</v>
          </cell>
          <cell r="D1148" t="str">
            <v>BT</v>
          </cell>
          <cell r="E1148" t="str">
            <v>08</v>
          </cell>
          <cell r="F1148">
            <v>39924</v>
          </cell>
          <cell r="G1148">
            <v>39924</v>
          </cell>
          <cell r="H1148" t="str">
            <v>A0P0R71900</v>
          </cell>
          <cell r="I1148" t="str">
            <v>TBD</v>
          </cell>
          <cell r="K1148" t="str">
            <v>Transfer Roller Unit (570K)</v>
          </cell>
          <cell r="L1148">
            <v>91</v>
          </cell>
          <cell r="M1148">
            <v>17.649999999999999</v>
          </cell>
          <cell r="N1148">
            <v>18.532499999999999</v>
          </cell>
          <cell r="O1148">
            <v>0.48873041271242562</v>
          </cell>
          <cell r="P1148">
            <v>36.248000000000005</v>
          </cell>
          <cell r="Q1148">
            <v>18.71</v>
          </cell>
          <cell r="R1148">
            <v>21.14</v>
          </cell>
          <cell r="S1148">
            <v>45.31</v>
          </cell>
          <cell r="T1148">
            <v>0.59098433016994045</v>
          </cell>
          <cell r="W1148">
            <v>36.248000000000005</v>
          </cell>
          <cell r="X1148">
            <v>0.8</v>
          </cell>
          <cell r="Y1148" t="str">
            <v>Act freight</v>
          </cell>
          <cell r="AA1148">
            <v>71</v>
          </cell>
          <cell r="AB1148">
            <v>52</v>
          </cell>
          <cell r="AC1148">
            <v>61</v>
          </cell>
          <cell r="AD1148">
            <v>67</v>
          </cell>
          <cell r="AE1148">
            <v>72.5</v>
          </cell>
          <cell r="AF1148">
            <v>0.50002758620689647</v>
          </cell>
          <cell r="AG1148">
            <v>0.74437931034482763</v>
          </cell>
          <cell r="AH1148">
            <v>78</v>
          </cell>
          <cell r="AI1148">
            <v>82</v>
          </cell>
          <cell r="AJ1148">
            <v>0.55795121951219506</v>
          </cell>
          <cell r="AK1148">
            <v>86.5</v>
          </cell>
          <cell r="AL1148">
            <v>91</v>
          </cell>
          <cell r="AM1148">
            <v>0.60167032967032963</v>
          </cell>
          <cell r="AN1148">
            <v>91</v>
          </cell>
          <cell r="AO1148">
            <v>91</v>
          </cell>
          <cell r="AP1148">
            <v>91</v>
          </cell>
          <cell r="AQ1148">
            <v>0</v>
          </cell>
          <cell r="AS1148">
            <v>91</v>
          </cell>
        </row>
        <row r="1149">
          <cell r="B1149" t="str">
            <v>PMP</v>
          </cell>
          <cell r="C1149" t="str">
            <v>PMP</v>
          </cell>
          <cell r="D1149" t="str">
            <v>BT</v>
          </cell>
          <cell r="E1149" t="str">
            <v>08</v>
          </cell>
          <cell r="F1149">
            <v>39924</v>
          </cell>
          <cell r="G1149">
            <v>39924</v>
          </cell>
          <cell r="H1149" t="str">
            <v>A0P0R73300</v>
          </cell>
          <cell r="I1149" t="str">
            <v>TBD</v>
          </cell>
          <cell r="K1149" t="str">
            <v>Fusing Unit (570K)</v>
          </cell>
          <cell r="L1149">
            <v>795</v>
          </cell>
          <cell r="M1149">
            <v>261.10000000000002</v>
          </cell>
          <cell r="N1149">
            <v>274.15500000000003</v>
          </cell>
          <cell r="O1149">
            <v>0.30062499999999992</v>
          </cell>
          <cell r="P1149">
            <v>392</v>
          </cell>
          <cell r="Q1149">
            <v>276.77</v>
          </cell>
          <cell r="R1149">
            <v>312.75</v>
          </cell>
          <cell r="S1149">
            <v>490</v>
          </cell>
          <cell r="T1149">
            <v>0.44049999999999995</v>
          </cell>
          <cell r="W1149">
            <v>392</v>
          </cell>
          <cell r="X1149">
            <v>0.8</v>
          </cell>
          <cell r="Y1149" t="str">
            <v>Act freight</v>
          </cell>
          <cell r="AA1149">
            <v>768</v>
          </cell>
          <cell r="AB1149">
            <v>560</v>
          </cell>
          <cell r="AC1149">
            <v>654</v>
          </cell>
          <cell r="AD1149">
            <v>719</v>
          </cell>
          <cell r="AE1149">
            <v>784</v>
          </cell>
          <cell r="AF1149">
            <v>0.5</v>
          </cell>
          <cell r="AG1149">
            <v>0.65031249999999996</v>
          </cell>
          <cell r="AH1149">
            <v>787</v>
          </cell>
          <cell r="AI1149">
            <v>790</v>
          </cell>
          <cell r="AJ1149">
            <v>0.5037974683544304</v>
          </cell>
          <cell r="AK1149">
            <v>792.5</v>
          </cell>
          <cell r="AL1149">
            <v>795</v>
          </cell>
          <cell r="AM1149">
            <v>0.50691823899371069</v>
          </cell>
          <cell r="AN1149">
            <v>795</v>
          </cell>
          <cell r="AO1149">
            <v>795</v>
          </cell>
          <cell r="AP1149">
            <v>795</v>
          </cell>
          <cell r="AQ1149">
            <v>0</v>
          </cell>
          <cell r="AS1149">
            <v>795</v>
          </cell>
        </row>
        <row r="1150">
          <cell r="B1150" t="str">
            <v>PMP</v>
          </cell>
          <cell r="C1150" t="str">
            <v>PMP</v>
          </cell>
          <cell r="D1150" t="str">
            <v>BT</v>
          </cell>
          <cell r="E1150" t="str">
            <v>08</v>
          </cell>
          <cell r="F1150">
            <v>39924</v>
          </cell>
          <cell r="G1150">
            <v>39924</v>
          </cell>
          <cell r="H1150" t="str">
            <v>D42GEPM25</v>
          </cell>
          <cell r="I1150" t="str">
            <v>D42GEPM25</v>
          </cell>
          <cell r="K1150" t="str">
            <v>PM Kit 250K for 421/361</v>
          </cell>
          <cell r="L1150">
            <v>660</v>
          </cell>
          <cell r="M1150">
            <v>187.53</v>
          </cell>
          <cell r="N1150">
            <v>196.90650000000002</v>
          </cell>
          <cell r="O1150">
            <v>0.16565042372881347</v>
          </cell>
          <cell r="P1150">
            <v>236</v>
          </cell>
          <cell r="Q1150">
            <v>198.78</v>
          </cell>
          <cell r="R1150">
            <v>224.62</v>
          </cell>
          <cell r="S1150">
            <v>295</v>
          </cell>
          <cell r="T1150">
            <v>0.33252033898305078</v>
          </cell>
          <cell r="W1150">
            <v>236</v>
          </cell>
          <cell r="X1150">
            <v>0.8</v>
          </cell>
          <cell r="Y1150" t="str">
            <v>Act freight</v>
          </cell>
          <cell r="AA1150">
            <v>463</v>
          </cell>
          <cell r="AB1150">
            <v>338</v>
          </cell>
          <cell r="AC1150">
            <v>394</v>
          </cell>
          <cell r="AD1150">
            <v>433</v>
          </cell>
          <cell r="AE1150">
            <v>472</v>
          </cell>
          <cell r="AF1150">
            <v>0.5</v>
          </cell>
          <cell r="AG1150">
            <v>0.58282521186440672</v>
          </cell>
          <cell r="AH1150">
            <v>519</v>
          </cell>
          <cell r="AI1150">
            <v>566</v>
          </cell>
          <cell r="AJ1150">
            <v>0.58303886925795056</v>
          </cell>
          <cell r="AK1150">
            <v>613</v>
          </cell>
          <cell r="AL1150">
            <v>660</v>
          </cell>
          <cell r="AM1150">
            <v>0.64242424242424245</v>
          </cell>
          <cell r="AN1150">
            <v>660</v>
          </cell>
          <cell r="AO1150">
            <v>660</v>
          </cell>
          <cell r="AP1150">
            <v>660</v>
          </cell>
          <cell r="AQ1150">
            <v>0</v>
          </cell>
          <cell r="AS1150">
            <v>660</v>
          </cell>
        </row>
        <row r="1151">
          <cell r="B1151" t="str">
            <v>PMP</v>
          </cell>
          <cell r="C1151" t="str">
            <v>PMP</v>
          </cell>
          <cell r="D1151" t="str">
            <v>BT</v>
          </cell>
          <cell r="E1151" t="str">
            <v>08</v>
          </cell>
          <cell r="F1151">
            <v>39924</v>
          </cell>
          <cell r="G1151">
            <v>39924</v>
          </cell>
          <cell r="H1151" t="str">
            <v>D50GEPM25</v>
          </cell>
          <cell r="I1151" t="str">
            <v>D50GEPM25</v>
          </cell>
          <cell r="K1151" t="str">
            <v>PM Kit 250K for 501</v>
          </cell>
          <cell r="L1151">
            <v>660</v>
          </cell>
          <cell r="M1151">
            <v>187.53</v>
          </cell>
          <cell r="N1151">
            <v>196.90650000000002</v>
          </cell>
          <cell r="O1151">
            <v>0.16565042372881347</v>
          </cell>
          <cell r="P1151">
            <v>236</v>
          </cell>
          <cell r="Q1151">
            <v>198.78</v>
          </cell>
          <cell r="R1151">
            <v>224.62</v>
          </cell>
          <cell r="S1151">
            <v>295</v>
          </cell>
          <cell r="T1151">
            <v>0.33252033898305078</v>
          </cell>
          <cell r="U1151">
            <v>0</v>
          </cell>
          <cell r="V1151">
            <v>0</v>
          </cell>
          <cell r="W1151">
            <v>236</v>
          </cell>
          <cell r="X1151">
            <v>0.8</v>
          </cell>
          <cell r="Y1151" t="str">
            <v>Act freight</v>
          </cell>
          <cell r="AA1151">
            <v>463</v>
          </cell>
          <cell r="AB1151">
            <v>338</v>
          </cell>
          <cell r="AC1151">
            <v>394</v>
          </cell>
          <cell r="AD1151">
            <v>433</v>
          </cell>
          <cell r="AE1151">
            <v>472</v>
          </cell>
          <cell r="AF1151">
            <v>0.5</v>
          </cell>
          <cell r="AG1151">
            <v>0.58282521186440672</v>
          </cell>
          <cell r="AH1151">
            <v>519</v>
          </cell>
          <cell r="AI1151">
            <v>566</v>
          </cell>
          <cell r="AJ1151">
            <v>0.58303886925795056</v>
          </cell>
          <cell r="AK1151">
            <v>613</v>
          </cell>
          <cell r="AL1151">
            <v>660</v>
          </cell>
          <cell r="AM1151">
            <v>0.64242424242424245</v>
          </cell>
          <cell r="AN1151">
            <v>660</v>
          </cell>
          <cell r="AO1151">
            <v>660</v>
          </cell>
          <cell r="AP1151">
            <v>660</v>
          </cell>
          <cell r="AQ1151">
            <v>0</v>
          </cell>
          <cell r="AS1151">
            <v>660</v>
          </cell>
        </row>
        <row r="1152">
          <cell r="B1152" t="str">
            <v>PMP</v>
          </cell>
          <cell r="C1152" t="str">
            <v>PMP</v>
          </cell>
          <cell r="D1152" t="str">
            <v>BT</v>
          </cell>
          <cell r="E1152" t="str">
            <v>08</v>
          </cell>
          <cell r="F1152">
            <v>39924</v>
          </cell>
          <cell r="G1152">
            <v>39924</v>
          </cell>
          <cell r="H1152" t="str">
            <v>DA0PNPM25</v>
          </cell>
          <cell r="I1152" t="str">
            <v>DA0PNPM25</v>
          </cell>
          <cell r="K1152" t="str">
            <v>PM Kit 250K for 601/751</v>
          </cell>
          <cell r="L1152">
            <v>445</v>
          </cell>
          <cell r="M1152">
            <v>95.452190476190481</v>
          </cell>
          <cell r="N1152">
            <v>100.2248</v>
          </cell>
          <cell r="O1152">
            <v>0.37359500000000001</v>
          </cell>
          <cell r="P1152">
            <v>160</v>
          </cell>
          <cell r="Q1152">
            <v>101.18</v>
          </cell>
          <cell r="R1152">
            <v>114.33</v>
          </cell>
          <cell r="S1152">
            <v>200</v>
          </cell>
          <cell r="T1152">
            <v>0.49887599999999999</v>
          </cell>
          <cell r="W1152">
            <v>160</v>
          </cell>
          <cell r="X1152">
            <v>0.8</v>
          </cell>
          <cell r="Y1152" t="str">
            <v>Act freight</v>
          </cell>
          <cell r="AA1152">
            <v>314</v>
          </cell>
          <cell r="AB1152">
            <v>229</v>
          </cell>
          <cell r="AC1152">
            <v>267</v>
          </cell>
          <cell r="AD1152">
            <v>294</v>
          </cell>
          <cell r="AE1152">
            <v>320</v>
          </cell>
          <cell r="AF1152">
            <v>0.5</v>
          </cell>
          <cell r="AG1152">
            <v>0.68679749999999995</v>
          </cell>
          <cell r="AH1152">
            <v>352</v>
          </cell>
          <cell r="AI1152">
            <v>383</v>
          </cell>
          <cell r="AJ1152">
            <v>0.5822454308093995</v>
          </cell>
          <cell r="AK1152">
            <v>414</v>
          </cell>
          <cell r="AL1152">
            <v>445</v>
          </cell>
          <cell r="AM1152">
            <v>0.6404494382022472</v>
          </cell>
          <cell r="AN1152">
            <v>445</v>
          </cell>
          <cell r="AO1152">
            <v>445</v>
          </cell>
          <cell r="AP1152">
            <v>445</v>
          </cell>
          <cell r="AQ1152">
            <v>0</v>
          </cell>
          <cell r="AS1152">
            <v>445</v>
          </cell>
        </row>
        <row r="1153">
          <cell r="B1153" t="str">
            <v>PMP</v>
          </cell>
          <cell r="C1153" t="str">
            <v>PMP</v>
          </cell>
          <cell r="D1153" t="str">
            <v>BT</v>
          </cell>
          <cell r="E1153" t="str">
            <v>DLR</v>
          </cell>
          <cell r="F1153">
            <v>39924</v>
          </cell>
          <cell r="G1153">
            <v>39924</v>
          </cell>
          <cell r="H1153" t="str">
            <v>DA0U1X001</v>
          </cell>
          <cell r="I1153">
            <v>0</v>
          </cell>
          <cell r="K1153" t="str">
            <v>PM Kit - B 200K for C6501/C5501 (Dealer only) (C5500:150K)</v>
          </cell>
          <cell r="L1153">
            <v>4413</v>
          </cell>
          <cell r="M1153">
            <v>1143</v>
          </cell>
          <cell r="N1153">
            <v>1200.1500000000001</v>
          </cell>
          <cell r="O1153">
            <v>3.834134615384608E-2</v>
          </cell>
          <cell r="P1153">
            <v>1248</v>
          </cell>
          <cell r="Q1153">
            <v>1211.58</v>
          </cell>
          <cell r="R1153">
            <v>1369.09</v>
          </cell>
          <cell r="S1153">
            <v>1560</v>
          </cell>
          <cell r="T1153">
            <v>0.23067307692307687</v>
          </cell>
          <cell r="W1153">
            <v>1248</v>
          </cell>
          <cell r="X1153">
            <v>0.8</v>
          </cell>
          <cell r="Y1153" t="str">
            <v>Act freight</v>
          </cell>
          <cell r="AA1153">
            <v>2446</v>
          </cell>
          <cell r="AB1153">
            <v>1783</v>
          </cell>
          <cell r="AC1153">
            <v>2080</v>
          </cell>
          <cell r="AD1153">
            <v>2288</v>
          </cell>
          <cell r="AE1153">
            <v>2496</v>
          </cell>
          <cell r="AF1153">
            <v>0.5</v>
          </cell>
          <cell r="AG1153">
            <v>0.51917067307692299</v>
          </cell>
          <cell r="AH1153">
            <v>2976</v>
          </cell>
          <cell r="AI1153">
            <v>3455</v>
          </cell>
          <cell r="AJ1153">
            <v>0.63878437047756875</v>
          </cell>
          <cell r="AK1153">
            <v>3934</v>
          </cell>
          <cell r="AL1153">
            <v>4413</v>
          </cell>
          <cell r="AM1153">
            <v>0.717199184228416</v>
          </cell>
          <cell r="AN1153">
            <v>4413</v>
          </cell>
          <cell r="AO1153">
            <v>4413</v>
          </cell>
          <cell r="AP1153">
            <v>4413</v>
          </cell>
          <cell r="AQ1153">
            <v>0</v>
          </cell>
          <cell r="AS1153">
            <v>4413</v>
          </cell>
        </row>
        <row r="1154">
          <cell r="B1154" t="str">
            <v>PMP</v>
          </cell>
          <cell r="C1154" t="str">
            <v>PMP</v>
          </cell>
          <cell r="D1154" t="str">
            <v>BT</v>
          </cell>
          <cell r="E1154" t="str">
            <v>08</v>
          </cell>
          <cell r="F1154">
            <v>39924</v>
          </cell>
          <cell r="G1154">
            <v>39924</v>
          </cell>
          <cell r="H1154" t="str">
            <v>DA0Y5PM500</v>
          </cell>
          <cell r="I1154" t="str">
            <v>TBD</v>
          </cell>
          <cell r="K1154" t="str">
            <v>950 PM Kit 500K</v>
          </cell>
          <cell r="L1154">
            <v>400</v>
          </cell>
          <cell r="M1154">
            <v>65.59</v>
          </cell>
          <cell r="N1154">
            <v>68.869500000000002</v>
          </cell>
          <cell r="O1154">
            <v>0.47826136363636362</v>
          </cell>
          <cell r="P1154">
            <v>132</v>
          </cell>
          <cell r="Q1154">
            <v>69.53</v>
          </cell>
          <cell r="R1154">
            <v>78.569999999999993</v>
          </cell>
          <cell r="S1154">
            <v>165</v>
          </cell>
          <cell r="T1154">
            <v>0.58260909090909085</v>
          </cell>
          <cell r="W1154">
            <v>132</v>
          </cell>
          <cell r="X1154">
            <v>0.8</v>
          </cell>
          <cell r="Y1154" t="str">
            <v>Act freight</v>
          </cell>
          <cell r="AA1154">
            <v>259</v>
          </cell>
          <cell r="AB1154">
            <v>189</v>
          </cell>
          <cell r="AC1154">
            <v>220</v>
          </cell>
          <cell r="AD1154">
            <v>242</v>
          </cell>
          <cell r="AE1154">
            <v>264</v>
          </cell>
          <cell r="AF1154">
            <v>0.5</v>
          </cell>
          <cell r="AG1154">
            <v>0.73913068181818176</v>
          </cell>
          <cell r="AH1154">
            <v>298</v>
          </cell>
          <cell r="AI1154">
            <v>332</v>
          </cell>
          <cell r="AJ1154">
            <v>0.60240963855421692</v>
          </cell>
          <cell r="AK1154">
            <v>366</v>
          </cell>
          <cell r="AL1154">
            <v>400</v>
          </cell>
          <cell r="AM1154">
            <v>0.67</v>
          </cell>
          <cell r="AN1154">
            <v>400</v>
          </cell>
          <cell r="AO1154">
            <v>400</v>
          </cell>
          <cell r="AP1154">
            <v>400</v>
          </cell>
          <cell r="AQ1154">
            <v>0</v>
          </cell>
          <cell r="AS1154">
            <v>400</v>
          </cell>
        </row>
        <row r="1155">
          <cell r="B1155" t="str">
            <v>PMP</v>
          </cell>
          <cell r="C1155" t="str">
            <v>PMP</v>
          </cell>
          <cell r="D1155" t="str">
            <v>BT</v>
          </cell>
          <cell r="E1155" t="str">
            <v>DLR</v>
          </cell>
          <cell r="F1155">
            <v>39924</v>
          </cell>
          <cell r="G1155">
            <v>39924</v>
          </cell>
          <cell r="H1155" t="str">
            <v>DA0Y8X001</v>
          </cell>
          <cell r="I1155">
            <v>0</v>
          </cell>
          <cell r="K1155" t="str">
            <v>PM Kit - A 200K for C65hc (Dealer only)</v>
          </cell>
          <cell r="L1155">
            <v>1750</v>
          </cell>
          <cell r="M1155">
            <v>600</v>
          </cell>
          <cell r="N1155">
            <v>630</v>
          </cell>
          <cell r="O1155">
            <v>5.1204819277108432E-2</v>
          </cell>
          <cell r="P1155">
            <v>664</v>
          </cell>
          <cell r="Q1155">
            <v>636</v>
          </cell>
          <cell r="R1155">
            <v>718.68</v>
          </cell>
          <cell r="S1155">
            <v>830</v>
          </cell>
          <cell r="T1155">
            <v>0.24096385542168675</v>
          </cell>
          <cell r="W1155">
            <v>664</v>
          </cell>
          <cell r="X1155">
            <v>0.8</v>
          </cell>
          <cell r="Y1155" t="str">
            <v>Act freight</v>
          </cell>
          <cell r="AA1155">
            <v>1301</v>
          </cell>
          <cell r="AB1155">
            <v>949</v>
          </cell>
          <cell r="AC1155">
            <v>1107</v>
          </cell>
          <cell r="AD1155">
            <v>1218</v>
          </cell>
          <cell r="AE1155">
            <v>1328</v>
          </cell>
          <cell r="AF1155">
            <v>0.5</v>
          </cell>
          <cell r="AG1155">
            <v>0.5256024096385542</v>
          </cell>
          <cell r="AH1155">
            <v>1705</v>
          </cell>
          <cell r="AI1155">
            <v>2081</v>
          </cell>
          <cell r="AJ1155">
            <v>0.68092263334935133</v>
          </cell>
          <cell r="AK1155">
            <v>2457</v>
          </cell>
          <cell r="AL1155">
            <v>2833</v>
          </cell>
          <cell r="AM1155">
            <v>0.76561948464525242</v>
          </cell>
          <cell r="AN1155">
            <v>2562.25</v>
          </cell>
          <cell r="AO1155">
            <v>2291.5</v>
          </cell>
          <cell r="AP1155">
            <v>2020.75</v>
          </cell>
          <cell r="AQ1155">
            <v>0</v>
          </cell>
          <cell r="AS1155">
            <v>1750</v>
          </cell>
        </row>
        <row r="1156">
          <cell r="B1156" t="str">
            <v>PMP</v>
          </cell>
          <cell r="C1156" t="str">
            <v>PMP</v>
          </cell>
          <cell r="D1156" t="str">
            <v>BT</v>
          </cell>
          <cell r="E1156" t="str">
            <v>DLR</v>
          </cell>
          <cell r="F1156">
            <v>39924</v>
          </cell>
          <cell r="G1156">
            <v>39924</v>
          </cell>
          <cell r="H1156" t="str">
            <v>DA0Y8X002</v>
          </cell>
          <cell r="I1156">
            <v>0</v>
          </cell>
          <cell r="K1156" t="str">
            <v>PM Kit - B 200K for C65hc (Dealer only)</v>
          </cell>
          <cell r="L1156">
            <v>4413</v>
          </cell>
          <cell r="M1156">
            <v>1148</v>
          </cell>
          <cell r="N1156">
            <v>1205.4000000000001</v>
          </cell>
          <cell r="O1156">
            <v>3.4134615384615312E-2</v>
          </cell>
          <cell r="P1156">
            <v>1248</v>
          </cell>
          <cell r="Q1156">
            <v>1216.8800000000001</v>
          </cell>
          <cell r="R1156">
            <v>1375.07</v>
          </cell>
          <cell r="S1156">
            <v>1560</v>
          </cell>
          <cell r="T1156">
            <v>0.22730769230769224</v>
          </cell>
          <cell r="U1156">
            <v>414.30399999999997</v>
          </cell>
          <cell r="V1156">
            <v>0.98277134664401022</v>
          </cell>
          <cell r="W1156">
            <v>1248</v>
          </cell>
          <cell r="X1156">
            <v>0.8</v>
          </cell>
          <cell r="Y1156" t="str">
            <v>Act freight</v>
          </cell>
          <cell r="AA1156">
            <v>2446</v>
          </cell>
          <cell r="AB1156">
            <v>1783</v>
          </cell>
          <cell r="AC1156">
            <v>2080</v>
          </cell>
          <cell r="AD1156">
            <v>2288</v>
          </cell>
          <cell r="AE1156">
            <v>2496</v>
          </cell>
          <cell r="AF1156">
            <v>0.5</v>
          </cell>
          <cell r="AG1156">
            <v>0.51706730769230769</v>
          </cell>
          <cell r="AH1156">
            <v>2976</v>
          </cell>
          <cell r="AI1156">
            <v>3455</v>
          </cell>
          <cell r="AJ1156">
            <v>0.63878437047756875</v>
          </cell>
          <cell r="AK1156">
            <v>3934</v>
          </cell>
          <cell r="AL1156">
            <v>4413</v>
          </cell>
          <cell r="AM1156">
            <v>0.717199184228416</v>
          </cell>
          <cell r="AN1156">
            <v>4413</v>
          </cell>
          <cell r="AO1156">
            <v>4413</v>
          </cell>
          <cell r="AP1156">
            <v>4413</v>
          </cell>
          <cell r="AQ1156">
            <v>0</v>
          </cell>
          <cell r="AS1156">
            <v>4413</v>
          </cell>
        </row>
        <row r="1157">
          <cell r="B1157" t="str">
            <v>PMP</v>
          </cell>
          <cell r="C1157" t="str">
            <v>PMP</v>
          </cell>
          <cell r="D1157" t="str">
            <v>BT</v>
          </cell>
          <cell r="E1157" t="str">
            <v>08</v>
          </cell>
          <cell r="F1157">
            <v>39924</v>
          </cell>
          <cell r="G1157">
            <v>39924</v>
          </cell>
          <cell r="H1157" t="str">
            <v>DC651PM100</v>
          </cell>
          <cell r="I1157" t="str">
            <v>DC651PM100</v>
          </cell>
          <cell r="K1157" t="str">
            <v>PM Kit 100K for C6501/C5501 (C5501:75K)</v>
          </cell>
          <cell r="L1157">
            <v>240</v>
          </cell>
          <cell r="M1157">
            <v>34.238095238095241</v>
          </cell>
          <cell r="N1157">
            <v>35.950000000000003</v>
          </cell>
          <cell r="O1157">
            <v>0.57202380952380949</v>
          </cell>
          <cell r="P1157">
            <v>84</v>
          </cell>
          <cell r="Q1157">
            <v>36.29</v>
          </cell>
          <cell r="R1157">
            <v>41.01</v>
          </cell>
          <cell r="S1157">
            <v>105</v>
          </cell>
          <cell r="T1157">
            <v>0.65761904761904755</v>
          </cell>
          <cell r="U1157">
            <v>0</v>
          </cell>
          <cell r="V1157">
            <v>0</v>
          </cell>
          <cell r="W1157">
            <v>84</v>
          </cell>
          <cell r="X1157">
            <v>0.8</v>
          </cell>
          <cell r="Y1157" t="str">
            <v>Act freight</v>
          </cell>
          <cell r="AA1157">
            <v>165</v>
          </cell>
          <cell r="AB1157">
            <v>120</v>
          </cell>
          <cell r="AC1157">
            <v>140</v>
          </cell>
          <cell r="AD1157">
            <v>154</v>
          </cell>
          <cell r="AE1157">
            <v>168</v>
          </cell>
          <cell r="AF1157">
            <v>0.5</v>
          </cell>
          <cell r="AG1157">
            <v>0.78601190476190486</v>
          </cell>
          <cell r="AH1157">
            <v>186</v>
          </cell>
          <cell r="AI1157">
            <v>204</v>
          </cell>
          <cell r="AJ1157">
            <v>0.58823529411764708</v>
          </cell>
          <cell r="AK1157">
            <v>222</v>
          </cell>
          <cell r="AL1157">
            <v>240</v>
          </cell>
          <cell r="AM1157">
            <v>0.65</v>
          </cell>
          <cell r="AN1157">
            <v>240</v>
          </cell>
          <cell r="AO1157">
            <v>240</v>
          </cell>
          <cell r="AP1157">
            <v>240</v>
          </cell>
          <cell r="AQ1157">
            <v>0</v>
          </cell>
          <cell r="AS1157">
            <v>240</v>
          </cell>
        </row>
        <row r="1158">
          <cell r="B1158" t="str">
            <v>PMP</v>
          </cell>
          <cell r="C1158" t="str">
            <v>PMP</v>
          </cell>
          <cell r="D1158" t="str">
            <v>BT</v>
          </cell>
          <cell r="E1158" t="str">
            <v>08</v>
          </cell>
          <cell r="F1158">
            <v>39924</v>
          </cell>
          <cell r="G1158">
            <v>39924</v>
          </cell>
          <cell r="H1158" t="str">
            <v>DC651PM200</v>
          </cell>
          <cell r="I1158" t="str">
            <v>DC651PM200</v>
          </cell>
          <cell r="K1158" t="str">
            <v>PM Kit 200K for C6501/C5501 (C5500/5501:150K)</v>
          </cell>
          <cell r="L1158">
            <v>1510</v>
          </cell>
          <cell r="M1158">
            <v>324.5333333333333</v>
          </cell>
          <cell r="N1158">
            <v>340.76</v>
          </cell>
          <cell r="O1158">
            <v>5.3444444444444468E-2</v>
          </cell>
          <cell r="P1158">
            <v>360</v>
          </cell>
          <cell r="Q1158">
            <v>344.01</v>
          </cell>
          <cell r="R1158">
            <v>388.73</v>
          </cell>
          <cell r="S1158">
            <v>450</v>
          </cell>
          <cell r="T1158">
            <v>0.24275555555555559</v>
          </cell>
          <cell r="W1158">
            <v>360</v>
          </cell>
          <cell r="X1158">
            <v>0.8</v>
          </cell>
          <cell r="Y1158" t="str">
            <v>Act freight</v>
          </cell>
          <cell r="AA1158">
            <v>706</v>
          </cell>
          <cell r="AB1158">
            <v>515</v>
          </cell>
          <cell r="AC1158">
            <v>600</v>
          </cell>
          <cell r="AD1158">
            <v>660</v>
          </cell>
          <cell r="AE1158">
            <v>720</v>
          </cell>
          <cell r="AF1158">
            <v>0.5</v>
          </cell>
          <cell r="AG1158">
            <v>0.5267222222222222</v>
          </cell>
          <cell r="AH1158">
            <v>918</v>
          </cell>
          <cell r="AI1158">
            <v>1115</v>
          </cell>
          <cell r="AJ1158">
            <v>0.67713004484304928</v>
          </cell>
          <cell r="AK1158">
            <v>1312.5</v>
          </cell>
          <cell r="AL1158">
            <v>1510</v>
          </cell>
          <cell r="AM1158">
            <v>0.76158940397350994</v>
          </cell>
          <cell r="AN1158">
            <v>1510</v>
          </cell>
          <cell r="AO1158">
            <v>1510</v>
          </cell>
          <cell r="AP1158">
            <v>1510</v>
          </cell>
          <cell r="AQ1158">
            <v>0</v>
          </cell>
          <cell r="AS1158">
            <v>1510</v>
          </cell>
        </row>
        <row r="1159">
          <cell r="B1159" t="str">
            <v>PMP</v>
          </cell>
          <cell r="C1159" t="str">
            <v>PMP</v>
          </cell>
          <cell r="D1159" t="str">
            <v>BT</v>
          </cell>
          <cell r="E1159" t="str">
            <v>08</v>
          </cell>
          <cell r="F1159">
            <v>39924</v>
          </cell>
          <cell r="G1159">
            <v>39924</v>
          </cell>
          <cell r="H1159" t="str">
            <v>DC65PM100</v>
          </cell>
          <cell r="I1159" t="str">
            <v>DC65PM100</v>
          </cell>
          <cell r="K1159" t="str">
            <v>PM Kit 100K for C6500/C5500 (C5500:75K)</v>
          </cell>
          <cell r="L1159">
            <v>240</v>
          </cell>
          <cell r="M1159">
            <v>34.238095238095241</v>
          </cell>
          <cell r="N1159">
            <v>35.950000000000003</v>
          </cell>
          <cell r="O1159">
            <v>0.64335317460317465</v>
          </cell>
          <cell r="P1159">
            <v>100.80000000000001</v>
          </cell>
          <cell r="Q1159">
            <v>36.29</v>
          </cell>
          <cell r="R1159">
            <v>41.01</v>
          </cell>
          <cell r="S1159">
            <v>126</v>
          </cell>
          <cell r="T1159">
            <v>0.7146825396825397</v>
          </cell>
          <cell r="W1159">
            <v>100.80000000000001</v>
          </cell>
          <cell r="X1159">
            <v>0.8</v>
          </cell>
          <cell r="Y1159" t="str">
            <v>Act freight</v>
          </cell>
          <cell r="AA1159">
            <v>198</v>
          </cell>
          <cell r="AB1159">
            <v>144</v>
          </cell>
          <cell r="AC1159">
            <v>168</v>
          </cell>
          <cell r="AD1159">
            <v>185</v>
          </cell>
          <cell r="AE1159">
            <v>201.6</v>
          </cell>
          <cell r="AF1159">
            <v>0.49999999999999994</v>
          </cell>
          <cell r="AG1159">
            <v>0.82167658730158721</v>
          </cell>
          <cell r="AH1159">
            <v>212</v>
          </cell>
          <cell r="AI1159">
            <v>221</v>
          </cell>
          <cell r="AJ1159">
            <v>0.54389140271493208</v>
          </cell>
          <cell r="AK1159">
            <v>230.5</v>
          </cell>
          <cell r="AL1159">
            <v>240</v>
          </cell>
          <cell r="AM1159">
            <v>0.57999999999999996</v>
          </cell>
          <cell r="AN1159">
            <v>240</v>
          </cell>
          <cell r="AO1159">
            <v>240</v>
          </cell>
          <cell r="AP1159">
            <v>240</v>
          </cell>
          <cell r="AQ1159">
            <v>0</v>
          </cell>
          <cell r="AS1159">
            <v>240</v>
          </cell>
        </row>
        <row r="1160">
          <cell r="B1160" t="str">
            <v>PMP</v>
          </cell>
          <cell r="C1160" t="str">
            <v>PMP</v>
          </cell>
          <cell r="D1160" t="str">
            <v>BT</v>
          </cell>
          <cell r="E1160" t="str">
            <v>DNU</v>
          </cell>
          <cell r="F1160">
            <v>39924</v>
          </cell>
          <cell r="G1160">
            <v>39924</v>
          </cell>
          <cell r="H1160" t="str">
            <v>DC65PM200</v>
          </cell>
          <cell r="I1160" t="str">
            <v>DC65PM200</v>
          </cell>
          <cell r="K1160" t="str">
            <v>PM Kit 200K for C6500/C5500 (C5500:150K)</v>
          </cell>
          <cell r="L1160">
            <v>1750</v>
          </cell>
          <cell r="M1160">
            <v>358.77142857142854</v>
          </cell>
          <cell r="N1160">
            <v>376.71</v>
          </cell>
          <cell r="O1160">
            <v>0.30238888888888893</v>
          </cell>
          <cell r="P1160">
            <v>540</v>
          </cell>
          <cell r="Q1160">
            <v>380.3</v>
          </cell>
          <cell r="R1160">
            <v>429.74</v>
          </cell>
          <cell r="S1160">
            <v>675</v>
          </cell>
          <cell r="T1160">
            <v>0.44191111111111114</v>
          </cell>
          <cell r="W1160">
            <v>540</v>
          </cell>
          <cell r="X1160">
            <v>0.8</v>
          </cell>
          <cell r="Y1160" t="str">
            <v>Act freight</v>
          </cell>
          <cell r="AA1160">
            <v>1058</v>
          </cell>
          <cell r="AB1160">
            <v>772</v>
          </cell>
          <cell r="AC1160">
            <v>900</v>
          </cell>
          <cell r="AD1160">
            <v>990</v>
          </cell>
          <cell r="AE1160">
            <v>1080</v>
          </cell>
          <cell r="AF1160">
            <v>0.5</v>
          </cell>
          <cell r="AG1160">
            <v>0.65119444444444441</v>
          </cell>
          <cell r="AH1160">
            <v>1248</v>
          </cell>
          <cell r="AI1160">
            <v>1415</v>
          </cell>
          <cell r="AJ1160">
            <v>0.61837455830388688</v>
          </cell>
          <cell r="AK1160">
            <v>1582.5</v>
          </cell>
          <cell r="AL1160">
            <v>1750</v>
          </cell>
          <cell r="AM1160">
            <v>0.69142857142857139</v>
          </cell>
          <cell r="AN1160">
            <v>1750</v>
          </cell>
          <cell r="AO1160">
            <v>1750</v>
          </cell>
          <cell r="AP1160">
            <v>1750</v>
          </cell>
          <cell r="AQ1160">
            <v>0</v>
          </cell>
          <cell r="AS1160">
            <v>1750</v>
          </cell>
        </row>
        <row r="1161">
          <cell r="B1161" t="str">
            <v>PMP</v>
          </cell>
          <cell r="C1161" t="str">
            <v>PMP</v>
          </cell>
          <cell r="D1161" t="str">
            <v>BT</v>
          </cell>
          <cell r="E1161" t="str">
            <v>DLR</v>
          </cell>
          <cell r="F1161">
            <v>39924</v>
          </cell>
          <cell r="G1161">
            <v>39924</v>
          </cell>
          <cell r="H1161" t="str">
            <v>DC65X001</v>
          </cell>
          <cell r="I1161" t="str">
            <v>DC65X001</v>
          </cell>
          <cell r="K1161" t="str">
            <v>PM Kit - A 200K for C6501/C5501 (Dealer only) (C5500:150K)</v>
          </cell>
          <cell r="L1161">
            <v>2833</v>
          </cell>
          <cell r="M1161">
            <v>588</v>
          </cell>
          <cell r="N1161">
            <v>617.4</v>
          </cell>
          <cell r="O1161">
            <v>7.0180722891566294E-2</v>
          </cell>
          <cell r="P1161">
            <v>664</v>
          </cell>
          <cell r="Q1161">
            <v>623.28</v>
          </cell>
          <cell r="R1161">
            <v>704.31</v>
          </cell>
          <cell r="S1161">
            <v>830</v>
          </cell>
          <cell r="T1161">
            <v>0.25614457831325305</v>
          </cell>
          <cell r="W1161">
            <v>664</v>
          </cell>
          <cell r="X1161">
            <v>0.8</v>
          </cell>
          <cell r="Y1161" t="str">
            <v>Act freight</v>
          </cell>
          <cell r="AA1161">
            <v>1301</v>
          </cell>
          <cell r="AB1161">
            <v>949</v>
          </cell>
          <cell r="AC1161">
            <v>1107</v>
          </cell>
          <cell r="AD1161">
            <v>1218</v>
          </cell>
          <cell r="AE1161">
            <v>1328</v>
          </cell>
          <cell r="AF1161">
            <v>0.5</v>
          </cell>
          <cell r="AG1161">
            <v>0.53509036144578315</v>
          </cell>
          <cell r="AH1161">
            <v>1705</v>
          </cell>
          <cell r="AI1161">
            <v>2081</v>
          </cell>
          <cell r="AJ1161">
            <v>0.68092263334935133</v>
          </cell>
          <cell r="AK1161">
            <v>2457</v>
          </cell>
          <cell r="AL1161">
            <v>2833</v>
          </cell>
          <cell r="AM1161">
            <v>0.76561948464525242</v>
          </cell>
          <cell r="AN1161">
            <v>2833</v>
          </cell>
          <cell r="AO1161">
            <v>2833</v>
          </cell>
          <cell r="AP1161">
            <v>2833</v>
          </cell>
          <cell r="AQ1161">
            <v>0</v>
          </cell>
          <cell r="AS1161">
            <v>2833</v>
          </cell>
        </row>
        <row r="1162">
          <cell r="B1162" t="str">
            <v>PMP</v>
          </cell>
          <cell r="C1162" t="str">
            <v>PMP</v>
          </cell>
          <cell r="D1162" t="str">
            <v>BT</v>
          </cell>
          <cell r="E1162" t="str">
            <v>DLR</v>
          </cell>
          <cell r="F1162">
            <v>39924</v>
          </cell>
          <cell r="G1162">
            <v>39924</v>
          </cell>
          <cell r="H1162" t="str">
            <v>DC65X002</v>
          </cell>
          <cell r="I1162" t="str">
            <v>DC65X002</v>
          </cell>
          <cell r="K1162" t="str">
            <v>PM Kit - B 200K for C6501/C5501 (Dealer only) (C5500:150K)</v>
          </cell>
          <cell r="L1162">
            <v>4413</v>
          </cell>
          <cell r="M1162">
            <v>1117.9047619047619</v>
          </cell>
          <cell r="N1162">
            <v>1173.8000000000002</v>
          </cell>
          <cell r="O1162">
            <v>5.9455128205128056E-2</v>
          </cell>
          <cell r="P1162">
            <v>1248</v>
          </cell>
          <cell r="Q1162">
            <v>1184.98</v>
          </cell>
          <cell r="R1162">
            <v>1339.03</v>
          </cell>
          <cell r="S1162">
            <v>1560</v>
          </cell>
          <cell r="T1162">
            <v>0.24756410256410244</v>
          </cell>
          <cell r="W1162">
            <v>1248</v>
          </cell>
          <cell r="X1162">
            <v>0.8</v>
          </cell>
          <cell r="Y1162" t="str">
            <v>Act freight</v>
          </cell>
          <cell r="AA1162">
            <v>2446</v>
          </cell>
          <cell r="AB1162">
            <v>1783</v>
          </cell>
          <cell r="AC1162">
            <v>2080</v>
          </cell>
          <cell r="AD1162">
            <v>2288</v>
          </cell>
          <cell r="AE1162">
            <v>2496</v>
          </cell>
          <cell r="AF1162">
            <v>0.5</v>
          </cell>
          <cell r="AG1162">
            <v>0.52972756410256405</v>
          </cell>
          <cell r="AH1162">
            <v>2976</v>
          </cell>
          <cell r="AI1162">
            <v>3455</v>
          </cell>
          <cell r="AJ1162">
            <v>0.63878437047756875</v>
          </cell>
          <cell r="AK1162">
            <v>3934</v>
          </cell>
          <cell r="AL1162">
            <v>4413</v>
          </cell>
          <cell r="AM1162">
            <v>0.717199184228416</v>
          </cell>
          <cell r="AN1162">
            <v>4413</v>
          </cell>
          <cell r="AO1162">
            <v>4413</v>
          </cell>
          <cell r="AP1162">
            <v>4413</v>
          </cell>
          <cell r="AQ1162">
            <v>0</v>
          </cell>
          <cell r="AS1162">
            <v>4413</v>
          </cell>
        </row>
        <row r="1163">
          <cell r="B1163" t="str">
            <v>PMP</v>
          </cell>
          <cell r="C1163" t="str">
            <v>PMP</v>
          </cell>
          <cell r="D1163" t="str">
            <v>BT</v>
          </cell>
          <cell r="E1163" t="str">
            <v>DLR</v>
          </cell>
          <cell r="F1163">
            <v>39974</v>
          </cell>
          <cell r="G1163">
            <v>39974</v>
          </cell>
          <cell r="H1163" t="str">
            <v>DA0Y8X001</v>
          </cell>
          <cell r="I1163">
            <v>0</v>
          </cell>
          <cell r="K1163" t="str">
            <v>PM Kit - A 200K for C65hc (Dealer only)</v>
          </cell>
          <cell r="L1163">
            <v>1750</v>
          </cell>
          <cell r="M1163">
            <v>600</v>
          </cell>
          <cell r="N1163">
            <v>630</v>
          </cell>
          <cell r="O1163">
            <v>5.1204819277108432E-2</v>
          </cell>
          <cell r="P1163">
            <v>664</v>
          </cell>
          <cell r="Q1163">
            <v>636</v>
          </cell>
          <cell r="R1163">
            <v>718.68</v>
          </cell>
          <cell r="S1163">
            <v>830</v>
          </cell>
          <cell r="T1163">
            <v>0.24096385542168675</v>
          </cell>
          <cell r="W1163">
            <v>664</v>
          </cell>
          <cell r="X1163">
            <v>0.8</v>
          </cell>
          <cell r="Y1163" t="str">
            <v>Act freight</v>
          </cell>
          <cell r="AA1163">
            <v>1301</v>
          </cell>
          <cell r="AB1163">
            <v>949</v>
          </cell>
          <cell r="AC1163">
            <v>1107</v>
          </cell>
          <cell r="AD1163">
            <v>1218</v>
          </cell>
          <cell r="AE1163">
            <v>1328</v>
          </cell>
          <cell r="AF1163">
            <v>0.5</v>
          </cell>
          <cell r="AG1163">
            <v>0.5256024096385542</v>
          </cell>
          <cell r="AH1163">
            <v>1705</v>
          </cell>
          <cell r="AI1163">
            <v>2081</v>
          </cell>
          <cell r="AJ1163">
            <v>0.68092263334935133</v>
          </cell>
          <cell r="AK1163">
            <v>2457</v>
          </cell>
          <cell r="AL1163">
            <v>2833</v>
          </cell>
          <cell r="AM1163">
            <v>0.76561948464525242</v>
          </cell>
          <cell r="AN1163">
            <v>2562.25</v>
          </cell>
          <cell r="AO1163">
            <v>2291.5</v>
          </cell>
          <cell r="AP1163">
            <v>2020.75</v>
          </cell>
          <cell r="AQ1163">
            <v>0</v>
          </cell>
          <cell r="AS1163">
            <v>1750</v>
          </cell>
        </row>
        <row r="1164">
          <cell r="B1164" t="str">
            <v>PMP</v>
          </cell>
          <cell r="C1164" t="str">
            <v>PMP</v>
          </cell>
          <cell r="D1164" t="str">
            <v>BT</v>
          </cell>
          <cell r="E1164" t="str">
            <v>DLR</v>
          </cell>
          <cell r="F1164">
            <v>39974</v>
          </cell>
          <cell r="G1164">
            <v>39974</v>
          </cell>
          <cell r="H1164" t="str">
            <v>DA0Y8X002</v>
          </cell>
          <cell r="I1164">
            <v>0</v>
          </cell>
          <cell r="K1164" t="str">
            <v>PM Kit - B 200K for C65hc (Dealer only)</v>
          </cell>
          <cell r="L1164">
            <v>4413</v>
          </cell>
          <cell r="M1164">
            <v>1148</v>
          </cell>
          <cell r="N1164">
            <v>1205.4000000000001</v>
          </cell>
          <cell r="O1164">
            <v>3.4134615384615312E-2</v>
          </cell>
          <cell r="P1164">
            <v>1248</v>
          </cell>
          <cell r="Q1164">
            <v>1216.8800000000001</v>
          </cell>
          <cell r="R1164">
            <v>1375.07</v>
          </cell>
          <cell r="S1164">
            <v>1560</v>
          </cell>
          <cell r="T1164">
            <v>0.22730769230769224</v>
          </cell>
          <cell r="W1164">
            <v>1248</v>
          </cell>
          <cell r="X1164">
            <v>0.8</v>
          </cell>
          <cell r="Y1164" t="str">
            <v>Act freight</v>
          </cell>
          <cell r="AA1164">
            <v>2446</v>
          </cell>
          <cell r="AB1164">
            <v>1783</v>
          </cell>
          <cell r="AC1164">
            <v>2080</v>
          </cell>
          <cell r="AD1164">
            <v>2288</v>
          </cell>
          <cell r="AE1164">
            <v>2496</v>
          </cell>
          <cell r="AF1164">
            <v>0.5</v>
          </cell>
          <cell r="AG1164">
            <v>0.51706730769230769</v>
          </cell>
          <cell r="AH1164">
            <v>2976</v>
          </cell>
          <cell r="AI1164">
            <v>3455</v>
          </cell>
          <cell r="AJ1164">
            <v>0.63878437047756875</v>
          </cell>
          <cell r="AK1164">
            <v>3934</v>
          </cell>
          <cell r="AL1164">
            <v>4413</v>
          </cell>
          <cell r="AM1164">
            <v>0.717199184228416</v>
          </cell>
          <cell r="AN1164">
            <v>4413</v>
          </cell>
          <cell r="AO1164">
            <v>4413</v>
          </cell>
          <cell r="AP1164">
            <v>4413</v>
          </cell>
          <cell r="AQ1164">
            <v>0</v>
          </cell>
          <cell r="AS1164">
            <v>4413</v>
          </cell>
        </row>
        <row r="1165">
          <cell r="B1165" t="str">
            <v>PMP</v>
          </cell>
          <cell r="C1165" t="str">
            <v>PMP</v>
          </cell>
          <cell r="D1165" t="str">
            <v>BT</v>
          </cell>
          <cell r="E1165" t="str">
            <v>08</v>
          </cell>
          <cell r="F1165">
            <v>40038</v>
          </cell>
          <cell r="G1165">
            <v>40038</v>
          </cell>
          <cell r="H1165" t="str">
            <v>DA0G6PM750</v>
          </cell>
          <cell r="I1165" t="e">
            <v>#N/A</v>
          </cell>
          <cell r="K1165" t="str">
            <v>PM Kit for 1200/1051 (750K)</v>
          </cell>
          <cell r="L1165">
            <v>533</v>
          </cell>
          <cell r="M1165">
            <v>90.761904761904759</v>
          </cell>
          <cell r="N1165">
            <v>95.3</v>
          </cell>
          <cell r="O1165">
            <v>0.24998425990052273</v>
          </cell>
          <cell r="P1165">
            <v>127.06400000000002</v>
          </cell>
          <cell r="Q1165">
            <v>96.21</v>
          </cell>
          <cell r="R1165">
            <v>108.72</v>
          </cell>
          <cell r="S1165">
            <v>158.83000000000001</v>
          </cell>
          <cell r="T1165">
            <v>0.39998740792041815</v>
          </cell>
          <cell r="W1165">
            <v>127.06400000000002</v>
          </cell>
          <cell r="X1165">
            <v>0.8</v>
          </cell>
          <cell r="AA1165">
            <v>249</v>
          </cell>
          <cell r="AB1165">
            <v>182</v>
          </cell>
          <cell r="AC1165">
            <v>212</v>
          </cell>
          <cell r="AD1165">
            <v>234</v>
          </cell>
          <cell r="AE1165">
            <v>254.13</v>
          </cell>
          <cell r="AF1165">
            <v>0.50000393499390061</v>
          </cell>
          <cell r="AG1165">
            <v>0.62499508125762404</v>
          </cell>
          <cell r="AH1165">
            <v>325</v>
          </cell>
          <cell r="AI1165">
            <v>394</v>
          </cell>
          <cell r="AJ1165">
            <v>0.67750253807106597</v>
          </cell>
          <cell r="AK1165">
            <v>463.5</v>
          </cell>
          <cell r="AL1165">
            <v>533</v>
          </cell>
          <cell r="AM1165">
            <v>0.76160600375234522</v>
          </cell>
          <cell r="AN1165">
            <v>533</v>
          </cell>
          <cell r="AO1165">
            <v>533</v>
          </cell>
          <cell r="AP1165">
            <v>533</v>
          </cell>
          <cell r="AQ1165">
            <v>0</v>
          </cell>
          <cell r="AS1165">
            <v>533</v>
          </cell>
        </row>
        <row r="1166">
          <cell r="B1166" t="str">
            <v>PMP</v>
          </cell>
          <cell r="C1166" t="str">
            <v>PMP</v>
          </cell>
          <cell r="D1166" t="str">
            <v>BT</v>
          </cell>
          <cell r="E1166" t="str">
            <v>08</v>
          </cell>
          <cell r="F1166">
            <v>40056</v>
          </cell>
          <cell r="G1166">
            <v>40056</v>
          </cell>
          <cell r="H1166" t="str">
            <v>A0EDR72000</v>
          </cell>
          <cell r="I1166">
            <v>0</v>
          </cell>
          <cell r="K1166" t="str">
            <v>Fusing Unit</v>
          </cell>
          <cell r="L1166">
            <v>893</v>
          </cell>
          <cell r="M1166">
            <v>171.51</v>
          </cell>
          <cell r="N1166">
            <v>180.0855</v>
          </cell>
          <cell r="O1166">
            <v>0.46403125000000001</v>
          </cell>
          <cell r="P1166">
            <v>336</v>
          </cell>
          <cell r="Q1166">
            <v>181.8</v>
          </cell>
          <cell r="R1166">
            <v>205.43</v>
          </cell>
          <cell r="S1166">
            <v>420</v>
          </cell>
          <cell r="T1166">
            <v>0.57122499999999998</v>
          </cell>
          <cell r="W1166">
            <v>336</v>
          </cell>
          <cell r="X1166">
            <v>0.8</v>
          </cell>
          <cell r="AA1166">
            <v>659</v>
          </cell>
          <cell r="AB1166">
            <v>480</v>
          </cell>
          <cell r="AC1166">
            <v>560</v>
          </cell>
          <cell r="AD1166">
            <v>616</v>
          </cell>
          <cell r="AE1166">
            <v>672</v>
          </cell>
          <cell r="AF1166">
            <v>0.5</v>
          </cell>
          <cell r="AG1166">
            <v>0.73201562499999995</v>
          </cell>
          <cell r="AH1166">
            <v>728</v>
          </cell>
          <cell r="AI1166">
            <v>783</v>
          </cell>
          <cell r="AJ1166">
            <v>0.57088122605363989</v>
          </cell>
          <cell r="AK1166">
            <v>838</v>
          </cell>
          <cell r="AL1166">
            <v>893</v>
          </cell>
          <cell r="AM1166">
            <v>0.62374020156774912</v>
          </cell>
          <cell r="AN1166">
            <v>893</v>
          </cell>
          <cell r="AO1166">
            <v>893</v>
          </cell>
          <cell r="AP1166">
            <v>893</v>
          </cell>
          <cell r="AQ1166">
            <v>0</v>
          </cell>
          <cell r="AS1166">
            <v>893</v>
          </cell>
        </row>
        <row r="1167">
          <cell r="B1167" t="str">
            <v>PMP</v>
          </cell>
          <cell r="C1167" t="str">
            <v>PMP</v>
          </cell>
          <cell r="D1167" t="str">
            <v>BT</v>
          </cell>
          <cell r="E1167" t="str">
            <v>08</v>
          </cell>
          <cell r="F1167">
            <v>40056</v>
          </cell>
          <cell r="G1167">
            <v>40056</v>
          </cell>
          <cell r="H1167" t="str">
            <v>A0EDR71600</v>
          </cell>
          <cell r="I1167">
            <v>0</v>
          </cell>
          <cell r="K1167" t="str">
            <v>Image Transfer Kit</v>
          </cell>
          <cell r="L1167">
            <v>481</v>
          </cell>
          <cell r="M1167">
            <v>100.89</v>
          </cell>
          <cell r="N1167">
            <v>105.9345</v>
          </cell>
          <cell r="O1167">
            <v>0.50956250000000003</v>
          </cell>
          <cell r="P1167">
            <v>216</v>
          </cell>
          <cell r="Q1167">
            <v>106.94</v>
          </cell>
          <cell r="R1167">
            <v>120.84</v>
          </cell>
          <cell r="S1167">
            <v>270</v>
          </cell>
          <cell r="T1167">
            <v>0.60764999999999991</v>
          </cell>
          <cell r="W1167">
            <v>216</v>
          </cell>
          <cell r="X1167">
            <v>0.8</v>
          </cell>
          <cell r="AA1167">
            <v>423</v>
          </cell>
          <cell r="AB1167">
            <v>309</v>
          </cell>
          <cell r="AC1167">
            <v>360</v>
          </cell>
          <cell r="AD1167">
            <v>396</v>
          </cell>
          <cell r="AE1167">
            <v>432</v>
          </cell>
          <cell r="AF1167">
            <v>0.5</v>
          </cell>
          <cell r="AG1167">
            <v>0.75478124999999996</v>
          </cell>
          <cell r="AH1167">
            <v>445</v>
          </cell>
          <cell r="AI1167">
            <v>457</v>
          </cell>
          <cell r="AJ1167">
            <v>0.52735229759299784</v>
          </cell>
          <cell r="AK1167">
            <v>469</v>
          </cell>
          <cell r="AL1167">
            <v>481</v>
          </cell>
          <cell r="AM1167">
            <v>0.55093555093555091</v>
          </cell>
          <cell r="AN1167">
            <v>481</v>
          </cell>
          <cell r="AO1167">
            <v>481</v>
          </cell>
          <cell r="AP1167">
            <v>481</v>
          </cell>
          <cell r="AQ1167">
            <v>0</v>
          </cell>
          <cell r="AS1167">
            <v>481</v>
          </cell>
        </row>
        <row r="1168">
          <cell r="B1168" t="str">
            <v>MB</v>
          </cell>
          <cell r="C1168" t="str">
            <v>IMP</v>
          </cell>
          <cell r="D1168" t="str">
            <v>BT</v>
          </cell>
          <cell r="E1168" t="str">
            <v>P3</v>
          </cell>
          <cell r="F1168">
            <v>39990</v>
          </cell>
          <cell r="G1168">
            <v>40001</v>
          </cell>
          <cell r="H1168" t="str">
            <v>950706</v>
          </cell>
          <cell r="K1168" t="str">
            <v>7415 Digital Copier (Incl. Imaging Cartridge)</v>
          </cell>
          <cell r="L1168">
            <v>1855</v>
          </cell>
          <cell r="N1168">
            <v>680</v>
          </cell>
          <cell r="W1168">
            <v>578</v>
          </cell>
          <cell r="AB1168">
            <v>578</v>
          </cell>
          <cell r="AC1168">
            <v>642.22</v>
          </cell>
          <cell r="AD1168">
            <v>677.9</v>
          </cell>
          <cell r="AE1168">
            <v>713.58</v>
          </cell>
          <cell r="AF1168">
            <v>0.18999971972308646</v>
          </cell>
          <cell r="AG1168">
            <v>4.705849379186642E-2</v>
          </cell>
          <cell r="AH1168">
            <v>727.86</v>
          </cell>
          <cell r="AI1168">
            <v>742.13</v>
          </cell>
          <cell r="AJ1168">
            <v>0.22116071308261356</v>
          </cell>
          <cell r="AK1168">
            <v>756.4</v>
          </cell>
          <cell r="AL1168">
            <v>770.67</v>
          </cell>
          <cell r="AM1168">
            <v>0.2500032439306058</v>
          </cell>
          <cell r="AN1168">
            <v>879.04</v>
          </cell>
          <cell r="AO1168">
            <v>987.41</v>
          </cell>
          <cell r="AP1168">
            <v>1095.78</v>
          </cell>
          <cell r="AQ1168">
            <v>0</v>
          </cell>
          <cell r="AS1168">
            <v>1855</v>
          </cell>
        </row>
        <row r="1169">
          <cell r="B1169" t="str">
            <v>SP</v>
          </cell>
          <cell r="C1169" t="str">
            <v>DDP</v>
          </cell>
          <cell r="D1169" t="str">
            <v>Oce</v>
          </cell>
          <cell r="E1169" t="str">
            <v>08</v>
          </cell>
          <cell r="F1169">
            <v>39924</v>
          </cell>
          <cell r="G1169">
            <v>39924</v>
          </cell>
          <cell r="H1169" t="str">
            <v>A0XUP30</v>
          </cell>
          <cell r="I1169" t="str">
            <v>A0XUP30_</v>
          </cell>
          <cell r="K1169" t="str">
            <v>Organic Photo Conductor</v>
          </cell>
          <cell r="L1169">
            <v>1560</v>
          </cell>
          <cell r="M1169">
            <v>624</v>
          </cell>
          <cell r="N1169">
            <v>624</v>
          </cell>
          <cell r="O1169">
            <v>0.1111111111111111</v>
          </cell>
          <cell r="P1169">
            <v>702</v>
          </cell>
          <cell r="Q1169">
            <v>642.16999999999996</v>
          </cell>
          <cell r="R1169">
            <v>725.65</v>
          </cell>
          <cell r="S1169">
            <v>780</v>
          </cell>
          <cell r="T1169">
            <v>0.2</v>
          </cell>
          <cell r="W1169">
            <v>702</v>
          </cell>
          <cell r="X1169">
            <v>0.9</v>
          </cell>
          <cell r="Y1169" t="str">
            <v>Act freight</v>
          </cell>
          <cell r="AA1169">
            <v>1376</v>
          </cell>
          <cell r="AB1169">
            <v>1003</v>
          </cell>
          <cell r="AC1169">
            <v>1170</v>
          </cell>
          <cell r="AD1169">
            <v>1287</v>
          </cell>
          <cell r="AE1169">
            <v>1404</v>
          </cell>
          <cell r="AF1169">
            <v>0.5</v>
          </cell>
          <cell r="AG1169">
            <v>0.55555555555555558</v>
          </cell>
          <cell r="AH1169">
            <v>1443</v>
          </cell>
          <cell r="AI1169">
            <v>1482</v>
          </cell>
          <cell r="AJ1169">
            <v>0.52631578947368418</v>
          </cell>
          <cell r="AK1169">
            <v>1521</v>
          </cell>
          <cell r="AL1169">
            <v>1560</v>
          </cell>
          <cell r="AM1169">
            <v>0.55000000000000004</v>
          </cell>
          <cell r="AN1169">
            <v>1560</v>
          </cell>
          <cell r="AO1169">
            <v>1560</v>
          </cell>
          <cell r="AP1169">
            <v>1560</v>
          </cell>
          <cell r="AQ1169">
            <v>0</v>
          </cell>
          <cell r="AS1169">
            <v>1560</v>
          </cell>
        </row>
        <row r="1170">
          <cell r="B1170" t="str">
            <v>MB</v>
          </cell>
          <cell r="C1170" t="str">
            <v>IMP</v>
          </cell>
          <cell r="D1170" t="str">
            <v>BT</v>
          </cell>
          <cell r="E1170" t="str">
            <v>P3</v>
          </cell>
          <cell r="F1170">
            <v>39990</v>
          </cell>
          <cell r="G1170">
            <v>40001</v>
          </cell>
          <cell r="H1170" t="str">
            <v>950960</v>
          </cell>
          <cell r="K1170" t="str">
            <v>Force 85 Network Printing System</v>
          </cell>
          <cell r="L1170">
            <v>36700</v>
          </cell>
          <cell r="N1170">
            <v>9815</v>
          </cell>
          <cell r="W1170">
            <v>8342.75</v>
          </cell>
          <cell r="AB1170">
            <v>8342.75</v>
          </cell>
          <cell r="AC1170">
            <v>9269.7199999999993</v>
          </cell>
          <cell r="AD1170">
            <v>9784.7099999999991</v>
          </cell>
          <cell r="AE1170">
            <v>10299.69</v>
          </cell>
          <cell r="AF1170">
            <v>0.18999989320066918</v>
          </cell>
          <cell r="AG1170">
            <v>4.7058697883140217E-2</v>
          </cell>
          <cell r="AH1170">
            <v>10505.69</v>
          </cell>
          <cell r="AI1170">
            <v>10711.68</v>
          </cell>
          <cell r="AJ1170">
            <v>0.22115391796618272</v>
          </cell>
          <cell r="AK1170">
            <v>10917.68</v>
          </cell>
          <cell r="AL1170">
            <v>11123.67</v>
          </cell>
          <cell r="AM1170">
            <v>0.25000022474596961</v>
          </cell>
          <cell r="AN1170">
            <v>12687.93</v>
          </cell>
          <cell r="AO1170">
            <v>14252.19</v>
          </cell>
          <cell r="AP1170">
            <v>15816.45</v>
          </cell>
          <cell r="AQ1170">
            <v>0</v>
          </cell>
          <cell r="AS1170">
            <v>36700</v>
          </cell>
        </row>
        <row r="1171">
          <cell r="B1171" t="str">
            <v>SP</v>
          </cell>
          <cell r="C1171" t="str">
            <v>DOM</v>
          </cell>
          <cell r="D1171" t="str">
            <v>EK</v>
          </cell>
          <cell r="E1171" t="str">
            <v>21</v>
          </cell>
          <cell r="F1171">
            <v>39924</v>
          </cell>
          <cell r="G1171">
            <v>39925</v>
          </cell>
          <cell r="H1171" t="str">
            <v>7770140</v>
          </cell>
          <cell r="J1171" t="str">
            <v>KC7770140</v>
          </cell>
          <cell r="K1171" t="str">
            <v>Kodak Digimaster M1 Developer Starter 350g.</v>
          </cell>
          <cell r="L1171">
            <v>48</v>
          </cell>
          <cell r="M1171">
            <v>24</v>
          </cell>
          <cell r="N1171">
            <v>24.72</v>
          </cell>
          <cell r="O1171">
            <v>0</v>
          </cell>
          <cell r="P1171">
            <v>24.72</v>
          </cell>
          <cell r="Q1171">
            <v>25.44</v>
          </cell>
          <cell r="R1171">
            <v>28.75</v>
          </cell>
          <cell r="T1171" t="e">
            <v>#DIV/0!</v>
          </cell>
          <cell r="W1171">
            <v>24.72</v>
          </cell>
          <cell r="X1171" t="e">
            <v>#DIV/0!</v>
          </cell>
          <cell r="AA1171">
            <v>43</v>
          </cell>
          <cell r="AB1171">
            <v>36</v>
          </cell>
          <cell r="AC1171">
            <v>39</v>
          </cell>
          <cell r="AD1171">
            <v>42</v>
          </cell>
          <cell r="AE1171">
            <v>43.37</v>
          </cell>
          <cell r="AF1171">
            <v>0.43002075167166243</v>
          </cell>
          <cell r="AG1171">
            <v>0.43002075167166243</v>
          </cell>
          <cell r="AH1171">
            <v>45</v>
          </cell>
          <cell r="AI1171">
            <v>45.69</v>
          </cell>
          <cell r="AJ1171">
            <v>0.45896257386736705</v>
          </cell>
          <cell r="AK1171">
            <v>46.85</v>
          </cell>
          <cell r="AL1171">
            <v>48</v>
          </cell>
          <cell r="AM1171">
            <v>0.48500000000000004</v>
          </cell>
          <cell r="AN1171">
            <v>48</v>
          </cell>
          <cell r="AO1171">
            <v>48</v>
          </cell>
          <cell r="AP1171">
            <v>48</v>
          </cell>
          <cell r="AQ1171">
            <v>0</v>
          </cell>
          <cell r="AS1171">
            <v>48</v>
          </cell>
        </row>
        <row r="1172">
          <cell r="B1172" t="str">
            <v>SP</v>
          </cell>
          <cell r="C1172" t="str">
            <v>DOM</v>
          </cell>
          <cell r="D1172" t="str">
            <v>EK</v>
          </cell>
          <cell r="E1172" t="str">
            <v>21</v>
          </cell>
          <cell r="F1172">
            <v>39924</v>
          </cell>
          <cell r="G1172">
            <v>39925</v>
          </cell>
          <cell r="H1172" t="str">
            <v>4132020</v>
          </cell>
          <cell r="I1172" t="str">
            <v>SDHBD1</v>
          </cell>
          <cell r="J1172" t="str">
            <v>KC4132020</v>
          </cell>
          <cell r="K1172" t="str">
            <v>Kodak Digimaster D1 Developer Starter 260g.</v>
          </cell>
          <cell r="L1172">
            <v>71</v>
          </cell>
          <cell r="M1172">
            <v>46.2</v>
          </cell>
          <cell r="N1172">
            <v>47.59</v>
          </cell>
          <cell r="O1172">
            <v>0</v>
          </cell>
          <cell r="P1172">
            <v>47.59</v>
          </cell>
          <cell r="Q1172">
            <v>48.98</v>
          </cell>
          <cell r="R1172">
            <v>55.35</v>
          </cell>
          <cell r="T1172" t="e">
            <v>#DIV/0!</v>
          </cell>
          <cell r="W1172">
            <v>47.59</v>
          </cell>
          <cell r="X1172" t="e">
            <v>#DIV/0!</v>
          </cell>
          <cell r="AA1172">
            <v>82</v>
          </cell>
          <cell r="AB1172">
            <v>68</v>
          </cell>
          <cell r="AC1172">
            <v>74</v>
          </cell>
          <cell r="AD1172">
            <v>79</v>
          </cell>
          <cell r="AE1172">
            <v>83.49</v>
          </cell>
          <cell r="AF1172">
            <v>0.42999161576236666</v>
          </cell>
          <cell r="AG1172">
            <v>0.42999161576236666</v>
          </cell>
          <cell r="AH1172">
            <v>81</v>
          </cell>
          <cell r="AI1172">
            <v>77.25</v>
          </cell>
          <cell r="AJ1172">
            <v>0.3839482200647249</v>
          </cell>
          <cell r="AK1172">
            <v>74.13</v>
          </cell>
          <cell r="AL1172">
            <v>71</v>
          </cell>
          <cell r="AM1172">
            <v>0.3297183098591549</v>
          </cell>
          <cell r="AN1172">
            <v>71</v>
          </cell>
          <cell r="AO1172">
            <v>71</v>
          </cell>
          <cell r="AP1172">
            <v>71</v>
          </cell>
          <cell r="AQ1172">
            <v>0</v>
          </cell>
          <cell r="AS1172">
            <v>71</v>
          </cell>
        </row>
        <row r="1173">
          <cell r="B1173" t="str">
            <v>SP</v>
          </cell>
          <cell r="C1173" t="str">
            <v>DOM</v>
          </cell>
          <cell r="D1173" t="str">
            <v>EK</v>
          </cell>
          <cell r="E1173" t="str">
            <v>21</v>
          </cell>
          <cell r="F1173">
            <v>39924</v>
          </cell>
          <cell r="G1173">
            <v>39925</v>
          </cell>
          <cell r="H1173" t="str">
            <v>7770120</v>
          </cell>
          <cell r="I1173" t="str">
            <v>SDHBDM9110M</v>
          </cell>
          <cell r="J1173" t="str">
            <v>KCA12842</v>
          </cell>
          <cell r="K1173" t="str">
            <v>Kodak Digimaster M1 Developer 1.95kg.</v>
          </cell>
          <cell r="L1173">
            <v>138</v>
          </cell>
          <cell r="M1173">
            <v>69</v>
          </cell>
          <cell r="N1173">
            <v>71.069999999999993</v>
          </cell>
          <cell r="O1173">
            <v>0</v>
          </cell>
          <cell r="P1173">
            <v>71.069999999999993</v>
          </cell>
          <cell r="Q1173">
            <v>73.14</v>
          </cell>
          <cell r="R1173">
            <v>82.65</v>
          </cell>
          <cell r="T1173" t="e">
            <v>#DIV/0!</v>
          </cell>
          <cell r="W1173">
            <v>71.069999999999993</v>
          </cell>
          <cell r="X1173" t="e">
            <v>#DIV/0!</v>
          </cell>
          <cell r="AA1173">
            <v>122</v>
          </cell>
          <cell r="AB1173">
            <v>102</v>
          </cell>
          <cell r="AC1173">
            <v>110</v>
          </cell>
          <cell r="AD1173">
            <v>118</v>
          </cell>
          <cell r="AE1173">
            <v>124.68</v>
          </cell>
          <cell r="AF1173">
            <v>0.42998075072184799</v>
          </cell>
          <cell r="AG1173">
            <v>0.42998075072184799</v>
          </cell>
          <cell r="AH1173">
            <v>129</v>
          </cell>
          <cell r="AI1173">
            <v>131.34</v>
          </cell>
          <cell r="AJ1173">
            <v>0.45888533576975793</v>
          </cell>
          <cell r="AK1173">
            <v>134.66999999999999</v>
          </cell>
          <cell r="AL1173">
            <v>138</v>
          </cell>
          <cell r="AM1173">
            <v>0.48500000000000004</v>
          </cell>
          <cell r="AN1173">
            <v>138</v>
          </cell>
          <cell r="AO1173">
            <v>138</v>
          </cell>
          <cell r="AP1173">
            <v>138</v>
          </cell>
          <cell r="AQ1173">
            <v>0</v>
          </cell>
          <cell r="AS1173">
            <v>138</v>
          </cell>
        </row>
        <row r="1174">
          <cell r="B1174" t="str">
            <v>SP</v>
          </cell>
          <cell r="C1174" t="str">
            <v>DOM</v>
          </cell>
          <cell r="D1174" t="str">
            <v>EK</v>
          </cell>
          <cell r="E1174" t="str">
            <v>21</v>
          </cell>
          <cell r="F1174">
            <v>39924</v>
          </cell>
          <cell r="G1174">
            <v>39925</v>
          </cell>
          <cell r="H1174" t="str">
            <v>4132010</v>
          </cell>
          <cell r="J1174" t="str">
            <v>KCA09934</v>
          </cell>
          <cell r="K1174" t="str">
            <v>Kodak Digimaster D1 Developer 1.69kg.</v>
          </cell>
          <cell r="L1174">
            <v>194</v>
          </cell>
          <cell r="M1174">
            <v>126</v>
          </cell>
          <cell r="N1174">
            <v>129.78</v>
          </cell>
          <cell r="O1174">
            <v>0</v>
          </cell>
          <cell r="P1174">
            <v>129.78</v>
          </cell>
          <cell r="Q1174">
            <v>133.56</v>
          </cell>
          <cell r="R1174">
            <v>150.91999999999999</v>
          </cell>
          <cell r="T1174" t="e">
            <v>#DIV/0!</v>
          </cell>
          <cell r="W1174">
            <v>129.78</v>
          </cell>
          <cell r="X1174" t="e">
            <v>#DIV/0!</v>
          </cell>
          <cell r="AA1174">
            <v>223</v>
          </cell>
          <cell r="AB1174">
            <v>186</v>
          </cell>
          <cell r="AC1174">
            <v>200</v>
          </cell>
          <cell r="AD1174">
            <v>214</v>
          </cell>
          <cell r="AE1174">
            <v>227.68</v>
          </cell>
          <cell r="AF1174">
            <v>0.42998945888966972</v>
          </cell>
          <cell r="AG1174">
            <v>0.42998945888966972</v>
          </cell>
          <cell r="AH1174">
            <v>220</v>
          </cell>
          <cell r="AI1174">
            <v>210.84</v>
          </cell>
          <cell r="AJ1174">
            <v>0.3844621513944223</v>
          </cell>
          <cell r="AK1174">
            <v>202.42</v>
          </cell>
          <cell r="AL1174">
            <v>194</v>
          </cell>
          <cell r="AM1174">
            <v>0.33103092783505156</v>
          </cell>
          <cell r="AN1174">
            <v>194</v>
          </cell>
          <cell r="AO1174">
            <v>194</v>
          </cell>
          <cell r="AP1174">
            <v>194</v>
          </cell>
          <cell r="AQ1174">
            <v>0</v>
          </cell>
          <cell r="AS1174">
            <v>194</v>
          </cell>
        </row>
        <row r="1175">
          <cell r="B1175" t="str">
            <v>SP</v>
          </cell>
          <cell r="C1175" t="str">
            <v>DOM</v>
          </cell>
          <cell r="D1175" t="str">
            <v>EK</v>
          </cell>
          <cell r="E1175" t="str">
            <v>21</v>
          </cell>
          <cell r="F1175">
            <v>39924</v>
          </cell>
          <cell r="G1175">
            <v>39925</v>
          </cell>
          <cell r="H1175" t="str">
            <v>KN000286700</v>
          </cell>
          <cell r="I1175" t="str">
            <v>SFEKDS9110</v>
          </cell>
          <cell r="J1175" t="str">
            <v>KN000286700</v>
          </cell>
          <cell r="K1175" t="str">
            <v>Kodak Fuser Oil (1 cs=3)</v>
          </cell>
          <cell r="L1175">
            <v>87</v>
          </cell>
          <cell r="M1175">
            <v>43.52</v>
          </cell>
          <cell r="N1175">
            <v>44.83</v>
          </cell>
          <cell r="O1175">
            <v>0</v>
          </cell>
          <cell r="P1175">
            <v>44.83</v>
          </cell>
          <cell r="Q1175">
            <v>46.14</v>
          </cell>
          <cell r="R1175">
            <v>52.14</v>
          </cell>
          <cell r="T1175" t="e">
            <v>#DIV/0!</v>
          </cell>
          <cell r="W1175">
            <v>44.83</v>
          </cell>
          <cell r="X1175" t="e">
            <v>#DIV/0!</v>
          </cell>
          <cell r="AA1175">
            <v>77</v>
          </cell>
          <cell r="AB1175">
            <v>65</v>
          </cell>
          <cell r="AC1175">
            <v>69</v>
          </cell>
          <cell r="AD1175">
            <v>74</v>
          </cell>
          <cell r="AE1175">
            <v>78.650000000000006</v>
          </cell>
          <cell r="AF1175">
            <v>0.43000635727908459</v>
          </cell>
          <cell r="AG1175">
            <v>0.43000635727908459</v>
          </cell>
          <cell r="AH1175">
            <v>81</v>
          </cell>
          <cell r="AI1175">
            <v>82.83</v>
          </cell>
          <cell r="AJ1175">
            <v>0.45877097669926359</v>
          </cell>
          <cell r="AK1175">
            <v>84.92</v>
          </cell>
          <cell r="AL1175">
            <v>87</v>
          </cell>
          <cell r="AM1175">
            <v>0.48471264367816091</v>
          </cell>
          <cell r="AN1175">
            <v>87</v>
          </cell>
          <cell r="AO1175">
            <v>87</v>
          </cell>
          <cell r="AP1175">
            <v>87</v>
          </cell>
          <cell r="AQ1175">
            <v>0</v>
          </cell>
          <cell r="AS1175">
            <v>87</v>
          </cell>
        </row>
        <row r="1176">
          <cell r="B1176" t="str">
            <v>MB</v>
          </cell>
          <cell r="C1176" t="str">
            <v>IMP</v>
          </cell>
          <cell r="D1176" t="str">
            <v>BT</v>
          </cell>
          <cell r="E1176" t="str">
            <v>P3</v>
          </cell>
          <cell r="F1176">
            <v>39990</v>
          </cell>
          <cell r="G1176">
            <v>40001</v>
          </cell>
          <cell r="H1176" t="str">
            <v>960326</v>
          </cell>
          <cell r="K1176" t="str">
            <v>7255 Digital Copier w/ RADF - DISCONTINUED</v>
          </cell>
          <cell r="L1176">
            <v>17950</v>
          </cell>
          <cell r="N1176">
            <v>5837</v>
          </cell>
          <cell r="W1176">
            <v>4961.45</v>
          </cell>
          <cell r="AB1176">
            <v>4961.45</v>
          </cell>
          <cell r="AC1176">
            <v>5512.72</v>
          </cell>
          <cell r="AD1176">
            <v>5818.99</v>
          </cell>
          <cell r="AE1176">
            <v>6125.25</v>
          </cell>
          <cell r="AF1176">
            <v>0.19000040814660629</v>
          </cell>
          <cell r="AG1176">
            <v>4.7059303701889717E-2</v>
          </cell>
          <cell r="AH1176">
            <v>6247.76</v>
          </cell>
          <cell r="AI1176">
            <v>6370.26</v>
          </cell>
          <cell r="AJ1176">
            <v>0.22115423860250608</v>
          </cell>
          <cell r="AK1176">
            <v>6492.77</v>
          </cell>
          <cell r="AL1176">
            <v>6615.27</v>
          </cell>
          <cell r="AM1176">
            <v>0.25000037791352442</v>
          </cell>
          <cell r="AN1176">
            <v>7545.54</v>
          </cell>
          <cell r="AO1176">
            <v>8475.81</v>
          </cell>
          <cell r="AP1176">
            <v>9406.08</v>
          </cell>
          <cell r="AS1176">
            <v>17950</v>
          </cell>
        </row>
        <row r="1177">
          <cell r="B1177" t="str">
            <v>SP</v>
          </cell>
          <cell r="C1177" t="str">
            <v>IMP</v>
          </cell>
          <cell r="D1177" t="str">
            <v>BT</v>
          </cell>
          <cell r="E1177" t="str">
            <v>08</v>
          </cell>
          <cell r="F1177">
            <v>39924</v>
          </cell>
          <cell r="G1177">
            <v>39924</v>
          </cell>
          <cell r="H1177" t="str">
            <v>4068612</v>
          </cell>
          <cell r="I1177">
            <v>4068612</v>
          </cell>
          <cell r="K1177" t="str">
            <v xml:space="preserve">DR-310 Drum (362:100K; 282:80K; 222:65K) </v>
          </cell>
          <cell r="L1177">
            <v>118</v>
          </cell>
          <cell r="M1177">
            <v>40</v>
          </cell>
          <cell r="N1177">
            <v>41.6</v>
          </cell>
          <cell r="O1177">
            <v>0.19999999999999998</v>
          </cell>
          <cell r="P1177">
            <v>52</v>
          </cell>
          <cell r="Q1177">
            <v>42.4</v>
          </cell>
          <cell r="R1177">
            <v>47.91</v>
          </cell>
          <cell r="S1177">
            <v>65</v>
          </cell>
          <cell r="T1177">
            <v>0.36</v>
          </cell>
          <cell r="W1177">
            <v>52</v>
          </cell>
          <cell r="X1177">
            <v>0.8</v>
          </cell>
          <cell r="Y1177" t="str">
            <v>Act freight</v>
          </cell>
          <cell r="AA1177">
            <v>102</v>
          </cell>
          <cell r="AB1177">
            <v>75</v>
          </cell>
          <cell r="AC1177">
            <v>87</v>
          </cell>
          <cell r="AD1177">
            <v>96</v>
          </cell>
          <cell r="AE1177">
            <v>104</v>
          </cell>
          <cell r="AF1177">
            <v>0.5</v>
          </cell>
          <cell r="AG1177">
            <v>0.6</v>
          </cell>
          <cell r="AH1177">
            <v>108</v>
          </cell>
          <cell r="AI1177">
            <v>111</v>
          </cell>
          <cell r="AJ1177">
            <v>0.53153153153153154</v>
          </cell>
          <cell r="AK1177">
            <v>114.5</v>
          </cell>
          <cell r="AL1177">
            <v>118</v>
          </cell>
          <cell r="AM1177">
            <v>0.55932203389830504</v>
          </cell>
          <cell r="AN1177">
            <v>118</v>
          </cell>
          <cell r="AO1177">
            <v>118</v>
          </cell>
          <cell r="AP1177">
            <v>118</v>
          </cell>
          <cell r="AQ1177">
            <v>0</v>
          </cell>
          <cell r="AS1177">
            <v>118</v>
          </cell>
        </row>
        <row r="1178">
          <cell r="B1178" t="str">
            <v>SP</v>
          </cell>
          <cell r="C1178" t="str">
            <v>IMP</v>
          </cell>
          <cell r="D1178" t="str">
            <v>BT</v>
          </cell>
          <cell r="E1178" t="str">
            <v>08</v>
          </cell>
          <cell r="F1178">
            <v>39924</v>
          </cell>
          <cell r="G1178">
            <v>39924</v>
          </cell>
          <cell r="H1178" t="str">
            <v>4519601</v>
          </cell>
          <cell r="I1178">
            <v>4519601</v>
          </cell>
          <cell r="K1178" t="str">
            <v>DR-113 Drum (16K)</v>
          </cell>
          <cell r="L1178">
            <v>65</v>
          </cell>
          <cell r="M1178">
            <v>20</v>
          </cell>
          <cell r="N1178">
            <v>20.8</v>
          </cell>
          <cell r="O1178">
            <v>0.26760563380281693</v>
          </cell>
          <cell r="P1178">
            <v>28.400000000000002</v>
          </cell>
          <cell r="Q1178">
            <v>21.2</v>
          </cell>
          <cell r="R1178">
            <v>23.96</v>
          </cell>
          <cell r="S1178">
            <v>35.5</v>
          </cell>
          <cell r="T1178">
            <v>0.41408450704225352</v>
          </cell>
          <cell r="W1178">
            <v>28.400000000000002</v>
          </cell>
          <cell r="X1178">
            <v>0.8</v>
          </cell>
          <cell r="Y1178" t="str">
            <v>Act freight</v>
          </cell>
          <cell r="AA1178">
            <v>56</v>
          </cell>
          <cell r="AB1178">
            <v>41</v>
          </cell>
          <cell r="AC1178">
            <v>48</v>
          </cell>
          <cell r="AD1178">
            <v>53</v>
          </cell>
          <cell r="AE1178">
            <v>56.8</v>
          </cell>
          <cell r="AF1178">
            <v>0.49999999999999994</v>
          </cell>
          <cell r="AG1178">
            <v>0.63380281690140849</v>
          </cell>
          <cell r="AH1178">
            <v>59</v>
          </cell>
          <cell r="AI1178">
            <v>61</v>
          </cell>
          <cell r="AJ1178">
            <v>0.53442622950819663</v>
          </cell>
          <cell r="AK1178">
            <v>63</v>
          </cell>
          <cell r="AL1178">
            <v>65</v>
          </cell>
          <cell r="AM1178">
            <v>0.56307692307692303</v>
          </cell>
          <cell r="AN1178">
            <v>65</v>
          </cell>
          <cell r="AO1178">
            <v>65</v>
          </cell>
          <cell r="AP1178">
            <v>65</v>
          </cell>
          <cell r="AQ1178">
            <v>0</v>
          </cell>
          <cell r="AS1178">
            <v>65</v>
          </cell>
        </row>
        <row r="1179">
          <cell r="B1179" t="str">
            <v>SP</v>
          </cell>
          <cell r="C1179" t="str">
            <v>IMP</v>
          </cell>
          <cell r="D1179" t="str">
            <v>BT</v>
          </cell>
          <cell r="E1179" t="str">
            <v>08</v>
          </cell>
          <cell r="F1179">
            <v>39924</v>
          </cell>
          <cell r="G1179">
            <v>39924</v>
          </cell>
          <cell r="H1179" t="str">
            <v>8936488</v>
          </cell>
          <cell r="I1179" t="str">
            <v>SDKM8936488</v>
          </cell>
          <cell r="K1179" t="str">
            <v>DV-110 Developer (40K/pack, 6 packs/cs.)</v>
          </cell>
          <cell r="L1179">
            <v>130</v>
          </cell>
          <cell r="M1179">
            <v>41.62</v>
          </cell>
          <cell r="N1179">
            <v>43.284799999999997</v>
          </cell>
          <cell r="O1179">
            <v>0.2921768707482994</v>
          </cell>
          <cell r="P1179">
            <v>61.152000000000001</v>
          </cell>
          <cell r="Q1179">
            <v>44.12</v>
          </cell>
          <cell r="R1179">
            <v>49.86</v>
          </cell>
          <cell r="S1179">
            <v>76.44</v>
          </cell>
          <cell r="T1179">
            <v>0.43374149659863948</v>
          </cell>
          <cell r="W1179">
            <v>61.152000000000001</v>
          </cell>
          <cell r="X1179">
            <v>0.8</v>
          </cell>
          <cell r="Y1179" t="str">
            <v>Act freight</v>
          </cell>
          <cell r="AA1179">
            <v>120</v>
          </cell>
          <cell r="AB1179">
            <v>88</v>
          </cell>
          <cell r="AC1179">
            <v>102</v>
          </cell>
          <cell r="AD1179">
            <v>113</v>
          </cell>
          <cell r="AE1179">
            <v>122.3</v>
          </cell>
          <cell r="AF1179">
            <v>0.4999836467702371</v>
          </cell>
          <cell r="AG1179">
            <v>0.64607686017988553</v>
          </cell>
          <cell r="AH1179">
            <v>125</v>
          </cell>
          <cell r="AI1179">
            <v>127</v>
          </cell>
          <cell r="AJ1179">
            <v>0.51848818897637794</v>
          </cell>
          <cell r="AK1179">
            <v>128.5</v>
          </cell>
          <cell r="AL1179">
            <v>130</v>
          </cell>
          <cell r="AM1179">
            <v>0.52959999999999996</v>
          </cell>
          <cell r="AN1179">
            <v>130</v>
          </cell>
          <cell r="AO1179">
            <v>130</v>
          </cell>
          <cell r="AP1179">
            <v>130</v>
          </cell>
          <cell r="AQ1179">
            <v>0</v>
          </cell>
          <cell r="AS1179">
            <v>130</v>
          </cell>
        </row>
        <row r="1180">
          <cell r="B1180" t="str">
            <v>SP</v>
          </cell>
          <cell r="C1180" t="str">
            <v>IMP</v>
          </cell>
          <cell r="D1180" t="str">
            <v>BT</v>
          </cell>
          <cell r="E1180" t="str">
            <v>08</v>
          </cell>
          <cell r="F1180">
            <v>39924</v>
          </cell>
          <cell r="G1180">
            <v>39924</v>
          </cell>
          <cell r="H1180" t="str">
            <v>8938451</v>
          </cell>
          <cell r="I1180">
            <v>8938451</v>
          </cell>
          <cell r="K1180" t="str">
            <v xml:space="preserve">DV-310 Developer (362/350:100K; 282/250:80K; 222/200:65K)  </v>
          </cell>
          <cell r="L1180">
            <v>46</v>
          </cell>
          <cell r="M1180">
            <v>11.26</v>
          </cell>
          <cell r="N1180">
            <v>11.7104</v>
          </cell>
          <cell r="O1180">
            <v>0.41448000000000002</v>
          </cell>
          <cell r="P1180">
            <v>20</v>
          </cell>
          <cell r="Q1180">
            <v>11.94</v>
          </cell>
          <cell r="R1180">
            <v>13.49</v>
          </cell>
          <cell r="S1180">
            <v>25</v>
          </cell>
          <cell r="T1180">
            <v>0.53158400000000006</v>
          </cell>
          <cell r="W1180">
            <v>20</v>
          </cell>
          <cell r="X1180">
            <v>0.8</v>
          </cell>
          <cell r="Y1180" t="str">
            <v>Act freight</v>
          </cell>
          <cell r="AA1180">
            <v>39</v>
          </cell>
          <cell r="AB1180">
            <v>29</v>
          </cell>
          <cell r="AC1180">
            <v>34</v>
          </cell>
          <cell r="AD1180">
            <v>37</v>
          </cell>
          <cell r="AE1180">
            <v>40</v>
          </cell>
          <cell r="AF1180">
            <v>0.5</v>
          </cell>
          <cell r="AG1180">
            <v>0.70723999999999998</v>
          </cell>
          <cell r="AH1180">
            <v>42</v>
          </cell>
          <cell r="AI1180">
            <v>43</v>
          </cell>
          <cell r="AJ1180">
            <v>0.53488372093023251</v>
          </cell>
          <cell r="AK1180">
            <v>44.5</v>
          </cell>
          <cell r="AL1180">
            <v>46</v>
          </cell>
          <cell r="AM1180">
            <v>0.56521739130434778</v>
          </cell>
          <cell r="AN1180">
            <v>46</v>
          </cell>
          <cell r="AO1180">
            <v>46</v>
          </cell>
          <cell r="AP1180">
            <v>46</v>
          </cell>
          <cell r="AQ1180">
            <v>0</v>
          </cell>
          <cell r="AS1180">
            <v>46</v>
          </cell>
        </row>
        <row r="1181">
          <cell r="B1181" t="str">
            <v>SP</v>
          </cell>
          <cell r="C1181" t="str">
            <v>IMP</v>
          </cell>
          <cell r="D1181" t="str">
            <v>BT</v>
          </cell>
          <cell r="E1181" t="str">
            <v>08</v>
          </cell>
          <cell r="F1181">
            <v>39924</v>
          </cell>
          <cell r="G1181">
            <v>39924</v>
          </cell>
          <cell r="H1181" t="str">
            <v>4021029701</v>
          </cell>
          <cell r="I1181">
            <v>4021029701</v>
          </cell>
          <cell r="K1181" t="str">
            <v>DR-114 Drum (40K)</v>
          </cell>
          <cell r="L1181">
            <v>120</v>
          </cell>
          <cell r="M1181">
            <v>49</v>
          </cell>
          <cell r="N1181">
            <v>50.96</v>
          </cell>
          <cell r="O1181">
            <v>9.7222222222222321E-2</v>
          </cell>
          <cell r="P1181">
            <v>56.448000000000008</v>
          </cell>
          <cell r="Q1181">
            <v>51.94</v>
          </cell>
          <cell r="R1181">
            <v>58.69</v>
          </cell>
          <cell r="S1181">
            <v>70.56</v>
          </cell>
          <cell r="T1181">
            <v>0.27777777777777779</v>
          </cell>
          <cell r="W1181">
            <v>56.448000000000008</v>
          </cell>
          <cell r="X1181">
            <v>0.8</v>
          </cell>
          <cell r="Y1181" t="str">
            <v>Act freight</v>
          </cell>
          <cell r="AA1181">
            <v>111</v>
          </cell>
          <cell r="AB1181">
            <v>81</v>
          </cell>
          <cell r="AC1181">
            <v>95</v>
          </cell>
          <cell r="AD1181">
            <v>104</v>
          </cell>
          <cell r="AE1181">
            <v>112.9</v>
          </cell>
          <cell r="AF1181">
            <v>0.5000177147918512</v>
          </cell>
          <cell r="AG1181">
            <v>0.54862710363153233</v>
          </cell>
          <cell r="AH1181">
            <v>115</v>
          </cell>
          <cell r="AI1181">
            <v>117</v>
          </cell>
          <cell r="AJ1181">
            <v>0.5175384615384615</v>
          </cell>
          <cell r="AK1181">
            <v>118.5</v>
          </cell>
          <cell r="AL1181">
            <v>120</v>
          </cell>
          <cell r="AM1181">
            <v>0.52959999999999996</v>
          </cell>
          <cell r="AN1181">
            <v>120</v>
          </cell>
          <cell r="AO1181">
            <v>120</v>
          </cell>
          <cell r="AP1181">
            <v>120</v>
          </cell>
          <cell r="AQ1181">
            <v>0</v>
          </cell>
          <cell r="AS1181">
            <v>120</v>
          </cell>
        </row>
        <row r="1182">
          <cell r="B1182" t="str">
            <v>SP</v>
          </cell>
          <cell r="C1182" t="str">
            <v>IMP</v>
          </cell>
          <cell r="D1182" t="str">
            <v>BT</v>
          </cell>
          <cell r="E1182" t="str">
            <v>08</v>
          </cell>
          <cell r="F1182">
            <v>39924</v>
          </cell>
          <cell r="G1182">
            <v>39924</v>
          </cell>
          <cell r="H1182" t="str">
            <v>022B</v>
          </cell>
          <cell r="I1182" t="str">
            <v>SDKM022B</v>
          </cell>
          <cell r="K1182" t="str">
            <v>DV-910 Developer (920/950:1,000K)</v>
          </cell>
          <cell r="L1182">
            <v>440</v>
          </cell>
          <cell r="M1182">
            <v>100</v>
          </cell>
          <cell r="N1182">
            <v>104</v>
          </cell>
          <cell r="O1182">
            <v>0.31034482758620696</v>
          </cell>
          <cell r="P1182">
            <v>150.80000000000001</v>
          </cell>
          <cell r="Q1182">
            <v>106</v>
          </cell>
          <cell r="R1182">
            <v>119.78</v>
          </cell>
          <cell r="S1182">
            <v>188.5</v>
          </cell>
          <cell r="T1182">
            <v>0.44827586206896552</v>
          </cell>
          <cell r="W1182">
            <v>150.80000000000001</v>
          </cell>
          <cell r="X1182">
            <v>0.8</v>
          </cell>
          <cell r="Y1182" t="str">
            <v>Act freight</v>
          </cell>
          <cell r="AA1182">
            <v>296</v>
          </cell>
          <cell r="AB1182">
            <v>216</v>
          </cell>
          <cell r="AC1182">
            <v>252</v>
          </cell>
          <cell r="AD1182">
            <v>277</v>
          </cell>
          <cell r="AE1182">
            <v>301.60000000000002</v>
          </cell>
          <cell r="AF1182">
            <v>0.5</v>
          </cell>
          <cell r="AG1182">
            <v>0.65517241379310343</v>
          </cell>
          <cell r="AH1182">
            <v>337</v>
          </cell>
          <cell r="AI1182">
            <v>371</v>
          </cell>
          <cell r="AJ1182">
            <v>0.59353099730458214</v>
          </cell>
          <cell r="AK1182">
            <v>405.5</v>
          </cell>
          <cell r="AL1182">
            <v>440</v>
          </cell>
          <cell r="AM1182">
            <v>0.65727272727272723</v>
          </cell>
          <cell r="AN1182">
            <v>440</v>
          </cell>
          <cell r="AO1182">
            <v>440</v>
          </cell>
          <cell r="AP1182">
            <v>440</v>
          </cell>
          <cell r="AQ1182">
            <v>0</v>
          </cell>
          <cell r="AS1182">
            <v>440</v>
          </cell>
        </row>
        <row r="1183">
          <cell r="B1183" t="str">
            <v>SP</v>
          </cell>
          <cell r="C1183" t="str">
            <v>IMP</v>
          </cell>
          <cell r="D1183" t="str">
            <v>BT</v>
          </cell>
          <cell r="E1183" t="str">
            <v>08</v>
          </cell>
          <cell r="F1183">
            <v>39924</v>
          </cell>
          <cell r="G1183">
            <v>39924</v>
          </cell>
          <cell r="H1183" t="str">
            <v>022H</v>
          </cell>
          <cell r="I1183" t="str">
            <v>022H</v>
          </cell>
          <cell r="K1183" t="str">
            <v>DR-910 Drum (920/950:1,000K)</v>
          </cell>
          <cell r="L1183">
            <v>800</v>
          </cell>
          <cell r="M1183">
            <v>120</v>
          </cell>
          <cell r="N1183">
            <v>124.80000000000001</v>
          </cell>
          <cell r="O1183">
            <v>0.55236728837876614</v>
          </cell>
          <cell r="P1183">
            <v>278.8</v>
          </cell>
          <cell r="Q1183">
            <v>127.2</v>
          </cell>
          <cell r="R1183">
            <v>143.74</v>
          </cell>
          <cell r="S1183">
            <v>348.5</v>
          </cell>
          <cell r="T1183">
            <v>0.64189383070301287</v>
          </cell>
          <cell r="W1183">
            <v>278.8</v>
          </cell>
          <cell r="X1183">
            <v>0.8</v>
          </cell>
          <cell r="Y1183" t="str">
            <v>Act freight</v>
          </cell>
          <cell r="AA1183">
            <v>546</v>
          </cell>
          <cell r="AB1183">
            <v>399</v>
          </cell>
          <cell r="AC1183">
            <v>465</v>
          </cell>
          <cell r="AD1183">
            <v>512</v>
          </cell>
          <cell r="AE1183">
            <v>557.6</v>
          </cell>
          <cell r="AF1183">
            <v>0.5</v>
          </cell>
          <cell r="AG1183">
            <v>0.77618364418938302</v>
          </cell>
          <cell r="AH1183">
            <v>619</v>
          </cell>
          <cell r="AI1183">
            <v>679</v>
          </cell>
          <cell r="AJ1183">
            <v>0.58939617083946982</v>
          </cell>
          <cell r="AK1183">
            <v>739.5</v>
          </cell>
          <cell r="AL1183">
            <v>800</v>
          </cell>
          <cell r="AM1183">
            <v>0.65150000000000008</v>
          </cell>
          <cell r="AN1183">
            <v>800</v>
          </cell>
          <cell r="AO1183">
            <v>800</v>
          </cell>
          <cell r="AP1183">
            <v>800</v>
          </cell>
          <cell r="AQ1183">
            <v>0</v>
          </cell>
          <cell r="AS1183">
            <v>800</v>
          </cell>
        </row>
        <row r="1184">
          <cell r="B1184" t="str">
            <v>SP</v>
          </cell>
          <cell r="C1184" t="str">
            <v>IMP</v>
          </cell>
          <cell r="D1184" t="str">
            <v>BT</v>
          </cell>
          <cell r="E1184" t="str">
            <v>08</v>
          </cell>
          <cell r="F1184">
            <v>39924</v>
          </cell>
          <cell r="G1184">
            <v>39924</v>
          </cell>
          <cell r="H1184" t="str">
            <v>024G</v>
          </cell>
          <cell r="I1184" t="str">
            <v>SDKM024G</v>
          </cell>
          <cell r="K1184" t="str">
            <v>DV-511 Developer (250K/225K)</v>
          </cell>
          <cell r="L1184">
            <v>218</v>
          </cell>
          <cell r="M1184">
            <v>39</v>
          </cell>
          <cell r="N1184">
            <v>40.56</v>
          </cell>
          <cell r="O1184">
            <v>0.43666666666666665</v>
          </cell>
          <cell r="P1184">
            <v>72</v>
          </cell>
          <cell r="Q1184">
            <v>41.34</v>
          </cell>
          <cell r="R1184">
            <v>46.71</v>
          </cell>
          <cell r="S1184">
            <v>90</v>
          </cell>
          <cell r="T1184">
            <v>0.54933333333333334</v>
          </cell>
          <cell r="W1184">
            <v>72</v>
          </cell>
          <cell r="X1184">
            <v>0.8</v>
          </cell>
          <cell r="Y1184" t="str">
            <v>Act freight</v>
          </cell>
          <cell r="AA1184">
            <v>141</v>
          </cell>
          <cell r="AB1184">
            <v>103</v>
          </cell>
          <cell r="AC1184">
            <v>120</v>
          </cell>
          <cell r="AD1184">
            <v>132</v>
          </cell>
          <cell r="AE1184">
            <v>144</v>
          </cell>
          <cell r="AF1184">
            <v>0.5</v>
          </cell>
          <cell r="AG1184">
            <v>0.71833333333333327</v>
          </cell>
          <cell r="AH1184">
            <v>163</v>
          </cell>
          <cell r="AI1184">
            <v>181</v>
          </cell>
          <cell r="AJ1184">
            <v>0.60220994475138123</v>
          </cell>
          <cell r="AK1184">
            <v>199.5</v>
          </cell>
          <cell r="AL1184">
            <v>218</v>
          </cell>
          <cell r="AM1184">
            <v>0.66972477064220182</v>
          </cell>
          <cell r="AN1184">
            <v>218</v>
          </cell>
          <cell r="AO1184">
            <v>218</v>
          </cell>
          <cell r="AP1184">
            <v>218</v>
          </cell>
          <cell r="AQ1184">
            <v>0</v>
          </cell>
          <cell r="AS1184">
            <v>218</v>
          </cell>
        </row>
        <row r="1185">
          <cell r="B1185" t="str">
            <v>SP</v>
          </cell>
          <cell r="C1185" t="str">
            <v>IMP</v>
          </cell>
          <cell r="D1185" t="str">
            <v>BT</v>
          </cell>
          <cell r="E1185" t="str">
            <v>08</v>
          </cell>
          <cell r="F1185">
            <v>39924</v>
          </cell>
          <cell r="G1185">
            <v>39924</v>
          </cell>
          <cell r="H1185" t="str">
            <v>024K</v>
          </cell>
          <cell r="I1185" t="str">
            <v>024K</v>
          </cell>
          <cell r="K1185" t="str">
            <v>DR-510 Drum (250K/225K)</v>
          </cell>
          <cell r="L1185">
            <v>272</v>
          </cell>
          <cell r="M1185">
            <v>83</v>
          </cell>
          <cell r="N1185">
            <v>86.320000000000007</v>
          </cell>
          <cell r="O1185">
            <v>9.2592592592590612E-4</v>
          </cell>
          <cell r="P1185">
            <v>86.4</v>
          </cell>
          <cell r="Q1185">
            <v>87.98</v>
          </cell>
          <cell r="R1185">
            <v>99.42</v>
          </cell>
          <cell r="S1185">
            <v>108</v>
          </cell>
          <cell r="T1185">
            <v>0.20074074074074066</v>
          </cell>
          <cell r="W1185">
            <v>86.4</v>
          </cell>
          <cell r="X1185">
            <v>0.8</v>
          </cell>
          <cell r="Y1185" t="str">
            <v>Act freight</v>
          </cell>
          <cell r="AA1185">
            <v>169</v>
          </cell>
          <cell r="AB1185">
            <v>124</v>
          </cell>
          <cell r="AC1185">
            <v>144</v>
          </cell>
          <cell r="AD1185">
            <v>159</v>
          </cell>
          <cell r="AE1185">
            <v>172.8</v>
          </cell>
          <cell r="AF1185">
            <v>0.5</v>
          </cell>
          <cell r="AG1185">
            <v>0.500462962962963</v>
          </cell>
          <cell r="AH1185">
            <v>198</v>
          </cell>
          <cell r="AI1185">
            <v>223</v>
          </cell>
          <cell r="AJ1185">
            <v>0.61255605381165912</v>
          </cell>
          <cell r="AK1185">
            <v>247.5</v>
          </cell>
          <cell r="AL1185">
            <v>272</v>
          </cell>
          <cell r="AM1185">
            <v>0.68235294117647061</v>
          </cell>
          <cell r="AN1185">
            <v>272</v>
          </cell>
          <cell r="AO1185">
            <v>272</v>
          </cell>
          <cell r="AP1185">
            <v>272</v>
          </cell>
          <cell r="AQ1185">
            <v>0</v>
          </cell>
          <cell r="AS1185">
            <v>272</v>
          </cell>
        </row>
        <row r="1186">
          <cell r="B1186" t="str">
            <v>SP</v>
          </cell>
          <cell r="C1186" t="str">
            <v>IMP</v>
          </cell>
          <cell r="D1186" t="str">
            <v>BT</v>
          </cell>
          <cell r="E1186" t="str">
            <v>08</v>
          </cell>
          <cell r="F1186">
            <v>39924</v>
          </cell>
          <cell r="G1186">
            <v>39924</v>
          </cell>
          <cell r="H1186" t="str">
            <v>02UK</v>
          </cell>
          <cell r="I1186" t="str">
            <v>02UK</v>
          </cell>
          <cell r="K1186" t="str">
            <v>DV-010 Developer (1050:1,000K)</v>
          </cell>
          <cell r="L1186">
            <v>374</v>
          </cell>
          <cell r="M1186">
            <v>78</v>
          </cell>
          <cell r="N1186">
            <v>81.12</v>
          </cell>
          <cell r="O1186">
            <v>0.30808597748208805</v>
          </cell>
          <cell r="P1186">
            <v>117.24000000000001</v>
          </cell>
          <cell r="Q1186">
            <v>82.68</v>
          </cell>
          <cell r="R1186">
            <v>93.43</v>
          </cell>
          <cell r="S1186">
            <v>146.55000000000001</v>
          </cell>
          <cell r="T1186">
            <v>0.44646878198567042</v>
          </cell>
          <cell r="W1186">
            <v>117.24000000000001</v>
          </cell>
          <cell r="X1186">
            <v>0.8</v>
          </cell>
          <cell r="Y1186" t="str">
            <v>Act freight</v>
          </cell>
          <cell r="AA1186">
            <v>230</v>
          </cell>
          <cell r="AB1186">
            <v>168</v>
          </cell>
          <cell r="AC1186">
            <v>196</v>
          </cell>
          <cell r="AD1186">
            <v>216</v>
          </cell>
          <cell r="AE1186">
            <v>234.48</v>
          </cell>
          <cell r="AF1186">
            <v>0.49999999999999994</v>
          </cell>
          <cell r="AG1186">
            <v>0.65404298874104394</v>
          </cell>
          <cell r="AH1186">
            <v>270</v>
          </cell>
          <cell r="AI1186">
            <v>305</v>
          </cell>
          <cell r="AJ1186">
            <v>0.61560655737704917</v>
          </cell>
          <cell r="AK1186">
            <v>339.5</v>
          </cell>
          <cell r="AL1186">
            <v>374</v>
          </cell>
          <cell r="AM1186">
            <v>0.68652406417112299</v>
          </cell>
          <cell r="AN1186">
            <v>374</v>
          </cell>
          <cell r="AO1186">
            <v>374</v>
          </cell>
          <cell r="AP1186">
            <v>374</v>
          </cell>
          <cell r="AQ1186">
            <v>0</v>
          </cell>
          <cell r="AS1186">
            <v>374</v>
          </cell>
        </row>
        <row r="1187">
          <cell r="B1187" t="str">
            <v>SP</v>
          </cell>
          <cell r="C1187" t="str">
            <v>IMP</v>
          </cell>
          <cell r="D1187" t="str">
            <v>BT</v>
          </cell>
          <cell r="E1187" t="str">
            <v>08</v>
          </cell>
          <cell r="F1187">
            <v>39924</v>
          </cell>
          <cell r="G1187">
            <v>39924</v>
          </cell>
          <cell r="H1187" t="str">
            <v>02UL</v>
          </cell>
          <cell r="I1187" t="str">
            <v>02UL</v>
          </cell>
          <cell r="K1187" t="str">
            <v>DR-010 Drum (1050:1,000K)</v>
          </cell>
          <cell r="L1187">
            <v>568</v>
          </cell>
          <cell r="M1187">
            <v>80</v>
          </cell>
          <cell r="N1187">
            <v>83.2</v>
          </cell>
          <cell r="O1187">
            <v>0.45046235138705415</v>
          </cell>
          <cell r="P1187">
            <v>151.4</v>
          </cell>
          <cell r="Q1187">
            <v>84.8</v>
          </cell>
          <cell r="R1187">
            <v>95.82</v>
          </cell>
          <cell r="S1187">
            <v>189.25</v>
          </cell>
          <cell r="T1187">
            <v>0.56036988110964336</v>
          </cell>
          <cell r="W1187">
            <v>151.4</v>
          </cell>
          <cell r="X1187">
            <v>0.8</v>
          </cell>
          <cell r="Y1187" t="str">
            <v>Act freight</v>
          </cell>
          <cell r="AA1187">
            <v>297</v>
          </cell>
          <cell r="AB1187">
            <v>217</v>
          </cell>
          <cell r="AC1187">
            <v>253</v>
          </cell>
          <cell r="AD1187">
            <v>278</v>
          </cell>
          <cell r="AE1187">
            <v>302.8</v>
          </cell>
          <cell r="AF1187">
            <v>0.5</v>
          </cell>
          <cell r="AG1187">
            <v>0.72523117569352713</v>
          </cell>
          <cell r="AH1187">
            <v>370</v>
          </cell>
          <cell r="AI1187">
            <v>436</v>
          </cell>
          <cell r="AJ1187">
            <v>0.6527522935779817</v>
          </cell>
          <cell r="AK1187">
            <v>502</v>
          </cell>
          <cell r="AL1187">
            <v>568</v>
          </cell>
          <cell r="AM1187">
            <v>0.73345070422535219</v>
          </cell>
          <cell r="AN1187">
            <v>568</v>
          </cell>
          <cell r="AO1187">
            <v>568</v>
          </cell>
          <cell r="AP1187">
            <v>568</v>
          </cell>
          <cell r="AQ1187">
            <v>0</v>
          </cell>
          <cell r="AS1187">
            <v>568</v>
          </cell>
        </row>
        <row r="1188">
          <cell r="B1188" t="str">
            <v>SP</v>
          </cell>
          <cell r="C1188" t="str">
            <v>IMP</v>
          </cell>
          <cell r="D1188" t="str">
            <v>BT</v>
          </cell>
          <cell r="E1188" t="str">
            <v>08</v>
          </cell>
          <cell r="F1188">
            <v>39924</v>
          </cell>
          <cell r="G1188">
            <v>39924</v>
          </cell>
          <cell r="H1188" t="str">
            <v>02XK</v>
          </cell>
          <cell r="I1188" t="str">
            <v>SDKM02XK</v>
          </cell>
          <cell r="K1188" t="str">
            <v>DV-710 Developer (600/750/601/751:250K)</v>
          </cell>
          <cell r="L1188">
            <v>205</v>
          </cell>
          <cell r="M1188">
            <v>42</v>
          </cell>
          <cell r="N1188">
            <v>43.68</v>
          </cell>
          <cell r="O1188">
            <v>0.376</v>
          </cell>
          <cell r="P1188">
            <v>70</v>
          </cell>
          <cell r="Q1188">
            <v>44.52</v>
          </cell>
          <cell r="R1188">
            <v>50.31</v>
          </cell>
          <cell r="S1188">
            <v>87.5</v>
          </cell>
          <cell r="T1188">
            <v>0.50080000000000002</v>
          </cell>
          <cell r="W1188">
            <v>70</v>
          </cell>
          <cell r="X1188">
            <v>0.8</v>
          </cell>
          <cell r="Y1188" t="str">
            <v>Act freight</v>
          </cell>
          <cell r="AA1188">
            <v>137</v>
          </cell>
          <cell r="AB1188">
            <v>100</v>
          </cell>
          <cell r="AC1188">
            <v>117</v>
          </cell>
          <cell r="AD1188">
            <v>129</v>
          </cell>
          <cell r="AE1188">
            <v>140</v>
          </cell>
          <cell r="AF1188">
            <v>0.5</v>
          </cell>
          <cell r="AG1188">
            <v>0.68799999999999994</v>
          </cell>
          <cell r="AH1188">
            <v>157</v>
          </cell>
          <cell r="AI1188">
            <v>173</v>
          </cell>
          <cell r="AJ1188">
            <v>0.59537572254335258</v>
          </cell>
          <cell r="AK1188">
            <v>189</v>
          </cell>
          <cell r="AL1188">
            <v>205</v>
          </cell>
          <cell r="AM1188">
            <v>0.65853658536585369</v>
          </cell>
          <cell r="AN1188">
            <v>205</v>
          </cell>
          <cell r="AO1188">
            <v>205</v>
          </cell>
          <cell r="AP1188">
            <v>205</v>
          </cell>
          <cell r="AQ1188">
            <v>0</v>
          </cell>
          <cell r="AS1188">
            <v>205</v>
          </cell>
        </row>
        <row r="1189">
          <cell r="B1189" t="str">
            <v>SP</v>
          </cell>
          <cell r="C1189" t="str">
            <v>IMP</v>
          </cell>
          <cell r="D1189" t="str">
            <v>BT</v>
          </cell>
          <cell r="E1189" t="str">
            <v>08</v>
          </cell>
          <cell r="F1189">
            <v>39924</v>
          </cell>
          <cell r="G1189">
            <v>39924</v>
          </cell>
          <cell r="H1189" t="str">
            <v>02XL</v>
          </cell>
          <cell r="I1189" t="str">
            <v>02XL</v>
          </cell>
          <cell r="K1189" t="str">
            <v>DR-710 Drum (600/750/601/751:500K)</v>
          </cell>
          <cell r="L1189">
            <v>450</v>
          </cell>
          <cell r="M1189">
            <v>83</v>
          </cell>
          <cell r="N1189">
            <v>86.320000000000007</v>
          </cell>
          <cell r="O1189">
            <v>0.46451612903225808</v>
          </cell>
          <cell r="P1189">
            <v>161.20000000000002</v>
          </cell>
          <cell r="Q1189">
            <v>87.98</v>
          </cell>
          <cell r="R1189">
            <v>99.42</v>
          </cell>
          <cell r="S1189">
            <v>201.5</v>
          </cell>
          <cell r="T1189">
            <v>0.57161290322580638</v>
          </cell>
          <cell r="W1189">
            <v>161.20000000000002</v>
          </cell>
          <cell r="X1189">
            <v>0.8</v>
          </cell>
          <cell r="Y1189" t="str">
            <v>Act freight</v>
          </cell>
          <cell r="AA1189">
            <v>316</v>
          </cell>
          <cell r="AB1189">
            <v>231</v>
          </cell>
          <cell r="AC1189">
            <v>269</v>
          </cell>
          <cell r="AD1189">
            <v>296</v>
          </cell>
          <cell r="AE1189">
            <v>322.39999999999998</v>
          </cell>
          <cell r="AF1189">
            <v>0.49999999999999989</v>
          </cell>
          <cell r="AG1189">
            <v>0.73225806451612907</v>
          </cell>
          <cell r="AH1189">
            <v>355</v>
          </cell>
          <cell r="AI1189">
            <v>387</v>
          </cell>
          <cell r="AJ1189">
            <v>0.58346253229974154</v>
          </cell>
          <cell r="AK1189">
            <v>418.5</v>
          </cell>
          <cell r="AL1189">
            <v>450</v>
          </cell>
          <cell r="AM1189">
            <v>0.64177777777777767</v>
          </cell>
          <cell r="AN1189">
            <v>450</v>
          </cell>
          <cell r="AO1189">
            <v>450</v>
          </cell>
          <cell r="AP1189">
            <v>450</v>
          </cell>
          <cell r="AQ1189">
            <v>0</v>
          </cell>
          <cell r="AS1189">
            <v>450</v>
          </cell>
        </row>
        <row r="1190">
          <cell r="B1190" t="str">
            <v>SP</v>
          </cell>
          <cell r="C1190" t="str">
            <v>IMP</v>
          </cell>
          <cell r="D1190" t="str">
            <v>BT</v>
          </cell>
          <cell r="E1190" t="str">
            <v>08</v>
          </cell>
          <cell r="F1190">
            <v>39924</v>
          </cell>
          <cell r="G1190">
            <v>39924</v>
          </cell>
          <cell r="H1190" t="str">
            <v>A0400Y0</v>
          </cell>
          <cell r="I1190" t="str">
            <v>A0400Y0</v>
          </cell>
          <cell r="K1190" t="str">
            <v>DU-102 Drum Unit (200/150k)</v>
          </cell>
          <cell r="L1190">
            <v>395</v>
          </cell>
          <cell r="M1190">
            <v>130</v>
          </cell>
          <cell r="N1190">
            <v>135.20000000000002</v>
          </cell>
          <cell r="O1190">
            <v>0.10582010582010581</v>
          </cell>
          <cell r="P1190">
            <v>151.20000000000002</v>
          </cell>
          <cell r="Q1190">
            <v>137.80000000000001</v>
          </cell>
          <cell r="R1190">
            <v>155.71</v>
          </cell>
          <cell r="S1190">
            <v>189</v>
          </cell>
          <cell r="T1190">
            <v>0.28465608465608455</v>
          </cell>
          <cell r="W1190">
            <v>151.20000000000002</v>
          </cell>
          <cell r="X1190">
            <v>0.8</v>
          </cell>
          <cell r="Y1190" t="str">
            <v>Act freight</v>
          </cell>
          <cell r="AA1190">
            <v>296</v>
          </cell>
          <cell r="AB1190">
            <v>216</v>
          </cell>
          <cell r="AC1190">
            <v>252</v>
          </cell>
          <cell r="AD1190">
            <v>278</v>
          </cell>
          <cell r="AE1190">
            <v>302.39999999999998</v>
          </cell>
          <cell r="AF1190">
            <v>0.49999999999999989</v>
          </cell>
          <cell r="AG1190">
            <v>0.5529100529100528</v>
          </cell>
          <cell r="AH1190">
            <v>326</v>
          </cell>
          <cell r="AI1190">
            <v>349</v>
          </cell>
          <cell r="AJ1190">
            <v>0.5667621776504298</v>
          </cell>
          <cell r="AK1190">
            <v>372</v>
          </cell>
          <cell r="AL1190">
            <v>395</v>
          </cell>
          <cell r="AM1190">
            <v>0.61721518987341772</v>
          </cell>
          <cell r="AN1190">
            <v>395</v>
          </cell>
          <cell r="AO1190">
            <v>395</v>
          </cell>
          <cell r="AP1190">
            <v>395</v>
          </cell>
          <cell r="AQ1190">
            <v>0</v>
          </cell>
          <cell r="AS1190">
            <v>395</v>
          </cell>
        </row>
        <row r="1191">
          <cell r="B1191" t="str">
            <v>SP</v>
          </cell>
          <cell r="C1191" t="str">
            <v>IMP</v>
          </cell>
          <cell r="D1191" t="str">
            <v>BT</v>
          </cell>
          <cell r="E1191" t="str">
            <v>08</v>
          </cell>
          <cell r="F1191">
            <v>39924</v>
          </cell>
          <cell r="G1191">
            <v>39924</v>
          </cell>
          <cell r="H1191" t="str">
            <v>A0400Y2</v>
          </cell>
          <cell r="I1191" t="str">
            <v>A0400Y2</v>
          </cell>
          <cell r="K1191" t="str">
            <v>DU-102B Drum Unit BK (200/150k)</v>
          </cell>
          <cell r="L1191">
            <v>395</v>
          </cell>
          <cell r="M1191">
            <v>145</v>
          </cell>
          <cell r="N1191">
            <v>150.80000000000001</v>
          </cell>
          <cell r="O1191">
            <v>2.6455026455026827E-3</v>
          </cell>
          <cell r="P1191">
            <v>151.20000000000002</v>
          </cell>
          <cell r="Q1191">
            <v>153.69999999999999</v>
          </cell>
          <cell r="R1191">
            <v>173.68</v>
          </cell>
          <cell r="S1191">
            <v>189</v>
          </cell>
          <cell r="T1191">
            <v>0.20211640211640206</v>
          </cell>
          <cell r="W1191">
            <v>151.20000000000002</v>
          </cell>
          <cell r="X1191">
            <v>0.8</v>
          </cell>
          <cell r="Y1191" t="str">
            <v>Act freight</v>
          </cell>
          <cell r="AA1191">
            <v>296</v>
          </cell>
          <cell r="AB1191">
            <v>216</v>
          </cell>
          <cell r="AC1191">
            <v>252</v>
          </cell>
          <cell r="AD1191">
            <v>278</v>
          </cell>
          <cell r="AE1191">
            <v>302.39999999999998</v>
          </cell>
          <cell r="AF1191">
            <v>0.49999999999999989</v>
          </cell>
          <cell r="AG1191">
            <v>0.50132275132275128</v>
          </cell>
          <cell r="AH1191">
            <v>326</v>
          </cell>
          <cell r="AI1191">
            <v>349</v>
          </cell>
          <cell r="AJ1191">
            <v>0.5667621776504298</v>
          </cell>
          <cell r="AK1191">
            <v>372</v>
          </cell>
          <cell r="AL1191">
            <v>395</v>
          </cell>
          <cell r="AM1191">
            <v>0.61721518987341772</v>
          </cell>
          <cell r="AN1191">
            <v>395</v>
          </cell>
          <cell r="AO1191">
            <v>395</v>
          </cell>
          <cell r="AP1191">
            <v>395</v>
          </cell>
          <cell r="AQ1191">
            <v>0</v>
          </cell>
          <cell r="AS1191">
            <v>395</v>
          </cell>
        </row>
        <row r="1192">
          <cell r="B1192" t="str">
            <v>SP</v>
          </cell>
          <cell r="C1192" t="str">
            <v>IMP</v>
          </cell>
          <cell r="D1192" t="str">
            <v>BT</v>
          </cell>
          <cell r="E1192" t="str">
            <v>08</v>
          </cell>
          <cell r="F1192">
            <v>39924</v>
          </cell>
          <cell r="G1192">
            <v>39924</v>
          </cell>
          <cell r="H1192" t="str">
            <v>A0400Y4</v>
          </cell>
          <cell r="I1192" t="str">
            <v>TBD</v>
          </cell>
          <cell r="K1192" t="str">
            <v>DU-102C Drum Unit BK (200/150k)</v>
          </cell>
          <cell r="L1192">
            <v>395</v>
          </cell>
          <cell r="M1192">
            <v>130</v>
          </cell>
          <cell r="N1192">
            <v>135.20000000000002</v>
          </cell>
          <cell r="O1192">
            <v>0.10582010582010581</v>
          </cell>
          <cell r="P1192">
            <v>151.20000000000002</v>
          </cell>
          <cell r="Q1192">
            <v>137.80000000000001</v>
          </cell>
          <cell r="R1192">
            <v>155.71</v>
          </cell>
          <cell r="S1192">
            <v>189</v>
          </cell>
          <cell r="T1192">
            <v>0.28465608465608455</v>
          </cell>
          <cell r="U1192">
            <v>0</v>
          </cell>
          <cell r="V1192">
            <v>0</v>
          </cell>
          <cell r="W1192">
            <v>151.20000000000002</v>
          </cell>
          <cell r="X1192">
            <v>0.8</v>
          </cell>
          <cell r="Y1192" t="str">
            <v>Act freight</v>
          </cell>
          <cell r="AA1192">
            <v>296</v>
          </cell>
          <cell r="AB1192">
            <v>216</v>
          </cell>
          <cell r="AC1192">
            <v>252</v>
          </cell>
          <cell r="AD1192">
            <v>278</v>
          </cell>
          <cell r="AE1192">
            <v>302.39999999999998</v>
          </cell>
          <cell r="AF1192">
            <v>0.49999999999999989</v>
          </cell>
          <cell r="AG1192">
            <v>0.5529100529100528</v>
          </cell>
          <cell r="AH1192">
            <v>326</v>
          </cell>
          <cell r="AI1192">
            <v>349</v>
          </cell>
          <cell r="AJ1192">
            <v>0.5667621776504298</v>
          </cell>
          <cell r="AK1192">
            <v>372</v>
          </cell>
          <cell r="AL1192">
            <v>395</v>
          </cell>
          <cell r="AM1192">
            <v>0.61721518987341772</v>
          </cell>
          <cell r="AN1192">
            <v>395</v>
          </cell>
          <cell r="AO1192">
            <v>395</v>
          </cell>
          <cell r="AP1192">
            <v>395</v>
          </cell>
          <cell r="AQ1192">
            <v>0</v>
          </cell>
          <cell r="AS1192">
            <v>395</v>
          </cell>
        </row>
        <row r="1193">
          <cell r="B1193" t="str">
            <v>SP</v>
          </cell>
          <cell r="C1193" t="str">
            <v>IMP</v>
          </cell>
          <cell r="D1193" t="str">
            <v>BT</v>
          </cell>
          <cell r="E1193" t="str">
            <v>08</v>
          </cell>
          <cell r="F1193">
            <v>39924</v>
          </cell>
          <cell r="G1193">
            <v>39924</v>
          </cell>
          <cell r="H1193" t="str">
            <v>A04P600</v>
          </cell>
          <cell r="I1193" t="str">
            <v>A04P600</v>
          </cell>
          <cell r="K1193" t="str">
            <v>DV-610K Developer BK (C6500:200K, C5500150K)</v>
          </cell>
          <cell r="L1193">
            <v>108</v>
          </cell>
          <cell r="M1193">
            <v>32</v>
          </cell>
          <cell r="N1193">
            <v>33.28</v>
          </cell>
          <cell r="O1193">
            <v>0.13603322949117347</v>
          </cell>
          <cell r="P1193">
            <v>38.520000000000003</v>
          </cell>
          <cell r="Q1193">
            <v>33.92</v>
          </cell>
          <cell r="R1193">
            <v>38.33</v>
          </cell>
          <cell r="S1193">
            <v>48.15</v>
          </cell>
          <cell r="T1193">
            <v>0.30882658359293869</v>
          </cell>
          <cell r="W1193">
            <v>38.520000000000003</v>
          </cell>
          <cell r="X1193">
            <v>0.8</v>
          </cell>
          <cell r="Y1193" t="str">
            <v>Act freight</v>
          </cell>
          <cell r="AA1193">
            <v>75</v>
          </cell>
          <cell r="AB1193">
            <v>56</v>
          </cell>
          <cell r="AC1193">
            <v>65</v>
          </cell>
          <cell r="AD1193">
            <v>72</v>
          </cell>
          <cell r="AE1193">
            <v>77.040000000000006</v>
          </cell>
          <cell r="AF1193">
            <v>0.5</v>
          </cell>
          <cell r="AG1193">
            <v>0.56801661474558673</v>
          </cell>
          <cell r="AH1193">
            <v>86</v>
          </cell>
          <cell r="AI1193">
            <v>93</v>
          </cell>
          <cell r="AJ1193">
            <v>0.58580645161290323</v>
          </cell>
          <cell r="AK1193">
            <v>100.5</v>
          </cell>
          <cell r="AL1193">
            <v>108</v>
          </cell>
          <cell r="AM1193">
            <v>0.6433333333333332</v>
          </cell>
          <cell r="AN1193">
            <v>108</v>
          </cell>
          <cell r="AO1193">
            <v>108</v>
          </cell>
          <cell r="AP1193">
            <v>108</v>
          </cell>
          <cell r="AQ1193">
            <v>0</v>
          </cell>
          <cell r="AS1193">
            <v>108</v>
          </cell>
        </row>
        <row r="1194">
          <cell r="B1194" t="str">
            <v>SP</v>
          </cell>
          <cell r="C1194" t="str">
            <v>IMP</v>
          </cell>
          <cell r="D1194" t="str">
            <v>BT</v>
          </cell>
          <cell r="E1194" t="str">
            <v>08</v>
          </cell>
          <cell r="F1194">
            <v>39924</v>
          </cell>
          <cell r="G1194">
            <v>39924</v>
          </cell>
          <cell r="H1194" t="str">
            <v>A04P700</v>
          </cell>
          <cell r="I1194" t="str">
            <v>A04P700</v>
          </cell>
          <cell r="K1194" t="str">
            <v>DV-610Y Developer Y (C6500:200K, C5500150K)</v>
          </cell>
          <cell r="L1194">
            <v>325</v>
          </cell>
          <cell r="M1194">
            <v>78</v>
          </cell>
          <cell r="N1194">
            <v>81.12</v>
          </cell>
          <cell r="O1194">
            <v>0.13333333333333336</v>
          </cell>
          <cell r="P1194">
            <v>93.600000000000009</v>
          </cell>
          <cell r="Q1194">
            <v>82.68</v>
          </cell>
          <cell r="R1194">
            <v>93.43</v>
          </cell>
          <cell r="S1194">
            <v>117</v>
          </cell>
          <cell r="T1194">
            <v>0.30666666666666664</v>
          </cell>
          <cell r="W1194">
            <v>93.600000000000009</v>
          </cell>
          <cell r="X1194">
            <v>0.8</v>
          </cell>
          <cell r="Y1194" t="str">
            <v>Act freight</v>
          </cell>
          <cell r="AA1194">
            <v>183</v>
          </cell>
          <cell r="AB1194">
            <v>134</v>
          </cell>
          <cell r="AC1194">
            <v>156</v>
          </cell>
          <cell r="AD1194">
            <v>172</v>
          </cell>
          <cell r="AE1194">
            <v>187.2</v>
          </cell>
          <cell r="AF1194">
            <v>0.49999999999999994</v>
          </cell>
          <cell r="AG1194">
            <v>0.56666666666666665</v>
          </cell>
          <cell r="AH1194">
            <v>223</v>
          </cell>
          <cell r="AI1194">
            <v>257</v>
          </cell>
          <cell r="AJ1194">
            <v>0.63579766536964977</v>
          </cell>
          <cell r="AK1194">
            <v>291</v>
          </cell>
          <cell r="AL1194">
            <v>325</v>
          </cell>
          <cell r="AM1194">
            <v>0.71199999999999997</v>
          </cell>
          <cell r="AN1194">
            <v>325</v>
          </cell>
          <cell r="AO1194">
            <v>325</v>
          </cell>
          <cell r="AP1194">
            <v>325</v>
          </cell>
          <cell r="AQ1194">
            <v>0</v>
          </cell>
          <cell r="AS1194">
            <v>325</v>
          </cell>
        </row>
        <row r="1195">
          <cell r="B1195" t="str">
            <v>SP</v>
          </cell>
          <cell r="C1195" t="str">
            <v>IMP</v>
          </cell>
          <cell r="D1195" t="str">
            <v>BT</v>
          </cell>
          <cell r="E1195" t="str">
            <v>08</v>
          </cell>
          <cell r="F1195">
            <v>39924</v>
          </cell>
          <cell r="G1195">
            <v>39924</v>
          </cell>
          <cell r="H1195" t="str">
            <v>A04P800</v>
          </cell>
          <cell r="I1195" t="str">
            <v>A04P800</v>
          </cell>
          <cell r="K1195" t="str">
            <v>DV-610M Developer M (C6500:200K, C5500150K)</v>
          </cell>
          <cell r="L1195">
            <v>325</v>
          </cell>
          <cell r="M1195">
            <v>78</v>
          </cell>
          <cell r="N1195">
            <v>81.12</v>
          </cell>
          <cell r="O1195">
            <v>0.13333333333333336</v>
          </cell>
          <cell r="P1195">
            <v>93.600000000000009</v>
          </cell>
          <cell r="Q1195">
            <v>82.68</v>
          </cell>
          <cell r="R1195">
            <v>93.43</v>
          </cell>
          <cell r="S1195">
            <v>117</v>
          </cell>
          <cell r="T1195">
            <v>0.30666666666666664</v>
          </cell>
          <cell r="W1195">
            <v>93.600000000000009</v>
          </cell>
          <cell r="X1195">
            <v>0.8</v>
          </cell>
          <cell r="Y1195" t="str">
            <v>Act freight</v>
          </cell>
          <cell r="AA1195">
            <v>183</v>
          </cell>
          <cell r="AB1195">
            <v>134</v>
          </cell>
          <cell r="AC1195">
            <v>156</v>
          </cell>
          <cell r="AD1195">
            <v>172</v>
          </cell>
          <cell r="AE1195">
            <v>187.2</v>
          </cell>
          <cell r="AF1195">
            <v>0.49999999999999994</v>
          </cell>
          <cell r="AG1195">
            <v>0.56666666666666665</v>
          </cell>
          <cell r="AH1195">
            <v>223</v>
          </cell>
          <cell r="AI1195">
            <v>257</v>
          </cell>
          <cell r="AJ1195">
            <v>0.63579766536964977</v>
          </cell>
          <cell r="AK1195">
            <v>291</v>
          </cell>
          <cell r="AL1195">
            <v>325</v>
          </cell>
          <cell r="AM1195">
            <v>0.71199999999999997</v>
          </cell>
          <cell r="AN1195">
            <v>325</v>
          </cell>
          <cell r="AO1195">
            <v>325</v>
          </cell>
          <cell r="AP1195">
            <v>325</v>
          </cell>
          <cell r="AQ1195">
            <v>0</v>
          </cell>
          <cell r="AS1195">
            <v>325</v>
          </cell>
        </row>
        <row r="1196">
          <cell r="B1196" t="str">
            <v>SP</v>
          </cell>
          <cell r="C1196" t="str">
            <v>IMP</v>
          </cell>
          <cell r="D1196" t="str">
            <v>BT</v>
          </cell>
          <cell r="E1196" t="str">
            <v>08</v>
          </cell>
          <cell r="F1196">
            <v>39924</v>
          </cell>
          <cell r="G1196">
            <v>39924</v>
          </cell>
          <cell r="H1196" t="str">
            <v>A04P900</v>
          </cell>
          <cell r="I1196" t="str">
            <v>A04P900</v>
          </cell>
          <cell r="K1196" t="str">
            <v>DV-610C Developer C (C6500:200K, C5500150K)</v>
          </cell>
          <cell r="L1196">
            <v>325</v>
          </cell>
          <cell r="M1196">
            <v>78</v>
          </cell>
          <cell r="N1196">
            <v>81.12</v>
          </cell>
          <cell r="O1196">
            <v>0.13333333333333336</v>
          </cell>
          <cell r="P1196">
            <v>93.600000000000009</v>
          </cell>
          <cell r="Q1196">
            <v>82.68</v>
          </cell>
          <cell r="R1196">
            <v>93.43</v>
          </cell>
          <cell r="S1196">
            <v>117</v>
          </cell>
          <cell r="T1196">
            <v>0.30666666666666664</v>
          </cell>
          <cell r="W1196">
            <v>93.600000000000009</v>
          </cell>
          <cell r="X1196">
            <v>0.8</v>
          </cell>
          <cell r="Y1196" t="str">
            <v>Act freight</v>
          </cell>
          <cell r="AA1196">
            <v>183</v>
          </cell>
          <cell r="AB1196">
            <v>134</v>
          </cell>
          <cell r="AC1196">
            <v>156</v>
          </cell>
          <cell r="AD1196">
            <v>172</v>
          </cell>
          <cell r="AE1196">
            <v>187.2</v>
          </cell>
          <cell r="AF1196">
            <v>0.49999999999999994</v>
          </cell>
          <cell r="AG1196">
            <v>0.56666666666666665</v>
          </cell>
          <cell r="AH1196">
            <v>223</v>
          </cell>
          <cell r="AI1196">
            <v>257</v>
          </cell>
          <cell r="AJ1196">
            <v>0.63579766536964977</v>
          </cell>
          <cell r="AK1196">
            <v>291</v>
          </cell>
          <cell r="AL1196">
            <v>325</v>
          </cell>
          <cell r="AM1196">
            <v>0.71199999999999997</v>
          </cell>
          <cell r="AN1196">
            <v>325</v>
          </cell>
          <cell r="AO1196">
            <v>325</v>
          </cell>
          <cell r="AP1196">
            <v>325</v>
          </cell>
          <cell r="AQ1196">
            <v>0</v>
          </cell>
          <cell r="AS1196">
            <v>325</v>
          </cell>
        </row>
        <row r="1197">
          <cell r="B1197" t="str">
            <v>SP</v>
          </cell>
          <cell r="C1197" t="str">
            <v>IMP</v>
          </cell>
          <cell r="D1197" t="str">
            <v>BT</v>
          </cell>
          <cell r="E1197" t="str">
            <v>08</v>
          </cell>
          <cell r="F1197">
            <v>39924</v>
          </cell>
          <cell r="G1197">
            <v>39924</v>
          </cell>
          <cell r="H1197" t="str">
            <v>A06003F</v>
          </cell>
          <cell r="I1197" t="str">
            <v>A06003F</v>
          </cell>
          <cell r="K1197" t="str">
            <v>IU-610K Imaging Unit K (300K)</v>
          </cell>
          <cell r="L1197">
            <v>500</v>
          </cell>
          <cell r="M1197">
            <v>171</v>
          </cell>
          <cell r="N1197">
            <v>177.84</v>
          </cell>
          <cell r="O1197">
            <v>0</v>
          </cell>
          <cell r="P1197">
            <v>177.84</v>
          </cell>
          <cell r="Q1197">
            <v>181.26</v>
          </cell>
          <cell r="R1197">
            <v>204.82</v>
          </cell>
          <cell r="S1197">
            <v>220</v>
          </cell>
          <cell r="T1197">
            <v>0.19163636363636363</v>
          </cell>
          <cell r="U1197">
            <v>6265</v>
          </cell>
          <cell r="V1197">
            <v>0.33848363926576208</v>
          </cell>
          <cell r="W1197">
            <v>177.84</v>
          </cell>
          <cell r="X1197">
            <v>0.8083636363636364</v>
          </cell>
          <cell r="Y1197" t="str">
            <v>Act freight</v>
          </cell>
          <cell r="AA1197">
            <v>349</v>
          </cell>
          <cell r="AB1197">
            <v>255</v>
          </cell>
          <cell r="AC1197">
            <v>297</v>
          </cell>
          <cell r="AD1197">
            <v>327</v>
          </cell>
          <cell r="AE1197">
            <v>355.68</v>
          </cell>
          <cell r="AF1197">
            <v>0.5</v>
          </cell>
          <cell r="AG1197">
            <v>0.5</v>
          </cell>
          <cell r="AH1197">
            <v>392</v>
          </cell>
          <cell r="AI1197">
            <v>428</v>
          </cell>
          <cell r="AJ1197">
            <v>0.58448598130841123</v>
          </cell>
          <cell r="AK1197">
            <v>464</v>
          </cell>
          <cell r="AL1197">
            <v>500</v>
          </cell>
          <cell r="AM1197">
            <v>0.64431999999999989</v>
          </cell>
          <cell r="AN1197">
            <v>500</v>
          </cell>
          <cell r="AO1197">
            <v>500</v>
          </cell>
          <cell r="AP1197">
            <v>500</v>
          </cell>
          <cell r="AQ1197">
            <v>0</v>
          </cell>
          <cell r="AS1197">
            <v>500</v>
          </cell>
        </row>
        <row r="1198">
          <cell r="B1198" t="str">
            <v>SP</v>
          </cell>
          <cell r="C1198" t="str">
            <v>IMP</v>
          </cell>
          <cell r="D1198" t="str">
            <v>BT</v>
          </cell>
          <cell r="E1198" t="str">
            <v>08</v>
          </cell>
          <cell r="F1198">
            <v>39924</v>
          </cell>
          <cell r="G1198">
            <v>39924</v>
          </cell>
          <cell r="H1198" t="str">
            <v>A06007F</v>
          </cell>
          <cell r="I1198" t="str">
            <v>A06007F</v>
          </cell>
          <cell r="K1198" t="str">
            <v>IU-610Y Imaging Unit Y (100K)</v>
          </cell>
          <cell r="L1198">
            <v>860</v>
          </cell>
          <cell r="M1198">
            <v>183</v>
          </cell>
          <cell r="N1198">
            <v>190.32</v>
          </cell>
          <cell r="O1198">
            <v>0.35702702702702704</v>
          </cell>
          <cell r="P1198">
            <v>296</v>
          </cell>
          <cell r="Q1198">
            <v>193.98</v>
          </cell>
          <cell r="R1198">
            <v>219.2</v>
          </cell>
          <cell r="S1198">
            <v>370</v>
          </cell>
          <cell r="T1198">
            <v>0.48562162162162165</v>
          </cell>
          <cell r="U1198">
            <v>0</v>
          </cell>
          <cell r="V1198">
            <v>0</v>
          </cell>
          <cell r="W1198">
            <v>296</v>
          </cell>
          <cell r="X1198">
            <v>0.8</v>
          </cell>
          <cell r="Y1198" t="str">
            <v>Act freight</v>
          </cell>
          <cell r="AA1198">
            <v>580</v>
          </cell>
          <cell r="AB1198">
            <v>423</v>
          </cell>
          <cell r="AC1198">
            <v>494</v>
          </cell>
          <cell r="AD1198">
            <v>543</v>
          </cell>
          <cell r="AE1198">
            <v>592</v>
          </cell>
          <cell r="AF1198">
            <v>0.5</v>
          </cell>
          <cell r="AG1198">
            <v>0.67851351351351352</v>
          </cell>
          <cell r="AH1198">
            <v>659</v>
          </cell>
          <cell r="AI1198">
            <v>726</v>
          </cell>
          <cell r="AJ1198">
            <v>0.59228650137741046</v>
          </cell>
          <cell r="AK1198">
            <v>793</v>
          </cell>
          <cell r="AL1198">
            <v>860</v>
          </cell>
          <cell r="AM1198">
            <v>0.65581395348837213</v>
          </cell>
          <cell r="AN1198">
            <v>860</v>
          </cell>
          <cell r="AO1198">
            <v>860</v>
          </cell>
          <cell r="AP1198">
            <v>860</v>
          </cell>
          <cell r="AQ1198">
            <v>0</v>
          </cell>
          <cell r="AS1198">
            <v>860</v>
          </cell>
        </row>
        <row r="1199">
          <cell r="B1199" t="str">
            <v>SP</v>
          </cell>
          <cell r="C1199" t="str">
            <v>IMP</v>
          </cell>
          <cell r="D1199" t="str">
            <v>BT</v>
          </cell>
          <cell r="E1199" t="str">
            <v>08</v>
          </cell>
          <cell r="F1199">
            <v>39924</v>
          </cell>
          <cell r="G1199">
            <v>39924</v>
          </cell>
          <cell r="H1199" t="str">
            <v>A0600DF</v>
          </cell>
          <cell r="I1199" t="str">
            <v>A0600DF</v>
          </cell>
          <cell r="K1199" t="str">
            <v>IU-610M Imaging Unit M (100K)</v>
          </cell>
          <cell r="L1199">
            <v>860</v>
          </cell>
          <cell r="M1199">
            <v>183</v>
          </cell>
          <cell r="N1199">
            <v>190.32</v>
          </cell>
          <cell r="O1199">
            <v>0.35702702702702704</v>
          </cell>
          <cell r="P1199">
            <v>296</v>
          </cell>
          <cell r="Q1199">
            <v>193.98</v>
          </cell>
          <cell r="R1199">
            <v>219.2</v>
          </cell>
          <cell r="S1199">
            <v>370</v>
          </cell>
          <cell r="T1199">
            <v>0.48562162162162165</v>
          </cell>
          <cell r="W1199">
            <v>296</v>
          </cell>
          <cell r="X1199">
            <v>0.8</v>
          </cell>
          <cell r="Y1199" t="str">
            <v>Act freight</v>
          </cell>
          <cell r="AA1199">
            <v>580</v>
          </cell>
          <cell r="AB1199">
            <v>423</v>
          </cell>
          <cell r="AC1199">
            <v>494</v>
          </cell>
          <cell r="AD1199">
            <v>543</v>
          </cell>
          <cell r="AE1199">
            <v>592</v>
          </cell>
          <cell r="AF1199">
            <v>0.5</v>
          </cell>
          <cell r="AG1199">
            <v>0.67851351351351352</v>
          </cell>
          <cell r="AH1199">
            <v>659</v>
          </cell>
          <cell r="AI1199">
            <v>726</v>
          </cell>
          <cell r="AJ1199">
            <v>0.59228650137741046</v>
          </cell>
          <cell r="AK1199">
            <v>793</v>
          </cell>
          <cell r="AL1199">
            <v>860</v>
          </cell>
          <cell r="AM1199">
            <v>0.65581395348837213</v>
          </cell>
          <cell r="AN1199">
            <v>860</v>
          </cell>
          <cell r="AO1199">
            <v>860</v>
          </cell>
          <cell r="AP1199">
            <v>860</v>
          </cell>
          <cell r="AQ1199">
            <v>0</v>
          </cell>
          <cell r="AS1199">
            <v>860</v>
          </cell>
        </row>
        <row r="1200">
          <cell r="B1200" t="str">
            <v>SP</v>
          </cell>
          <cell r="C1200" t="str">
            <v>IMP</v>
          </cell>
          <cell r="D1200" t="str">
            <v>BT</v>
          </cell>
          <cell r="E1200" t="str">
            <v>08</v>
          </cell>
          <cell r="F1200">
            <v>39924</v>
          </cell>
          <cell r="G1200">
            <v>39924</v>
          </cell>
          <cell r="H1200" t="str">
            <v>A0600JF</v>
          </cell>
          <cell r="I1200" t="str">
            <v>A0600JF</v>
          </cell>
          <cell r="K1200" t="str">
            <v>IU-610C Imaging Unit C (100K)</v>
          </cell>
          <cell r="L1200">
            <v>860</v>
          </cell>
          <cell r="M1200">
            <v>183</v>
          </cell>
          <cell r="N1200">
            <v>190.32</v>
          </cell>
          <cell r="O1200">
            <v>0.35702702702702704</v>
          </cell>
          <cell r="P1200">
            <v>296</v>
          </cell>
          <cell r="Q1200">
            <v>193.98</v>
          </cell>
          <cell r="R1200">
            <v>219.2</v>
          </cell>
          <cell r="S1200">
            <v>370</v>
          </cell>
          <cell r="T1200">
            <v>0.48562162162162165</v>
          </cell>
          <cell r="W1200">
            <v>296</v>
          </cell>
          <cell r="X1200">
            <v>0.8</v>
          </cell>
          <cell r="Y1200" t="str">
            <v>Act freight</v>
          </cell>
          <cell r="AA1200">
            <v>580</v>
          </cell>
          <cell r="AB1200">
            <v>423</v>
          </cell>
          <cell r="AC1200">
            <v>494</v>
          </cell>
          <cell r="AD1200">
            <v>543</v>
          </cell>
          <cell r="AE1200">
            <v>592</v>
          </cell>
          <cell r="AF1200">
            <v>0.5</v>
          </cell>
          <cell r="AG1200">
            <v>0.67851351351351352</v>
          </cell>
          <cell r="AH1200">
            <v>659</v>
          </cell>
          <cell r="AI1200">
            <v>726</v>
          </cell>
          <cell r="AJ1200">
            <v>0.59228650137741046</v>
          </cell>
          <cell r="AK1200">
            <v>793</v>
          </cell>
          <cell r="AL1200">
            <v>860</v>
          </cell>
          <cell r="AM1200">
            <v>0.65581395348837213</v>
          </cell>
          <cell r="AN1200">
            <v>860</v>
          </cell>
          <cell r="AO1200">
            <v>860</v>
          </cell>
          <cell r="AP1200">
            <v>860</v>
          </cell>
          <cell r="AQ1200">
            <v>0</v>
          </cell>
          <cell r="AS1200">
            <v>860</v>
          </cell>
        </row>
        <row r="1201">
          <cell r="B1201" t="str">
            <v>SP</v>
          </cell>
          <cell r="C1201" t="str">
            <v>IMP</v>
          </cell>
          <cell r="D1201" t="str">
            <v>BT</v>
          </cell>
          <cell r="E1201" t="str">
            <v>08</v>
          </cell>
          <cell r="F1201">
            <v>39924</v>
          </cell>
          <cell r="G1201">
            <v>39924</v>
          </cell>
          <cell r="H1201" t="str">
            <v>A0DE01F</v>
          </cell>
          <cell r="I1201" t="str">
            <v>A0DE01F</v>
          </cell>
          <cell r="K1201" t="str">
            <v>IU-212K (60K)</v>
          </cell>
          <cell r="L1201">
            <v>200</v>
          </cell>
          <cell r="M1201">
            <v>85.3</v>
          </cell>
          <cell r="N1201">
            <v>88.712000000000003</v>
          </cell>
          <cell r="O1201">
            <v>0</v>
          </cell>
          <cell r="P1201">
            <v>88.712000000000003</v>
          </cell>
          <cell r="Q1201">
            <v>90.42</v>
          </cell>
          <cell r="R1201">
            <v>102.17</v>
          </cell>
          <cell r="S1201">
            <v>105</v>
          </cell>
          <cell r="T1201">
            <v>0.1551238095238095</v>
          </cell>
          <cell r="W1201">
            <v>88.712000000000003</v>
          </cell>
          <cell r="X1201">
            <v>0.84487619047619056</v>
          </cell>
          <cell r="Y1201" t="str">
            <v>Act freight</v>
          </cell>
          <cell r="AA1201">
            <v>174</v>
          </cell>
          <cell r="AB1201">
            <v>127</v>
          </cell>
          <cell r="AC1201">
            <v>148</v>
          </cell>
          <cell r="AD1201">
            <v>163</v>
          </cell>
          <cell r="AE1201">
            <v>177.42</v>
          </cell>
          <cell r="AF1201">
            <v>0.49998872731371879</v>
          </cell>
          <cell r="AG1201">
            <v>0.49998872731371879</v>
          </cell>
          <cell r="AH1201">
            <v>184</v>
          </cell>
          <cell r="AI1201">
            <v>189</v>
          </cell>
          <cell r="AJ1201">
            <v>0.53062433862433855</v>
          </cell>
          <cell r="AK1201">
            <v>194.5</v>
          </cell>
          <cell r="AL1201">
            <v>200</v>
          </cell>
          <cell r="AM1201">
            <v>0.55643999999999993</v>
          </cell>
          <cell r="AN1201">
            <v>200</v>
          </cell>
          <cell r="AO1201">
            <v>200</v>
          </cell>
          <cell r="AP1201">
            <v>200</v>
          </cell>
          <cell r="AQ1201">
            <v>0</v>
          </cell>
          <cell r="AS1201">
            <v>200</v>
          </cell>
        </row>
        <row r="1202">
          <cell r="B1202" t="str">
            <v>SP</v>
          </cell>
          <cell r="C1202" t="str">
            <v>IMP</v>
          </cell>
          <cell r="D1202" t="str">
            <v>BT</v>
          </cell>
          <cell r="E1202" t="str">
            <v>08</v>
          </cell>
          <cell r="F1202">
            <v>39924</v>
          </cell>
          <cell r="G1202">
            <v>39924</v>
          </cell>
          <cell r="H1202" t="str">
            <v>A0DE02F</v>
          </cell>
          <cell r="I1202" t="str">
            <v>A0DE02F</v>
          </cell>
          <cell r="K1202" t="str">
            <v>IU-211K (C253:100K, C203:70K)</v>
          </cell>
          <cell r="L1202">
            <v>200</v>
          </cell>
          <cell r="M1202">
            <v>93.3</v>
          </cell>
          <cell r="N1202">
            <v>97.031999999999996</v>
          </cell>
          <cell r="O1202">
            <v>0</v>
          </cell>
          <cell r="P1202">
            <v>97.031999999999996</v>
          </cell>
          <cell r="Q1202">
            <v>98.9</v>
          </cell>
          <cell r="R1202">
            <v>111.76</v>
          </cell>
          <cell r="S1202">
            <v>105</v>
          </cell>
          <cell r="T1202">
            <v>7.588571428571432E-2</v>
          </cell>
          <cell r="W1202">
            <v>97.031999999999996</v>
          </cell>
          <cell r="X1202">
            <v>0.92411428571428567</v>
          </cell>
          <cell r="Y1202" t="str">
            <v>Act freight</v>
          </cell>
          <cell r="AA1202">
            <v>190</v>
          </cell>
          <cell r="AB1202">
            <v>139</v>
          </cell>
          <cell r="AC1202">
            <v>162</v>
          </cell>
          <cell r="AD1202">
            <v>179</v>
          </cell>
          <cell r="AE1202">
            <v>194.06</v>
          </cell>
          <cell r="AF1202">
            <v>0.49998969390910031</v>
          </cell>
          <cell r="AG1202">
            <v>0.49998969390910031</v>
          </cell>
          <cell r="AH1202">
            <v>197</v>
          </cell>
          <cell r="AI1202">
            <v>198</v>
          </cell>
          <cell r="AJ1202">
            <v>0.50993939393939391</v>
          </cell>
          <cell r="AK1202">
            <v>199</v>
          </cell>
          <cell r="AL1202">
            <v>200</v>
          </cell>
          <cell r="AM1202">
            <v>0.51483999999999996</v>
          </cell>
          <cell r="AN1202">
            <v>200</v>
          </cell>
          <cell r="AO1202">
            <v>200</v>
          </cell>
          <cell r="AP1202">
            <v>200</v>
          </cell>
          <cell r="AQ1202">
            <v>0</v>
          </cell>
          <cell r="AS1202">
            <v>200</v>
          </cell>
        </row>
        <row r="1203">
          <cell r="B1203" t="str">
            <v>SP</v>
          </cell>
          <cell r="C1203" t="str">
            <v>IMP</v>
          </cell>
          <cell r="D1203" t="str">
            <v>BT</v>
          </cell>
          <cell r="E1203" t="str">
            <v>08</v>
          </cell>
          <cell r="F1203">
            <v>39924</v>
          </cell>
          <cell r="G1203">
            <v>39924</v>
          </cell>
          <cell r="H1203" t="str">
            <v>A0DE03F</v>
          </cell>
          <cell r="I1203" t="str">
            <v>A0DE03F</v>
          </cell>
          <cell r="K1203" t="str">
            <v>IU-313K (C353:120K)</v>
          </cell>
          <cell r="L1203">
            <v>200</v>
          </cell>
          <cell r="M1203">
            <v>90.78</v>
          </cell>
          <cell r="N1203">
            <v>94.411200000000008</v>
          </cell>
          <cell r="O1203">
            <v>0</v>
          </cell>
          <cell r="P1203">
            <v>94.411200000000008</v>
          </cell>
          <cell r="Q1203">
            <v>96.23</v>
          </cell>
          <cell r="R1203">
            <v>108.74</v>
          </cell>
          <cell r="S1203">
            <v>105</v>
          </cell>
          <cell r="T1203">
            <v>0.10084571428571421</v>
          </cell>
          <cell r="W1203">
            <v>94.411200000000008</v>
          </cell>
          <cell r="X1203">
            <v>0.89915428571428579</v>
          </cell>
          <cell r="Y1203" t="str">
            <v>Act freight</v>
          </cell>
          <cell r="AA1203">
            <v>185</v>
          </cell>
          <cell r="AB1203">
            <v>135</v>
          </cell>
          <cell r="AC1203">
            <v>158</v>
          </cell>
          <cell r="AD1203">
            <v>174</v>
          </cell>
          <cell r="AE1203">
            <v>188.82</v>
          </cell>
          <cell r="AF1203">
            <v>0.49999364474102315</v>
          </cell>
          <cell r="AG1203">
            <v>0.49999364474102315</v>
          </cell>
          <cell r="AH1203">
            <v>192</v>
          </cell>
          <cell r="AI1203">
            <v>195</v>
          </cell>
          <cell r="AJ1203">
            <v>0.51583999999999997</v>
          </cell>
          <cell r="AK1203">
            <v>197.5</v>
          </cell>
          <cell r="AL1203">
            <v>200</v>
          </cell>
          <cell r="AM1203">
            <v>0.52794399999999997</v>
          </cell>
          <cell r="AN1203">
            <v>200</v>
          </cell>
          <cell r="AO1203">
            <v>200</v>
          </cell>
          <cell r="AP1203">
            <v>200</v>
          </cell>
          <cell r="AQ1203">
            <v>0</v>
          </cell>
          <cell r="AS1203">
            <v>200</v>
          </cell>
        </row>
        <row r="1204">
          <cell r="B1204" t="str">
            <v>SP</v>
          </cell>
          <cell r="C1204" t="str">
            <v>IMP</v>
          </cell>
          <cell r="D1204" t="str">
            <v>BT</v>
          </cell>
          <cell r="E1204" t="str">
            <v>08</v>
          </cell>
          <cell r="F1204">
            <v>39924</v>
          </cell>
          <cell r="G1204">
            <v>39924</v>
          </cell>
          <cell r="H1204" t="str">
            <v>A0DE05F</v>
          </cell>
          <cell r="I1204" t="str">
            <v>A0DE05F</v>
          </cell>
          <cell r="K1204" t="str">
            <v>IU-212Y (45K)</v>
          </cell>
          <cell r="L1204">
            <v>702</v>
          </cell>
          <cell r="M1204">
            <v>184</v>
          </cell>
          <cell r="N1204">
            <v>191.36</v>
          </cell>
          <cell r="O1204">
            <v>0.31851851851851848</v>
          </cell>
          <cell r="P1204">
            <v>280.8</v>
          </cell>
          <cell r="Q1204">
            <v>195.04</v>
          </cell>
          <cell r="R1204">
            <v>220.4</v>
          </cell>
          <cell r="S1204">
            <v>351</v>
          </cell>
          <cell r="T1204">
            <v>0.45481481481481478</v>
          </cell>
          <cell r="W1204">
            <v>280.8</v>
          </cell>
          <cell r="X1204">
            <v>0.8</v>
          </cell>
          <cell r="Y1204" t="str">
            <v>Act freight</v>
          </cell>
          <cell r="AA1204">
            <v>550</v>
          </cell>
          <cell r="AB1204">
            <v>402</v>
          </cell>
          <cell r="AC1204">
            <v>468</v>
          </cell>
          <cell r="AD1204">
            <v>515</v>
          </cell>
          <cell r="AE1204">
            <v>561.6</v>
          </cell>
          <cell r="AF1204">
            <v>0.5</v>
          </cell>
          <cell r="AG1204">
            <v>0.65925925925925921</v>
          </cell>
          <cell r="AH1204">
            <v>597</v>
          </cell>
          <cell r="AI1204">
            <v>632</v>
          </cell>
          <cell r="AJ1204">
            <v>0.55569620253164553</v>
          </cell>
          <cell r="AK1204">
            <v>667</v>
          </cell>
          <cell r="AL1204">
            <v>702</v>
          </cell>
          <cell r="AM1204">
            <v>0.6</v>
          </cell>
          <cell r="AN1204">
            <v>702</v>
          </cell>
          <cell r="AO1204">
            <v>702</v>
          </cell>
          <cell r="AP1204">
            <v>702</v>
          </cell>
          <cell r="AQ1204">
            <v>0</v>
          </cell>
          <cell r="AS1204">
            <v>702</v>
          </cell>
        </row>
        <row r="1205">
          <cell r="B1205" t="str">
            <v>SP</v>
          </cell>
          <cell r="C1205" t="str">
            <v>IMP</v>
          </cell>
          <cell r="D1205" t="str">
            <v>BT</v>
          </cell>
          <cell r="E1205" t="str">
            <v>08</v>
          </cell>
          <cell r="F1205">
            <v>39924</v>
          </cell>
          <cell r="G1205">
            <v>39924</v>
          </cell>
          <cell r="H1205" t="str">
            <v>A0DE06F</v>
          </cell>
          <cell r="I1205" t="str">
            <v>A0DE06F</v>
          </cell>
          <cell r="K1205" t="str">
            <v>IU-211Y (C253:75K, C203:55K)</v>
          </cell>
          <cell r="L1205">
            <v>825</v>
          </cell>
          <cell r="M1205">
            <v>195.56</v>
          </cell>
          <cell r="N1205">
            <v>203.38240000000002</v>
          </cell>
          <cell r="O1205">
            <v>0.3799317073170731</v>
          </cell>
          <cell r="P1205">
            <v>328</v>
          </cell>
          <cell r="Q1205">
            <v>207.29</v>
          </cell>
          <cell r="R1205">
            <v>234.24</v>
          </cell>
          <cell r="S1205">
            <v>410</v>
          </cell>
          <cell r="T1205">
            <v>0.50394536585365846</v>
          </cell>
          <cell r="W1205">
            <v>328</v>
          </cell>
          <cell r="X1205">
            <v>0.8</v>
          </cell>
          <cell r="Y1205" t="str">
            <v>Act freight</v>
          </cell>
          <cell r="AA1205">
            <v>643</v>
          </cell>
          <cell r="AB1205">
            <v>469</v>
          </cell>
          <cell r="AC1205">
            <v>547</v>
          </cell>
          <cell r="AD1205">
            <v>602</v>
          </cell>
          <cell r="AE1205">
            <v>656</v>
          </cell>
          <cell r="AF1205">
            <v>0.5</v>
          </cell>
          <cell r="AG1205">
            <v>0.68996585365853658</v>
          </cell>
          <cell r="AH1205">
            <v>699</v>
          </cell>
          <cell r="AI1205">
            <v>741</v>
          </cell>
          <cell r="AJ1205">
            <v>0.55735492577597845</v>
          </cell>
          <cell r="AK1205">
            <v>783</v>
          </cell>
          <cell r="AL1205">
            <v>825</v>
          </cell>
          <cell r="AM1205">
            <v>0.60242424242424242</v>
          </cell>
          <cell r="AN1205">
            <v>825</v>
          </cell>
          <cell r="AO1205">
            <v>825</v>
          </cell>
          <cell r="AP1205">
            <v>825</v>
          </cell>
          <cell r="AQ1205">
            <v>0</v>
          </cell>
          <cell r="AS1205">
            <v>825</v>
          </cell>
        </row>
        <row r="1206">
          <cell r="B1206" t="str">
            <v>SP</v>
          </cell>
          <cell r="C1206" t="str">
            <v>IMP</v>
          </cell>
          <cell r="D1206" t="str">
            <v>BT</v>
          </cell>
          <cell r="E1206" t="str">
            <v>08</v>
          </cell>
          <cell r="F1206">
            <v>39924</v>
          </cell>
          <cell r="G1206">
            <v>39924</v>
          </cell>
          <cell r="H1206" t="str">
            <v>A0DE07F</v>
          </cell>
          <cell r="I1206" t="str">
            <v>A0DE07F</v>
          </cell>
          <cell r="K1206" t="str">
            <v>IU-313Y (C353:90K)</v>
          </cell>
          <cell r="L1206">
            <v>825</v>
          </cell>
          <cell r="M1206">
            <v>208.06</v>
          </cell>
          <cell r="N1206">
            <v>216.38240000000002</v>
          </cell>
          <cell r="O1206">
            <v>0.3402975609756097</v>
          </cell>
          <cell r="P1206">
            <v>328</v>
          </cell>
          <cell r="Q1206">
            <v>220.54</v>
          </cell>
          <cell r="R1206">
            <v>249.21</v>
          </cell>
          <cell r="S1206">
            <v>410</v>
          </cell>
          <cell r="T1206">
            <v>0.47223804878048775</v>
          </cell>
          <cell r="W1206">
            <v>328</v>
          </cell>
          <cell r="X1206">
            <v>0.8</v>
          </cell>
          <cell r="Y1206" t="str">
            <v>Act freight</v>
          </cell>
          <cell r="AA1206">
            <v>643</v>
          </cell>
          <cell r="AB1206">
            <v>469</v>
          </cell>
          <cell r="AC1206">
            <v>547</v>
          </cell>
          <cell r="AD1206">
            <v>602</v>
          </cell>
          <cell r="AE1206">
            <v>656</v>
          </cell>
          <cell r="AF1206">
            <v>0.5</v>
          </cell>
          <cell r="AG1206">
            <v>0.6701487804878048</v>
          </cell>
          <cell r="AH1206">
            <v>699</v>
          </cell>
          <cell r="AI1206">
            <v>741</v>
          </cell>
          <cell r="AJ1206">
            <v>0.55735492577597845</v>
          </cell>
          <cell r="AK1206">
            <v>783</v>
          </cell>
          <cell r="AL1206">
            <v>825</v>
          </cell>
          <cell r="AM1206">
            <v>0.60242424242424242</v>
          </cell>
          <cell r="AN1206">
            <v>825</v>
          </cell>
          <cell r="AO1206">
            <v>825</v>
          </cell>
          <cell r="AP1206">
            <v>825</v>
          </cell>
          <cell r="AQ1206">
            <v>0</v>
          </cell>
          <cell r="AS1206">
            <v>825</v>
          </cell>
        </row>
        <row r="1207">
          <cell r="B1207" t="str">
            <v>SP</v>
          </cell>
          <cell r="C1207" t="str">
            <v>IMP</v>
          </cell>
          <cell r="D1207" t="str">
            <v>BT</v>
          </cell>
          <cell r="E1207" t="str">
            <v>08</v>
          </cell>
          <cell r="F1207">
            <v>39924</v>
          </cell>
          <cell r="G1207">
            <v>39924</v>
          </cell>
          <cell r="H1207" t="str">
            <v>A0DE0AF</v>
          </cell>
          <cell r="I1207" t="str">
            <v>A0DE0AF</v>
          </cell>
          <cell r="K1207" t="str">
            <v>IU-212M (45K)</v>
          </cell>
          <cell r="L1207">
            <v>702</v>
          </cell>
          <cell r="M1207">
            <v>184</v>
          </cell>
          <cell r="N1207">
            <v>191.36</v>
          </cell>
          <cell r="O1207">
            <v>0.31851851851851848</v>
          </cell>
          <cell r="P1207">
            <v>280.8</v>
          </cell>
          <cell r="Q1207">
            <v>195.04</v>
          </cell>
          <cell r="R1207">
            <v>220.4</v>
          </cell>
          <cell r="S1207">
            <v>351</v>
          </cell>
          <cell r="T1207">
            <v>0.45481481481481478</v>
          </cell>
          <cell r="W1207">
            <v>280.8</v>
          </cell>
          <cell r="X1207">
            <v>0.8</v>
          </cell>
          <cell r="Y1207" t="str">
            <v>Act freight</v>
          </cell>
          <cell r="AA1207">
            <v>550</v>
          </cell>
          <cell r="AB1207">
            <v>402</v>
          </cell>
          <cell r="AC1207">
            <v>468</v>
          </cell>
          <cell r="AD1207">
            <v>515</v>
          </cell>
          <cell r="AE1207">
            <v>561.6</v>
          </cell>
          <cell r="AF1207">
            <v>0.5</v>
          </cell>
          <cell r="AG1207">
            <v>0.65925925925925921</v>
          </cell>
          <cell r="AH1207">
            <v>597</v>
          </cell>
          <cell r="AI1207">
            <v>632</v>
          </cell>
          <cell r="AJ1207">
            <v>0.55569620253164553</v>
          </cell>
          <cell r="AK1207">
            <v>667</v>
          </cell>
          <cell r="AL1207">
            <v>702</v>
          </cell>
          <cell r="AM1207">
            <v>0.6</v>
          </cell>
          <cell r="AN1207">
            <v>702</v>
          </cell>
          <cell r="AO1207">
            <v>702</v>
          </cell>
          <cell r="AP1207">
            <v>702</v>
          </cell>
          <cell r="AQ1207">
            <v>0</v>
          </cell>
          <cell r="AS1207">
            <v>702</v>
          </cell>
        </row>
        <row r="1208">
          <cell r="B1208" t="str">
            <v>SP</v>
          </cell>
          <cell r="C1208" t="str">
            <v>IMP</v>
          </cell>
          <cell r="D1208" t="str">
            <v>BT</v>
          </cell>
          <cell r="E1208" t="str">
            <v>08</v>
          </cell>
          <cell r="F1208">
            <v>39924</v>
          </cell>
          <cell r="G1208">
            <v>39924</v>
          </cell>
          <cell r="H1208" t="str">
            <v>A0DE0CF</v>
          </cell>
          <cell r="I1208" t="str">
            <v>A0DE0CF</v>
          </cell>
          <cell r="K1208" t="str">
            <v>IU-211M (C253:75K, C203:55K)</v>
          </cell>
          <cell r="L1208">
            <v>825</v>
          </cell>
          <cell r="M1208">
            <v>195.56</v>
          </cell>
          <cell r="N1208">
            <v>203.38240000000002</v>
          </cell>
          <cell r="O1208">
            <v>0.3799317073170731</v>
          </cell>
          <cell r="P1208">
            <v>328</v>
          </cell>
          <cell r="Q1208">
            <v>207.29</v>
          </cell>
          <cell r="R1208">
            <v>234.24</v>
          </cell>
          <cell r="S1208">
            <v>410</v>
          </cell>
          <cell r="T1208">
            <v>0.50394536585365846</v>
          </cell>
          <cell r="W1208">
            <v>328</v>
          </cell>
          <cell r="X1208">
            <v>0.8</v>
          </cell>
          <cell r="Y1208" t="str">
            <v>Act freight</v>
          </cell>
          <cell r="AA1208">
            <v>643</v>
          </cell>
          <cell r="AB1208">
            <v>469</v>
          </cell>
          <cell r="AC1208">
            <v>547</v>
          </cell>
          <cell r="AD1208">
            <v>602</v>
          </cell>
          <cell r="AE1208">
            <v>656</v>
          </cell>
          <cell r="AF1208">
            <v>0.5</v>
          </cell>
          <cell r="AG1208">
            <v>0.68996585365853658</v>
          </cell>
          <cell r="AH1208">
            <v>699</v>
          </cell>
          <cell r="AI1208">
            <v>741</v>
          </cell>
          <cell r="AJ1208">
            <v>0.55735492577597845</v>
          </cell>
          <cell r="AK1208">
            <v>783</v>
          </cell>
          <cell r="AL1208">
            <v>825</v>
          </cell>
          <cell r="AM1208">
            <v>0.60242424242424242</v>
          </cell>
          <cell r="AN1208">
            <v>825</v>
          </cell>
          <cell r="AO1208">
            <v>825</v>
          </cell>
          <cell r="AP1208">
            <v>825</v>
          </cell>
          <cell r="AQ1208">
            <v>0</v>
          </cell>
          <cell r="AS1208">
            <v>825</v>
          </cell>
        </row>
        <row r="1209">
          <cell r="B1209" t="str">
            <v>SP</v>
          </cell>
          <cell r="C1209" t="str">
            <v>IMP</v>
          </cell>
          <cell r="D1209" t="str">
            <v>BT</v>
          </cell>
          <cell r="E1209" t="str">
            <v>08</v>
          </cell>
          <cell r="F1209">
            <v>39924</v>
          </cell>
          <cell r="G1209">
            <v>39924</v>
          </cell>
          <cell r="H1209" t="str">
            <v>A0DE0DF</v>
          </cell>
          <cell r="I1209" t="str">
            <v>A0DE0DF</v>
          </cell>
          <cell r="K1209" t="str">
            <v>IU-313M (C353:90K)</v>
          </cell>
          <cell r="L1209">
            <v>825</v>
          </cell>
          <cell r="M1209">
            <v>208.06</v>
          </cell>
          <cell r="N1209">
            <v>216.38240000000002</v>
          </cell>
          <cell r="O1209">
            <v>0.3402975609756097</v>
          </cell>
          <cell r="P1209">
            <v>328</v>
          </cell>
          <cell r="Q1209">
            <v>220.54</v>
          </cell>
          <cell r="R1209">
            <v>249.21</v>
          </cell>
          <cell r="S1209">
            <v>410</v>
          </cell>
          <cell r="T1209">
            <v>0.47223804878048775</v>
          </cell>
          <cell r="W1209">
            <v>328</v>
          </cell>
          <cell r="X1209">
            <v>0.8</v>
          </cell>
          <cell r="Y1209" t="str">
            <v>Act freight</v>
          </cell>
          <cell r="AA1209">
            <v>643</v>
          </cell>
          <cell r="AB1209">
            <v>469</v>
          </cell>
          <cell r="AC1209">
            <v>547</v>
          </cell>
          <cell r="AD1209">
            <v>602</v>
          </cell>
          <cell r="AE1209">
            <v>656</v>
          </cell>
          <cell r="AF1209">
            <v>0.5</v>
          </cell>
          <cell r="AG1209">
            <v>0.6701487804878048</v>
          </cell>
          <cell r="AH1209">
            <v>699</v>
          </cell>
          <cell r="AI1209">
            <v>741</v>
          </cell>
          <cell r="AJ1209">
            <v>0.55735492577597845</v>
          </cell>
          <cell r="AK1209">
            <v>783</v>
          </cell>
          <cell r="AL1209">
            <v>825</v>
          </cell>
          <cell r="AM1209">
            <v>0.60242424242424242</v>
          </cell>
          <cell r="AN1209">
            <v>825</v>
          </cell>
          <cell r="AO1209">
            <v>825</v>
          </cell>
          <cell r="AP1209">
            <v>825</v>
          </cell>
          <cell r="AQ1209">
            <v>0</v>
          </cell>
          <cell r="AS1209">
            <v>825</v>
          </cell>
        </row>
        <row r="1210">
          <cell r="B1210" t="str">
            <v>SP</v>
          </cell>
          <cell r="C1210" t="str">
            <v>IMP</v>
          </cell>
          <cell r="D1210" t="str">
            <v>BT</v>
          </cell>
          <cell r="E1210" t="str">
            <v>08</v>
          </cell>
          <cell r="F1210">
            <v>39924</v>
          </cell>
          <cell r="G1210">
            <v>39924</v>
          </cell>
          <cell r="H1210" t="str">
            <v>A0DE0GF</v>
          </cell>
          <cell r="I1210" t="str">
            <v>A0DE0GF</v>
          </cell>
          <cell r="K1210" t="str">
            <v>IU-212C (45K)</v>
          </cell>
          <cell r="L1210">
            <v>702</v>
          </cell>
          <cell r="M1210">
            <v>184</v>
          </cell>
          <cell r="N1210">
            <v>191.36</v>
          </cell>
          <cell r="O1210">
            <v>0.31851851851851848</v>
          </cell>
          <cell r="P1210">
            <v>280.8</v>
          </cell>
          <cell r="Q1210">
            <v>195.04</v>
          </cell>
          <cell r="R1210">
            <v>220.4</v>
          </cell>
          <cell r="S1210">
            <v>351</v>
          </cell>
          <cell r="T1210">
            <v>0.45481481481481478</v>
          </cell>
          <cell r="W1210">
            <v>280.8</v>
          </cell>
          <cell r="X1210">
            <v>0.8</v>
          </cell>
          <cell r="Y1210" t="str">
            <v>Act freight</v>
          </cell>
          <cell r="AA1210">
            <v>550</v>
          </cell>
          <cell r="AB1210">
            <v>402</v>
          </cell>
          <cell r="AC1210">
            <v>468</v>
          </cell>
          <cell r="AD1210">
            <v>515</v>
          </cell>
          <cell r="AE1210">
            <v>561.6</v>
          </cell>
          <cell r="AF1210">
            <v>0.5</v>
          </cell>
          <cell r="AG1210">
            <v>0.65925925925925921</v>
          </cell>
          <cell r="AH1210">
            <v>597</v>
          </cell>
          <cell r="AI1210">
            <v>632</v>
          </cell>
          <cell r="AJ1210">
            <v>0.55569620253164553</v>
          </cell>
          <cell r="AK1210">
            <v>667</v>
          </cell>
          <cell r="AL1210">
            <v>702</v>
          </cell>
          <cell r="AM1210">
            <v>0.6</v>
          </cell>
          <cell r="AN1210">
            <v>702</v>
          </cell>
          <cell r="AO1210">
            <v>702</v>
          </cell>
          <cell r="AP1210">
            <v>702</v>
          </cell>
          <cell r="AQ1210">
            <v>0</v>
          </cell>
          <cell r="AS1210">
            <v>702</v>
          </cell>
        </row>
        <row r="1211">
          <cell r="B1211" t="str">
            <v>SP</v>
          </cell>
          <cell r="C1211" t="str">
            <v>IMP</v>
          </cell>
          <cell r="D1211" t="str">
            <v>BT</v>
          </cell>
          <cell r="E1211" t="str">
            <v>08</v>
          </cell>
          <cell r="F1211">
            <v>39924</v>
          </cell>
          <cell r="G1211">
            <v>39924</v>
          </cell>
          <cell r="H1211" t="str">
            <v>A0DE0HF</v>
          </cell>
          <cell r="I1211" t="str">
            <v>A0DE0HF</v>
          </cell>
          <cell r="K1211" t="str">
            <v>IU-211C (C253:75K, C203:55K)</v>
          </cell>
          <cell r="L1211">
            <v>825</v>
          </cell>
          <cell r="M1211">
            <v>195.56</v>
          </cell>
          <cell r="N1211">
            <v>203.38240000000002</v>
          </cell>
          <cell r="O1211">
            <v>0.3799317073170731</v>
          </cell>
          <cell r="P1211">
            <v>328</v>
          </cell>
          <cell r="Q1211">
            <v>207.29</v>
          </cell>
          <cell r="R1211">
            <v>234.24</v>
          </cell>
          <cell r="S1211">
            <v>410</v>
          </cell>
          <cell r="T1211">
            <v>0.50394536585365846</v>
          </cell>
          <cell r="W1211">
            <v>328</v>
          </cell>
          <cell r="X1211">
            <v>0.8</v>
          </cell>
          <cell r="Y1211" t="str">
            <v>Act freight</v>
          </cell>
          <cell r="AA1211">
            <v>643</v>
          </cell>
          <cell r="AB1211">
            <v>469</v>
          </cell>
          <cell r="AC1211">
            <v>547</v>
          </cell>
          <cell r="AD1211">
            <v>602</v>
          </cell>
          <cell r="AE1211">
            <v>656</v>
          </cell>
          <cell r="AF1211">
            <v>0.5</v>
          </cell>
          <cell r="AG1211">
            <v>0.68996585365853658</v>
          </cell>
          <cell r="AH1211">
            <v>699</v>
          </cell>
          <cell r="AI1211">
            <v>741</v>
          </cell>
          <cell r="AJ1211">
            <v>0.55735492577597845</v>
          </cell>
          <cell r="AK1211">
            <v>783</v>
          </cell>
          <cell r="AL1211">
            <v>825</v>
          </cell>
          <cell r="AM1211">
            <v>0.60242424242424242</v>
          </cell>
          <cell r="AN1211">
            <v>825</v>
          </cell>
          <cell r="AO1211">
            <v>825</v>
          </cell>
          <cell r="AP1211">
            <v>825</v>
          </cell>
          <cell r="AQ1211">
            <v>0</v>
          </cell>
          <cell r="AS1211">
            <v>825</v>
          </cell>
        </row>
        <row r="1212">
          <cell r="B1212" t="str">
            <v>SP</v>
          </cell>
          <cell r="C1212" t="str">
            <v>IMP</v>
          </cell>
          <cell r="D1212" t="str">
            <v>BT</v>
          </cell>
          <cell r="E1212" t="str">
            <v>08</v>
          </cell>
          <cell r="F1212">
            <v>39924</v>
          </cell>
          <cell r="G1212">
            <v>39924</v>
          </cell>
          <cell r="H1212" t="str">
            <v>A0DE0JF</v>
          </cell>
          <cell r="I1212" t="str">
            <v>A0DE0JF</v>
          </cell>
          <cell r="K1212" t="str">
            <v>IU-313C (C353:90K)</v>
          </cell>
          <cell r="L1212">
            <v>825</v>
          </cell>
          <cell r="M1212">
            <v>208.06</v>
          </cell>
          <cell r="N1212">
            <v>216.38240000000002</v>
          </cell>
          <cell r="O1212">
            <v>0.3402975609756097</v>
          </cell>
          <cell r="P1212">
            <v>328</v>
          </cell>
          <cell r="Q1212">
            <v>220.54</v>
          </cell>
          <cell r="R1212">
            <v>249.21</v>
          </cell>
          <cell r="S1212">
            <v>410</v>
          </cell>
          <cell r="T1212">
            <v>0.47223804878048775</v>
          </cell>
          <cell r="W1212">
            <v>328</v>
          </cell>
          <cell r="X1212">
            <v>0.8</v>
          </cell>
          <cell r="Y1212" t="str">
            <v>Act freight</v>
          </cell>
          <cell r="AA1212">
            <v>643</v>
          </cell>
          <cell r="AB1212">
            <v>469</v>
          </cell>
          <cell r="AC1212">
            <v>547</v>
          </cell>
          <cell r="AD1212">
            <v>602</v>
          </cell>
          <cell r="AE1212">
            <v>656</v>
          </cell>
          <cell r="AF1212">
            <v>0.5</v>
          </cell>
          <cell r="AG1212">
            <v>0.6701487804878048</v>
          </cell>
          <cell r="AH1212">
            <v>699</v>
          </cell>
          <cell r="AI1212">
            <v>741</v>
          </cell>
          <cell r="AJ1212">
            <v>0.55735492577597845</v>
          </cell>
          <cell r="AK1212">
            <v>783</v>
          </cell>
          <cell r="AL1212">
            <v>825</v>
          </cell>
          <cell r="AM1212">
            <v>0.60242424242424242</v>
          </cell>
          <cell r="AN1212">
            <v>825</v>
          </cell>
          <cell r="AO1212">
            <v>825</v>
          </cell>
          <cell r="AP1212">
            <v>825</v>
          </cell>
          <cell r="AQ1212">
            <v>0</v>
          </cell>
          <cell r="AS1212">
            <v>825</v>
          </cell>
        </row>
        <row r="1213">
          <cell r="B1213" t="str">
            <v>SP</v>
          </cell>
          <cell r="C1213" t="str">
            <v>IMP</v>
          </cell>
          <cell r="D1213" t="str">
            <v>BT</v>
          </cell>
          <cell r="E1213" t="str">
            <v>08</v>
          </cell>
          <cell r="F1213">
            <v>39924</v>
          </cell>
          <cell r="G1213">
            <v>39924</v>
          </cell>
          <cell r="H1213" t="str">
            <v>A0TK03D</v>
          </cell>
          <cell r="I1213" t="str">
            <v>A0TK03D_</v>
          </cell>
          <cell r="K1213" t="str">
            <v>DV-612K Developing Unit (Yield: 1,140K)</v>
          </cell>
          <cell r="L1213">
            <v>364</v>
          </cell>
          <cell r="M1213">
            <v>70</v>
          </cell>
          <cell r="N1213">
            <v>72.8</v>
          </cell>
          <cell r="O1213">
            <v>0.43125000000000002</v>
          </cell>
          <cell r="P1213">
            <v>128</v>
          </cell>
          <cell r="Q1213">
            <v>74.2</v>
          </cell>
          <cell r="R1213">
            <v>83.85</v>
          </cell>
          <cell r="S1213">
            <v>160</v>
          </cell>
          <cell r="T1213">
            <v>0.54500000000000004</v>
          </cell>
          <cell r="W1213">
            <v>128</v>
          </cell>
          <cell r="X1213">
            <v>0.8</v>
          </cell>
          <cell r="Y1213" t="str">
            <v>Act freight</v>
          </cell>
          <cell r="AA1213">
            <v>251</v>
          </cell>
          <cell r="AB1213">
            <v>183</v>
          </cell>
          <cell r="AC1213">
            <v>214</v>
          </cell>
          <cell r="AD1213">
            <v>235</v>
          </cell>
          <cell r="AE1213">
            <v>256</v>
          </cell>
          <cell r="AF1213">
            <v>0.5</v>
          </cell>
          <cell r="AG1213">
            <v>0.71562499999999996</v>
          </cell>
          <cell r="AH1213">
            <v>283</v>
          </cell>
          <cell r="AI1213">
            <v>310</v>
          </cell>
          <cell r="AJ1213">
            <v>0.58709677419354833</v>
          </cell>
          <cell r="AK1213">
            <v>337</v>
          </cell>
          <cell r="AL1213">
            <v>364</v>
          </cell>
          <cell r="AM1213">
            <v>0.64835164835164838</v>
          </cell>
          <cell r="AN1213">
            <v>364</v>
          </cell>
          <cell r="AO1213">
            <v>364</v>
          </cell>
          <cell r="AP1213">
            <v>364</v>
          </cell>
          <cell r="AQ1213">
            <v>0</v>
          </cell>
          <cell r="AS1213">
            <v>364</v>
          </cell>
        </row>
        <row r="1214">
          <cell r="B1214" t="str">
            <v>SP</v>
          </cell>
          <cell r="C1214" t="str">
            <v>IMP</v>
          </cell>
          <cell r="D1214" t="str">
            <v>BT</v>
          </cell>
          <cell r="E1214" t="str">
            <v>08</v>
          </cell>
          <cell r="F1214">
            <v>39924</v>
          </cell>
          <cell r="G1214">
            <v>39924</v>
          </cell>
          <cell r="H1214" t="str">
            <v>A0TK08D</v>
          </cell>
          <cell r="I1214" t="str">
            <v>A0TK08D_</v>
          </cell>
          <cell r="K1214" t="str">
            <v>IU-612Y Imaging Unit (Yield: 120K)</v>
          </cell>
          <cell r="L1214">
            <v>953</v>
          </cell>
          <cell r="M1214">
            <v>195</v>
          </cell>
          <cell r="N1214">
            <v>202.8</v>
          </cell>
          <cell r="O1214">
            <v>0.42386363636363633</v>
          </cell>
          <cell r="P1214">
            <v>352</v>
          </cell>
          <cell r="Q1214">
            <v>206.7</v>
          </cell>
          <cell r="R1214">
            <v>233.57</v>
          </cell>
          <cell r="S1214">
            <v>440</v>
          </cell>
          <cell r="T1214">
            <v>0.53909090909090907</v>
          </cell>
          <cell r="U1214">
            <v>0</v>
          </cell>
          <cell r="V1214">
            <v>0</v>
          </cell>
          <cell r="W1214">
            <v>352</v>
          </cell>
          <cell r="X1214">
            <v>0.8</v>
          </cell>
          <cell r="Y1214" t="str">
            <v>Act freight</v>
          </cell>
          <cell r="AA1214">
            <v>690</v>
          </cell>
          <cell r="AB1214">
            <v>503</v>
          </cell>
          <cell r="AC1214">
            <v>587</v>
          </cell>
          <cell r="AD1214">
            <v>646</v>
          </cell>
          <cell r="AE1214">
            <v>704</v>
          </cell>
          <cell r="AF1214">
            <v>0.5</v>
          </cell>
          <cell r="AG1214">
            <v>0.71193181818181817</v>
          </cell>
          <cell r="AH1214">
            <v>767</v>
          </cell>
          <cell r="AI1214">
            <v>829</v>
          </cell>
          <cell r="AJ1214">
            <v>0.57539203860072374</v>
          </cell>
          <cell r="AK1214">
            <v>891</v>
          </cell>
          <cell r="AL1214">
            <v>953</v>
          </cell>
          <cell r="AM1214">
            <v>0.63064008394543547</v>
          </cell>
          <cell r="AN1214">
            <v>953</v>
          </cell>
          <cell r="AO1214">
            <v>953</v>
          </cell>
          <cell r="AP1214">
            <v>953</v>
          </cell>
          <cell r="AQ1214">
            <v>0</v>
          </cell>
          <cell r="AS1214">
            <v>953</v>
          </cell>
        </row>
        <row r="1215">
          <cell r="B1215" t="str">
            <v>SP</v>
          </cell>
          <cell r="C1215" t="str">
            <v>IMP</v>
          </cell>
          <cell r="D1215" t="str">
            <v>BT</v>
          </cell>
          <cell r="E1215" t="str">
            <v>08</v>
          </cell>
          <cell r="F1215">
            <v>39924</v>
          </cell>
          <cell r="G1215">
            <v>39924</v>
          </cell>
          <cell r="H1215" t="str">
            <v>A0TK0ED</v>
          </cell>
          <cell r="I1215" t="str">
            <v>A0TK0ED_</v>
          </cell>
          <cell r="K1215" t="str">
            <v>IU-612M Imaging Unit (Yield: 120K)</v>
          </cell>
          <cell r="L1215">
            <v>953</v>
          </cell>
          <cell r="M1215">
            <v>195</v>
          </cell>
          <cell r="N1215">
            <v>202.8</v>
          </cell>
          <cell r="O1215">
            <v>0.42386363636363633</v>
          </cell>
          <cell r="P1215">
            <v>352</v>
          </cell>
          <cell r="Q1215">
            <v>206.7</v>
          </cell>
          <cell r="R1215">
            <v>233.57</v>
          </cell>
          <cell r="S1215">
            <v>440</v>
          </cell>
          <cell r="T1215">
            <v>0.53909090909090907</v>
          </cell>
          <cell r="W1215">
            <v>352</v>
          </cell>
          <cell r="X1215">
            <v>0.8</v>
          </cell>
          <cell r="Y1215" t="str">
            <v>Act freight</v>
          </cell>
          <cell r="AA1215">
            <v>690</v>
          </cell>
          <cell r="AB1215">
            <v>503</v>
          </cell>
          <cell r="AC1215">
            <v>587</v>
          </cell>
          <cell r="AD1215">
            <v>646</v>
          </cell>
          <cell r="AE1215">
            <v>704</v>
          </cell>
          <cell r="AF1215">
            <v>0.5</v>
          </cell>
          <cell r="AG1215">
            <v>0.71193181818181817</v>
          </cell>
          <cell r="AH1215">
            <v>767</v>
          </cell>
          <cell r="AI1215">
            <v>829</v>
          </cell>
          <cell r="AJ1215">
            <v>0.57539203860072374</v>
          </cell>
          <cell r="AK1215">
            <v>891</v>
          </cell>
          <cell r="AL1215">
            <v>953</v>
          </cell>
          <cell r="AM1215">
            <v>0.63064008394543547</v>
          </cell>
          <cell r="AN1215">
            <v>953</v>
          </cell>
          <cell r="AO1215">
            <v>953</v>
          </cell>
          <cell r="AP1215">
            <v>953</v>
          </cell>
          <cell r="AQ1215">
            <v>0</v>
          </cell>
          <cell r="AS1215">
            <v>953</v>
          </cell>
        </row>
        <row r="1216">
          <cell r="B1216" t="str">
            <v>SP</v>
          </cell>
          <cell r="C1216" t="str">
            <v>IMP</v>
          </cell>
          <cell r="D1216" t="str">
            <v>BT</v>
          </cell>
          <cell r="E1216" t="str">
            <v>08</v>
          </cell>
          <cell r="F1216">
            <v>39924</v>
          </cell>
          <cell r="G1216">
            <v>39924</v>
          </cell>
          <cell r="H1216" t="str">
            <v>A0TK0KD</v>
          </cell>
          <cell r="I1216" t="str">
            <v>A0TK0KD_</v>
          </cell>
          <cell r="K1216" t="str">
            <v>IU-612C Imaging Unit (Yield: 120K)</v>
          </cell>
          <cell r="L1216">
            <v>953</v>
          </cell>
          <cell r="M1216">
            <v>195</v>
          </cell>
          <cell r="N1216">
            <v>202.8</v>
          </cell>
          <cell r="O1216">
            <v>0.42386363636363633</v>
          </cell>
          <cell r="P1216">
            <v>352</v>
          </cell>
          <cell r="Q1216">
            <v>206.7</v>
          </cell>
          <cell r="R1216">
            <v>233.57</v>
          </cell>
          <cell r="S1216">
            <v>440</v>
          </cell>
          <cell r="T1216">
            <v>0.53909090909090907</v>
          </cell>
          <cell r="W1216">
            <v>352</v>
          </cell>
          <cell r="X1216">
            <v>0.8</v>
          </cell>
          <cell r="Y1216" t="str">
            <v>Act freight</v>
          </cell>
          <cell r="AA1216">
            <v>690</v>
          </cell>
          <cell r="AB1216">
            <v>503</v>
          </cell>
          <cell r="AC1216">
            <v>587</v>
          </cell>
          <cell r="AD1216">
            <v>646</v>
          </cell>
          <cell r="AE1216">
            <v>704</v>
          </cell>
          <cell r="AF1216">
            <v>0.5</v>
          </cell>
          <cell r="AG1216">
            <v>0.71193181818181817</v>
          </cell>
          <cell r="AH1216">
            <v>767</v>
          </cell>
          <cell r="AI1216">
            <v>829</v>
          </cell>
          <cell r="AJ1216">
            <v>0.57539203860072374</v>
          </cell>
          <cell r="AK1216">
            <v>891</v>
          </cell>
          <cell r="AL1216">
            <v>953</v>
          </cell>
          <cell r="AM1216">
            <v>0.63064008394543547</v>
          </cell>
          <cell r="AN1216">
            <v>953</v>
          </cell>
          <cell r="AO1216">
            <v>953</v>
          </cell>
          <cell r="AP1216">
            <v>953</v>
          </cell>
          <cell r="AQ1216">
            <v>0</v>
          </cell>
          <cell r="AS1216">
            <v>953</v>
          </cell>
        </row>
        <row r="1217">
          <cell r="B1217" t="str">
            <v>SP</v>
          </cell>
          <cell r="C1217" t="str">
            <v>IMP</v>
          </cell>
          <cell r="D1217" t="str">
            <v>BT</v>
          </cell>
          <cell r="E1217" t="str">
            <v>08</v>
          </cell>
          <cell r="F1217">
            <v>39924</v>
          </cell>
          <cell r="G1217">
            <v>39924</v>
          </cell>
          <cell r="H1217" t="str">
            <v>A0TK0RD</v>
          </cell>
          <cell r="I1217" t="str">
            <v>A0TK0RD_</v>
          </cell>
          <cell r="K1217" t="str">
            <v>DR-612K Drum Unit (Yield: 285K)</v>
          </cell>
          <cell r="L1217">
            <v>364</v>
          </cell>
          <cell r="M1217">
            <v>100</v>
          </cell>
          <cell r="N1217">
            <v>104</v>
          </cell>
          <cell r="O1217">
            <v>0.1875</v>
          </cell>
          <cell r="P1217">
            <v>128</v>
          </cell>
          <cell r="Q1217">
            <v>106</v>
          </cell>
          <cell r="R1217">
            <v>119.78</v>
          </cell>
          <cell r="S1217">
            <v>160</v>
          </cell>
          <cell r="T1217">
            <v>0.35</v>
          </cell>
          <cell r="W1217">
            <v>128</v>
          </cell>
          <cell r="X1217">
            <v>0.8</v>
          </cell>
          <cell r="Y1217" t="str">
            <v>Act freight</v>
          </cell>
          <cell r="AA1217">
            <v>251</v>
          </cell>
          <cell r="AB1217">
            <v>183</v>
          </cell>
          <cell r="AC1217">
            <v>214</v>
          </cell>
          <cell r="AD1217">
            <v>235</v>
          </cell>
          <cell r="AE1217">
            <v>256</v>
          </cell>
          <cell r="AF1217">
            <v>0.5</v>
          </cell>
          <cell r="AG1217">
            <v>0.59375</v>
          </cell>
          <cell r="AH1217">
            <v>283</v>
          </cell>
          <cell r="AI1217">
            <v>310</v>
          </cell>
          <cell r="AJ1217">
            <v>0.58709677419354833</v>
          </cell>
          <cell r="AK1217">
            <v>337</v>
          </cell>
          <cell r="AL1217">
            <v>364</v>
          </cell>
          <cell r="AM1217">
            <v>0.64835164835164838</v>
          </cell>
          <cell r="AN1217">
            <v>364</v>
          </cell>
          <cell r="AO1217">
            <v>364</v>
          </cell>
          <cell r="AP1217">
            <v>364</v>
          </cell>
          <cell r="AQ1217">
            <v>0</v>
          </cell>
          <cell r="AS1217">
            <v>364</v>
          </cell>
        </row>
        <row r="1218">
          <cell r="B1218" t="str">
            <v>SP</v>
          </cell>
          <cell r="C1218" t="str">
            <v>IMP</v>
          </cell>
          <cell r="D1218" t="str">
            <v>BT</v>
          </cell>
          <cell r="E1218" t="str">
            <v>08</v>
          </cell>
          <cell r="F1218">
            <v>39924</v>
          </cell>
          <cell r="G1218">
            <v>39924</v>
          </cell>
          <cell r="H1218" t="str">
            <v>A0VW800</v>
          </cell>
          <cell r="I1218" t="str">
            <v>A0VW800</v>
          </cell>
          <cell r="K1218" t="str">
            <v>DV-611M Developer M (C65hc:200K)</v>
          </cell>
          <cell r="L1218">
            <v>325</v>
          </cell>
          <cell r="M1218">
            <v>80.34</v>
          </cell>
          <cell r="N1218">
            <v>83.553600000000003</v>
          </cell>
          <cell r="O1218">
            <v>0.10733333333333338</v>
          </cell>
          <cell r="P1218">
            <v>93.600000000000009</v>
          </cell>
          <cell r="Q1218">
            <v>85.16</v>
          </cell>
          <cell r="R1218">
            <v>96.23</v>
          </cell>
          <cell r="S1218">
            <v>117</v>
          </cell>
          <cell r="T1218">
            <v>0.28586666666666666</v>
          </cell>
          <cell r="W1218">
            <v>93.600000000000009</v>
          </cell>
          <cell r="X1218">
            <v>0.8</v>
          </cell>
          <cell r="Y1218" t="str">
            <v>Act freight</v>
          </cell>
          <cell r="AA1218">
            <v>183</v>
          </cell>
          <cell r="AB1218">
            <v>134</v>
          </cell>
          <cell r="AC1218">
            <v>156</v>
          </cell>
          <cell r="AD1218">
            <v>172</v>
          </cell>
          <cell r="AE1218">
            <v>187.2</v>
          </cell>
          <cell r="AF1218">
            <v>0.49999999999999994</v>
          </cell>
          <cell r="AG1218">
            <v>0.55366666666666664</v>
          </cell>
          <cell r="AH1218">
            <v>223</v>
          </cell>
          <cell r="AI1218">
            <v>257</v>
          </cell>
          <cell r="AJ1218">
            <v>0.63579766536964977</v>
          </cell>
          <cell r="AK1218">
            <v>291</v>
          </cell>
          <cell r="AL1218">
            <v>325</v>
          </cell>
          <cell r="AM1218">
            <v>0.71199999999999997</v>
          </cell>
          <cell r="AN1218">
            <v>325</v>
          </cell>
          <cell r="AO1218">
            <v>325</v>
          </cell>
          <cell r="AP1218">
            <v>325</v>
          </cell>
          <cell r="AQ1218">
            <v>0</v>
          </cell>
          <cell r="AS1218">
            <v>325</v>
          </cell>
        </row>
        <row r="1219">
          <cell r="B1219" t="str">
            <v>SP</v>
          </cell>
          <cell r="C1219" t="str">
            <v>IMP</v>
          </cell>
          <cell r="D1219" t="str">
            <v>BT</v>
          </cell>
          <cell r="E1219" t="str">
            <v>08</v>
          </cell>
          <cell r="F1219">
            <v>39924</v>
          </cell>
          <cell r="G1219">
            <v>39924</v>
          </cell>
          <cell r="H1219" t="str">
            <v>A0VW900</v>
          </cell>
          <cell r="I1219" t="str">
            <v>SDKMA0VW900CY_</v>
          </cell>
          <cell r="K1219" t="str">
            <v>DV-611C Developer C (C65hc:200K)</v>
          </cell>
          <cell r="L1219">
            <v>325</v>
          </cell>
          <cell r="M1219">
            <v>80.34</v>
          </cell>
          <cell r="N1219">
            <v>83.553600000000003</v>
          </cell>
          <cell r="O1219">
            <v>0.10733333333333338</v>
          </cell>
          <cell r="P1219">
            <v>93.600000000000009</v>
          </cell>
          <cell r="Q1219">
            <v>85.16</v>
          </cell>
          <cell r="R1219">
            <v>96.23</v>
          </cell>
          <cell r="S1219">
            <v>117</v>
          </cell>
          <cell r="T1219">
            <v>0.28586666666666666</v>
          </cell>
          <cell r="W1219">
            <v>93.600000000000009</v>
          </cell>
          <cell r="X1219">
            <v>0.8</v>
          </cell>
          <cell r="Y1219" t="str">
            <v>Act freight</v>
          </cell>
          <cell r="AA1219">
            <v>183</v>
          </cell>
          <cell r="AB1219">
            <v>134</v>
          </cell>
          <cell r="AC1219">
            <v>156</v>
          </cell>
          <cell r="AD1219">
            <v>172</v>
          </cell>
          <cell r="AE1219">
            <v>187.2</v>
          </cell>
          <cell r="AF1219">
            <v>0.49999999999999994</v>
          </cell>
          <cell r="AG1219">
            <v>0.55366666666666664</v>
          </cell>
          <cell r="AH1219">
            <v>223</v>
          </cell>
          <cell r="AI1219">
            <v>257</v>
          </cell>
          <cell r="AJ1219">
            <v>0.63579766536964977</v>
          </cell>
          <cell r="AK1219">
            <v>291</v>
          </cell>
          <cell r="AL1219">
            <v>325</v>
          </cell>
          <cell r="AM1219">
            <v>0.71199999999999997</v>
          </cell>
          <cell r="AN1219">
            <v>325</v>
          </cell>
          <cell r="AO1219">
            <v>325</v>
          </cell>
          <cell r="AP1219">
            <v>325</v>
          </cell>
          <cell r="AQ1219">
            <v>0</v>
          </cell>
          <cell r="AS1219">
            <v>325</v>
          </cell>
        </row>
        <row r="1220">
          <cell r="B1220" t="str">
            <v>SP</v>
          </cell>
          <cell r="C1220" t="str">
            <v>IMP</v>
          </cell>
          <cell r="D1220" t="str">
            <v>BT</v>
          </cell>
          <cell r="E1220" t="str">
            <v>08</v>
          </cell>
          <cell r="F1220">
            <v>39989</v>
          </cell>
          <cell r="G1220">
            <v>40001</v>
          </cell>
          <cell r="H1220" t="str">
            <v>8938505</v>
          </cell>
          <cell r="K1220" t="str">
            <v>TN210K (Black Toner) - 20,000 yield</v>
          </cell>
          <cell r="L1220">
            <v>45</v>
          </cell>
          <cell r="M1220">
            <v>24</v>
          </cell>
          <cell r="N1220">
            <v>24.96</v>
          </cell>
          <cell r="O1220">
            <v>0</v>
          </cell>
          <cell r="P1220">
            <v>24.96</v>
          </cell>
          <cell r="Q1220">
            <v>25.44</v>
          </cell>
          <cell r="R1220">
            <v>28.75</v>
          </cell>
          <cell r="S1220">
            <v>30</v>
          </cell>
          <cell r="T1220">
            <v>0.16799999999999998</v>
          </cell>
          <cell r="U1220">
            <v>10535</v>
          </cell>
          <cell r="V1220">
            <v>0.49357380161366876</v>
          </cell>
          <cell r="W1220">
            <v>24.96</v>
          </cell>
          <cell r="X1220">
            <v>0.83200000000000007</v>
          </cell>
          <cell r="Y1220" t="str">
            <v>Act freight</v>
          </cell>
          <cell r="AA1220">
            <v>49</v>
          </cell>
          <cell r="AB1220">
            <v>36</v>
          </cell>
          <cell r="AC1220">
            <v>42</v>
          </cell>
          <cell r="AD1220">
            <v>46</v>
          </cell>
          <cell r="AE1220">
            <v>49.92</v>
          </cell>
          <cell r="AF1220">
            <v>0.5</v>
          </cell>
          <cell r="AG1220">
            <v>0.5</v>
          </cell>
          <cell r="AH1220">
            <v>49</v>
          </cell>
          <cell r="AI1220">
            <v>48</v>
          </cell>
          <cell r="AJ1220">
            <v>0.48</v>
          </cell>
          <cell r="AK1220">
            <v>46.5</v>
          </cell>
          <cell r="AL1220">
            <v>45</v>
          </cell>
          <cell r="AM1220">
            <v>0.4453333333333333</v>
          </cell>
          <cell r="AN1220">
            <v>45</v>
          </cell>
          <cell r="AO1220">
            <v>45</v>
          </cell>
          <cell r="AP1220">
            <v>45</v>
          </cell>
          <cell r="AQ1220">
            <v>0</v>
          </cell>
          <cell r="AS1220">
            <v>45</v>
          </cell>
        </row>
        <row r="1221">
          <cell r="B1221" t="str">
            <v>SP</v>
          </cell>
          <cell r="C1221" t="str">
            <v>IMP</v>
          </cell>
          <cell r="D1221" t="str">
            <v>BT</v>
          </cell>
          <cell r="E1221" t="str">
            <v>08</v>
          </cell>
          <cell r="F1221">
            <v>39989</v>
          </cell>
          <cell r="G1221">
            <v>40001</v>
          </cell>
          <cell r="H1221" t="str">
            <v>8938506</v>
          </cell>
          <cell r="K1221" t="str">
            <v>TN210Y (Yellow Toner) - 12,000 yield</v>
          </cell>
          <cell r="L1221">
            <v>95</v>
          </cell>
          <cell r="M1221">
            <v>23</v>
          </cell>
          <cell r="N1221">
            <v>23.92</v>
          </cell>
          <cell r="O1221">
            <v>0.38979591836734695</v>
          </cell>
          <cell r="P1221">
            <v>39.200000000000003</v>
          </cell>
          <cell r="Q1221">
            <v>24.38</v>
          </cell>
          <cell r="R1221">
            <v>27.55</v>
          </cell>
          <cell r="S1221">
            <v>49</v>
          </cell>
          <cell r="T1221">
            <v>0.51183673469387747</v>
          </cell>
          <cell r="U1221">
            <v>0</v>
          </cell>
          <cell r="V1221">
            <v>0</v>
          </cell>
          <cell r="W1221">
            <v>39.200000000000003</v>
          </cell>
          <cell r="X1221">
            <v>0.8</v>
          </cell>
          <cell r="Y1221" t="str">
            <v>Act freight</v>
          </cell>
          <cell r="AA1221">
            <v>77</v>
          </cell>
          <cell r="AB1221">
            <v>56</v>
          </cell>
          <cell r="AC1221">
            <v>66</v>
          </cell>
          <cell r="AD1221">
            <v>73</v>
          </cell>
          <cell r="AE1221">
            <v>78.400000000000006</v>
          </cell>
          <cell r="AF1221">
            <v>0.5</v>
          </cell>
          <cell r="AG1221">
            <v>0.69489795918367347</v>
          </cell>
          <cell r="AH1221">
            <v>83</v>
          </cell>
          <cell r="AI1221">
            <v>87</v>
          </cell>
          <cell r="AJ1221">
            <v>0.54942528735632179</v>
          </cell>
          <cell r="AK1221">
            <v>91</v>
          </cell>
          <cell r="AL1221">
            <v>95</v>
          </cell>
          <cell r="AM1221">
            <v>0.58736842105263154</v>
          </cell>
          <cell r="AN1221">
            <v>95</v>
          </cell>
          <cell r="AO1221">
            <v>95</v>
          </cell>
          <cell r="AP1221">
            <v>95</v>
          </cell>
          <cell r="AQ1221">
            <v>0</v>
          </cell>
          <cell r="AS1221">
            <v>95</v>
          </cell>
        </row>
        <row r="1222">
          <cell r="B1222" t="str">
            <v>SP</v>
          </cell>
          <cell r="C1222" t="str">
            <v>IMP</v>
          </cell>
          <cell r="D1222" t="str">
            <v>BT</v>
          </cell>
          <cell r="E1222" t="str">
            <v>08</v>
          </cell>
          <cell r="F1222">
            <v>39989</v>
          </cell>
          <cell r="G1222">
            <v>40001</v>
          </cell>
          <cell r="H1222" t="str">
            <v>8938507</v>
          </cell>
          <cell r="K1222" t="str">
            <v>TN210M (Magenta Toner) - 12,000 yield</v>
          </cell>
          <cell r="L1222">
            <v>95</v>
          </cell>
          <cell r="M1222">
            <v>23</v>
          </cell>
          <cell r="N1222">
            <v>23.92</v>
          </cell>
          <cell r="O1222">
            <v>0.38979591836734695</v>
          </cell>
          <cell r="P1222">
            <v>39.200000000000003</v>
          </cell>
          <cell r="Q1222">
            <v>24.38</v>
          </cell>
          <cell r="R1222">
            <v>27.55</v>
          </cell>
          <cell r="S1222">
            <v>49</v>
          </cell>
          <cell r="T1222">
            <v>0.51183673469387747</v>
          </cell>
          <cell r="W1222">
            <v>39.200000000000003</v>
          </cell>
          <cell r="X1222">
            <v>0.8</v>
          </cell>
          <cell r="Y1222" t="str">
            <v>Act freight</v>
          </cell>
          <cell r="AA1222">
            <v>77</v>
          </cell>
          <cell r="AB1222">
            <v>56</v>
          </cell>
          <cell r="AC1222">
            <v>66</v>
          </cell>
          <cell r="AD1222">
            <v>73</v>
          </cell>
          <cell r="AE1222">
            <v>78.400000000000006</v>
          </cell>
          <cell r="AF1222">
            <v>0.5</v>
          </cell>
          <cell r="AG1222">
            <v>0.69489795918367347</v>
          </cell>
          <cell r="AH1222">
            <v>83</v>
          </cell>
          <cell r="AI1222">
            <v>87</v>
          </cell>
          <cell r="AJ1222">
            <v>0.54942528735632179</v>
          </cell>
          <cell r="AK1222">
            <v>91</v>
          </cell>
          <cell r="AL1222">
            <v>95</v>
          </cell>
          <cell r="AM1222">
            <v>0.58736842105263154</v>
          </cell>
          <cell r="AN1222">
            <v>95</v>
          </cell>
          <cell r="AO1222">
            <v>95</v>
          </cell>
          <cell r="AP1222">
            <v>95</v>
          </cell>
          <cell r="AQ1222">
            <v>0</v>
          </cell>
          <cell r="AS1222">
            <v>95</v>
          </cell>
        </row>
        <row r="1223">
          <cell r="B1223" t="str">
            <v>SP</v>
          </cell>
          <cell r="C1223" t="str">
            <v>IMP</v>
          </cell>
          <cell r="D1223" t="str">
            <v>BT</v>
          </cell>
          <cell r="E1223" t="str">
            <v>08</v>
          </cell>
          <cell r="F1223">
            <v>39989</v>
          </cell>
          <cell r="G1223">
            <v>40001</v>
          </cell>
          <cell r="H1223" t="str">
            <v>8938508</v>
          </cell>
          <cell r="I1223">
            <v>0</v>
          </cell>
          <cell r="K1223" t="str">
            <v>TN210C (Cyan Toner) - 12,000 yield</v>
          </cell>
          <cell r="L1223">
            <v>95</v>
          </cell>
          <cell r="M1223">
            <v>23</v>
          </cell>
          <cell r="N1223">
            <v>23.92</v>
          </cell>
          <cell r="O1223">
            <v>0.38979591836734695</v>
          </cell>
          <cell r="P1223">
            <v>39.200000000000003</v>
          </cell>
          <cell r="Q1223">
            <v>24.38</v>
          </cell>
          <cell r="R1223">
            <v>27.55</v>
          </cell>
          <cell r="S1223">
            <v>49</v>
          </cell>
          <cell r="T1223">
            <v>0.51183673469387747</v>
          </cell>
          <cell r="U1223">
            <v>0</v>
          </cell>
          <cell r="V1223">
            <v>0</v>
          </cell>
          <cell r="W1223">
            <v>39.200000000000003</v>
          </cell>
          <cell r="X1223">
            <v>0.8</v>
          </cell>
          <cell r="Y1223" t="str">
            <v>Act freight</v>
          </cell>
          <cell r="AA1223">
            <v>77</v>
          </cell>
          <cell r="AB1223">
            <v>56</v>
          </cell>
          <cell r="AC1223">
            <v>66</v>
          </cell>
          <cell r="AD1223">
            <v>73</v>
          </cell>
          <cell r="AE1223">
            <v>78.400000000000006</v>
          </cell>
          <cell r="AF1223">
            <v>0.5</v>
          </cell>
          <cell r="AG1223">
            <v>0.69489795918367347</v>
          </cell>
          <cell r="AH1223">
            <v>83</v>
          </cell>
          <cell r="AI1223">
            <v>87</v>
          </cell>
          <cell r="AJ1223">
            <v>0.54942528735632179</v>
          </cell>
          <cell r="AK1223">
            <v>91</v>
          </cell>
          <cell r="AL1223">
            <v>95</v>
          </cell>
          <cell r="AM1223">
            <v>0.58736842105263154</v>
          </cell>
          <cell r="AN1223">
            <v>95</v>
          </cell>
          <cell r="AO1223">
            <v>95</v>
          </cell>
          <cell r="AP1223">
            <v>95</v>
          </cell>
          <cell r="AQ1223">
            <v>0</v>
          </cell>
          <cell r="AS1223">
            <v>95</v>
          </cell>
        </row>
        <row r="1224">
          <cell r="B1224" t="str">
            <v>SP</v>
          </cell>
          <cell r="C1224" t="str">
            <v>IMP</v>
          </cell>
          <cell r="D1224" t="str">
            <v>BT</v>
          </cell>
          <cell r="E1224" t="str">
            <v>08</v>
          </cell>
          <cell r="F1224">
            <v>39989</v>
          </cell>
          <cell r="G1224">
            <v>40001</v>
          </cell>
          <cell r="H1224" t="str">
            <v>4065611</v>
          </cell>
          <cell r="I1224">
            <v>0</v>
          </cell>
          <cell r="K1224" t="str">
            <v>Waste Toner Box (Yield: 30K)</v>
          </cell>
          <cell r="L1224">
            <v>25</v>
          </cell>
          <cell r="M1224">
            <v>11.5</v>
          </cell>
          <cell r="N1224">
            <v>11.96</v>
          </cell>
          <cell r="O1224">
            <v>0</v>
          </cell>
          <cell r="P1224">
            <v>11.96</v>
          </cell>
          <cell r="Q1224">
            <v>12.19</v>
          </cell>
          <cell r="R1224">
            <v>13.77</v>
          </cell>
          <cell r="S1224">
            <v>14</v>
          </cell>
          <cell r="T1224">
            <v>0.14571428571428566</v>
          </cell>
          <cell r="U1224">
            <v>0</v>
          </cell>
          <cell r="V1224">
            <v>0</v>
          </cell>
          <cell r="W1224">
            <v>11.96</v>
          </cell>
          <cell r="X1224">
            <v>0.85428571428571431</v>
          </cell>
          <cell r="Y1224" t="str">
            <v>Act freight</v>
          </cell>
          <cell r="AA1224">
            <v>23</v>
          </cell>
          <cell r="AB1224">
            <v>18</v>
          </cell>
          <cell r="AC1224">
            <v>20</v>
          </cell>
          <cell r="AD1224">
            <v>22</v>
          </cell>
          <cell r="AE1224">
            <v>23.92</v>
          </cell>
          <cell r="AF1224">
            <v>0.5</v>
          </cell>
          <cell r="AG1224">
            <v>0.5</v>
          </cell>
          <cell r="AH1224">
            <v>25</v>
          </cell>
          <cell r="AI1224">
            <v>25</v>
          </cell>
          <cell r="AJ1224">
            <v>0.52159999999999995</v>
          </cell>
          <cell r="AK1224">
            <v>25</v>
          </cell>
          <cell r="AL1224">
            <v>25</v>
          </cell>
          <cell r="AM1224">
            <v>0.52159999999999995</v>
          </cell>
          <cell r="AN1224">
            <v>25</v>
          </cell>
          <cell r="AO1224">
            <v>25</v>
          </cell>
          <cell r="AP1224">
            <v>25</v>
          </cell>
          <cell r="AQ1224">
            <v>0</v>
          </cell>
          <cell r="AS1224">
            <v>25</v>
          </cell>
        </row>
        <row r="1225">
          <cell r="B1225" t="str">
            <v>SP</v>
          </cell>
          <cell r="C1225" t="str">
            <v>IMP</v>
          </cell>
          <cell r="D1225" t="str">
            <v>BT</v>
          </cell>
          <cell r="E1225" t="str">
            <v>08</v>
          </cell>
          <cell r="F1225">
            <v>39989</v>
          </cell>
          <cell r="G1225">
            <v>40001</v>
          </cell>
          <cell r="H1225" t="str">
            <v>8938701</v>
          </cell>
          <cell r="K1225" t="str">
            <v>TN312K (Yield: 20K)</v>
          </cell>
          <cell r="L1225">
            <v>40</v>
          </cell>
          <cell r="M1225">
            <v>20</v>
          </cell>
          <cell r="N1225">
            <v>20.8</v>
          </cell>
          <cell r="O1225">
            <v>0.1333333333333333</v>
          </cell>
          <cell r="P1225">
            <v>24</v>
          </cell>
          <cell r="Q1225">
            <v>21.2</v>
          </cell>
          <cell r="R1225">
            <v>23.96</v>
          </cell>
          <cell r="S1225">
            <v>30</v>
          </cell>
          <cell r="T1225">
            <v>0.30666666666666664</v>
          </cell>
          <cell r="W1225">
            <v>24</v>
          </cell>
          <cell r="X1225">
            <v>0.8</v>
          </cell>
          <cell r="Y1225" t="str">
            <v>Act freight</v>
          </cell>
          <cell r="AA1225">
            <v>47</v>
          </cell>
          <cell r="AB1225">
            <v>35</v>
          </cell>
          <cell r="AC1225">
            <v>40</v>
          </cell>
          <cell r="AD1225">
            <v>44</v>
          </cell>
          <cell r="AE1225">
            <v>48</v>
          </cell>
          <cell r="AF1225">
            <v>0.5</v>
          </cell>
          <cell r="AG1225">
            <v>0.56666666666666665</v>
          </cell>
          <cell r="AH1225">
            <v>46</v>
          </cell>
          <cell r="AI1225">
            <v>44</v>
          </cell>
          <cell r="AJ1225">
            <v>0.45454545454545453</v>
          </cell>
          <cell r="AK1225">
            <v>42</v>
          </cell>
          <cell r="AL1225">
            <v>40</v>
          </cell>
          <cell r="AM1225">
            <v>0.4</v>
          </cell>
          <cell r="AN1225">
            <v>40</v>
          </cell>
          <cell r="AO1225">
            <v>40</v>
          </cell>
          <cell r="AP1225">
            <v>40</v>
          </cell>
          <cell r="AQ1225">
            <v>0</v>
          </cell>
          <cell r="AS1225">
            <v>40</v>
          </cell>
        </row>
        <row r="1226">
          <cell r="B1226" t="str">
            <v>SP</v>
          </cell>
          <cell r="C1226" t="str">
            <v>IMP</v>
          </cell>
          <cell r="D1226" t="str">
            <v>BT</v>
          </cell>
          <cell r="E1226" t="str">
            <v>08</v>
          </cell>
          <cell r="F1226">
            <v>39989</v>
          </cell>
          <cell r="G1226">
            <v>40001</v>
          </cell>
          <cell r="H1226" t="str">
            <v>8938704</v>
          </cell>
          <cell r="K1226" t="str">
            <v>TN312C (Yield: 12K)</v>
          </cell>
          <cell r="L1226">
            <v>68.5</v>
          </cell>
          <cell r="M1226">
            <v>22</v>
          </cell>
          <cell r="N1226">
            <v>22.880000000000003</v>
          </cell>
          <cell r="O1226">
            <v>0.37826086956521737</v>
          </cell>
          <cell r="P1226">
            <v>36.800000000000004</v>
          </cell>
          <cell r="Q1226">
            <v>23.32</v>
          </cell>
          <cell r="R1226">
            <v>26.35</v>
          </cell>
          <cell r="S1226">
            <v>46</v>
          </cell>
          <cell r="T1226">
            <v>0.50260869565217381</v>
          </cell>
          <cell r="W1226">
            <v>36.800000000000004</v>
          </cell>
          <cell r="X1226">
            <v>0.8</v>
          </cell>
          <cell r="Y1226" t="str">
            <v>Act freight</v>
          </cell>
          <cell r="AA1226">
            <v>72</v>
          </cell>
          <cell r="AB1226">
            <v>53</v>
          </cell>
          <cell r="AC1226">
            <v>62</v>
          </cell>
          <cell r="AD1226">
            <v>68</v>
          </cell>
          <cell r="AE1226">
            <v>73.599999999999994</v>
          </cell>
          <cell r="AF1226">
            <v>0.49999999999999989</v>
          </cell>
          <cell r="AG1226">
            <v>0.6891304347826086</v>
          </cell>
          <cell r="AH1226">
            <v>73</v>
          </cell>
          <cell r="AI1226">
            <v>72</v>
          </cell>
          <cell r="AJ1226">
            <v>0.48888888888888882</v>
          </cell>
          <cell r="AK1226">
            <v>70.5</v>
          </cell>
          <cell r="AL1226">
            <v>69</v>
          </cell>
          <cell r="AM1226">
            <v>0.46666666666666662</v>
          </cell>
          <cell r="AN1226">
            <v>68.88</v>
          </cell>
          <cell r="AO1226">
            <v>68.760000000000005</v>
          </cell>
          <cell r="AP1226">
            <v>68.64</v>
          </cell>
          <cell r="AQ1226">
            <v>0</v>
          </cell>
          <cell r="AS1226">
            <v>68.5</v>
          </cell>
        </row>
        <row r="1227">
          <cell r="B1227" t="str">
            <v>SP</v>
          </cell>
          <cell r="C1227" t="str">
            <v>IMP</v>
          </cell>
          <cell r="D1227" t="str">
            <v>BT</v>
          </cell>
          <cell r="E1227" t="str">
            <v>08</v>
          </cell>
          <cell r="F1227">
            <v>39989</v>
          </cell>
          <cell r="G1227">
            <v>40001</v>
          </cell>
          <cell r="H1227" t="str">
            <v>8938703</v>
          </cell>
          <cell r="K1227" t="str">
            <v>TN312M (Yield: 12K)</v>
          </cell>
          <cell r="L1227">
            <v>68.5</v>
          </cell>
          <cell r="M1227">
            <v>22</v>
          </cell>
          <cell r="N1227">
            <v>22.880000000000003</v>
          </cell>
          <cell r="O1227">
            <v>0.37826086956521737</v>
          </cell>
          <cell r="P1227">
            <v>36.800000000000004</v>
          </cell>
          <cell r="Q1227">
            <v>23.32</v>
          </cell>
          <cell r="R1227">
            <v>26.35</v>
          </cell>
          <cell r="S1227">
            <v>46</v>
          </cell>
          <cell r="T1227">
            <v>0.50260869565217381</v>
          </cell>
          <cell r="W1227">
            <v>36.800000000000004</v>
          </cell>
          <cell r="X1227">
            <v>0.8</v>
          </cell>
          <cell r="Y1227" t="str">
            <v>Act freight</v>
          </cell>
          <cell r="AA1227">
            <v>72</v>
          </cell>
          <cell r="AB1227">
            <v>53</v>
          </cell>
          <cell r="AC1227">
            <v>62</v>
          </cell>
          <cell r="AD1227">
            <v>68</v>
          </cell>
          <cell r="AE1227">
            <v>73.599999999999994</v>
          </cell>
          <cell r="AF1227">
            <v>0.49999999999999989</v>
          </cell>
          <cell r="AG1227">
            <v>0.6891304347826086</v>
          </cell>
          <cell r="AH1227">
            <v>73</v>
          </cell>
          <cell r="AI1227">
            <v>72</v>
          </cell>
          <cell r="AJ1227">
            <v>0.48888888888888882</v>
          </cell>
          <cell r="AK1227">
            <v>70.5</v>
          </cell>
          <cell r="AL1227">
            <v>69</v>
          </cell>
          <cell r="AM1227">
            <v>0.46666666666666662</v>
          </cell>
          <cell r="AN1227">
            <v>68.88</v>
          </cell>
          <cell r="AO1227">
            <v>68.760000000000005</v>
          </cell>
          <cell r="AP1227">
            <v>68.64</v>
          </cell>
          <cell r="AQ1227">
            <v>0</v>
          </cell>
          <cell r="AS1227">
            <v>68.5</v>
          </cell>
        </row>
        <row r="1228">
          <cell r="B1228" t="str">
            <v>SP</v>
          </cell>
          <cell r="C1228" t="str">
            <v>IMP</v>
          </cell>
          <cell r="D1228" t="str">
            <v>BT</v>
          </cell>
          <cell r="E1228" t="str">
            <v>08</v>
          </cell>
          <cell r="F1228">
            <v>39989</v>
          </cell>
          <cell r="G1228">
            <v>40001</v>
          </cell>
          <cell r="H1228" t="str">
            <v>8938702</v>
          </cell>
          <cell r="K1228" t="str">
            <v>TN312Y (Yield: 12K)</v>
          </cell>
          <cell r="L1228">
            <v>68.5</v>
          </cell>
          <cell r="M1228">
            <v>22</v>
          </cell>
          <cell r="N1228">
            <v>22.880000000000003</v>
          </cell>
          <cell r="O1228">
            <v>0.37826086956521737</v>
          </cell>
          <cell r="P1228">
            <v>36.800000000000004</v>
          </cell>
          <cell r="Q1228">
            <v>23.32</v>
          </cell>
          <cell r="R1228">
            <v>26.35</v>
          </cell>
          <cell r="S1228">
            <v>46</v>
          </cell>
          <cell r="T1228">
            <v>0.50260869565217381</v>
          </cell>
          <cell r="W1228">
            <v>36.800000000000004</v>
          </cell>
          <cell r="X1228">
            <v>0.8</v>
          </cell>
          <cell r="Y1228" t="str">
            <v>Act freight</v>
          </cell>
          <cell r="AA1228">
            <v>72</v>
          </cell>
          <cell r="AB1228">
            <v>53</v>
          </cell>
          <cell r="AC1228">
            <v>62</v>
          </cell>
          <cell r="AD1228">
            <v>68</v>
          </cell>
          <cell r="AE1228">
            <v>73.599999999999994</v>
          </cell>
          <cell r="AF1228">
            <v>0.49999999999999989</v>
          </cell>
          <cell r="AG1228">
            <v>0.6891304347826086</v>
          </cell>
          <cell r="AH1228">
            <v>73</v>
          </cell>
          <cell r="AI1228">
            <v>72</v>
          </cell>
          <cell r="AJ1228">
            <v>0.48888888888888882</v>
          </cell>
          <cell r="AK1228">
            <v>70.5</v>
          </cell>
          <cell r="AL1228">
            <v>69</v>
          </cell>
          <cell r="AM1228">
            <v>0.46666666666666662</v>
          </cell>
          <cell r="AN1228">
            <v>68.88</v>
          </cell>
          <cell r="AO1228">
            <v>68.760000000000005</v>
          </cell>
          <cell r="AP1228">
            <v>68.64</v>
          </cell>
          <cell r="AQ1228">
            <v>0</v>
          </cell>
          <cell r="AS1228">
            <v>68.5</v>
          </cell>
        </row>
        <row r="1229">
          <cell r="B1229" t="str">
            <v>SP</v>
          </cell>
          <cell r="C1229" t="str">
            <v>IMP</v>
          </cell>
          <cell r="D1229" t="str">
            <v>BT</v>
          </cell>
          <cell r="E1229" t="str">
            <v>08</v>
          </cell>
          <cell r="F1229">
            <v>39989</v>
          </cell>
          <cell r="G1229">
            <v>40001</v>
          </cell>
          <cell r="H1229" t="str">
            <v>4623371</v>
          </cell>
          <cell r="I1229" t="str">
            <v>3KMKMK718</v>
          </cell>
          <cell r="K1229" t="str">
            <v>MS-3D Staple Cartridge (3K x 3) FN-106/108/110/116, FS-501</v>
          </cell>
          <cell r="L1229">
            <v>40</v>
          </cell>
          <cell r="M1229">
            <v>17.5</v>
          </cell>
          <cell r="N1229">
            <v>18.2</v>
          </cell>
          <cell r="O1229">
            <v>0.22619047619047622</v>
          </cell>
          <cell r="P1229">
            <v>23.52</v>
          </cell>
          <cell r="Q1229">
            <v>18.55</v>
          </cell>
          <cell r="R1229">
            <v>20.96</v>
          </cell>
          <cell r="S1229">
            <v>29.4</v>
          </cell>
          <cell r="T1229">
            <v>0.38095238095238093</v>
          </cell>
          <cell r="U1229">
            <v>46.386559999999996</v>
          </cell>
          <cell r="V1229">
            <v>0.80942755832723967</v>
          </cell>
          <cell r="W1229">
            <v>23.52</v>
          </cell>
          <cell r="X1229">
            <v>0.8</v>
          </cell>
          <cell r="Y1229" t="str">
            <v>Act freight</v>
          </cell>
          <cell r="AA1229">
            <v>46</v>
          </cell>
          <cell r="AB1229">
            <v>34</v>
          </cell>
          <cell r="AC1229">
            <v>40</v>
          </cell>
          <cell r="AD1229">
            <v>44</v>
          </cell>
          <cell r="AE1229">
            <v>47.04</v>
          </cell>
          <cell r="AF1229">
            <v>0.5</v>
          </cell>
          <cell r="AG1229">
            <v>0.61309523809523814</v>
          </cell>
          <cell r="AH1229">
            <v>46</v>
          </cell>
          <cell r="AI1229">
            <v>44</v>
          </cell>
          <cell r="AJ1229">
            <v>0.46545454545454545</v>
          </cell>
          <cell r="AK1229">
            <v>42</v>
          </cell>
          <cell r="AL1229">
            <v>40</v>
          </cell>
          <cell r="AM1229">
            <v>0.41200000000000003</v>
          </cell>
          <cell r="AN1229">
            <v>40</v>
          </cell>
          <cell r="AO1229">
            <v>40</v>
          </cell>
          <cell r="AP1229">
            <v>40</v>
          </cell>
          <cell r="AQ1229">
            <v>0</v>
          </cell>
          <cell r="AS1229">
            <v>40</v>
          </cell>
        </row>
        <row r="1230">
          <cell r="B1230" t="str">
            <v>SP</v>
          </cell>
          <cell r="C1230" t="str">
            <v>IMP</v>
          </cell>
          <cell r="D1230" t="str">
            <v>BT</v>
          </cell>
          <cell r="E1230" t="str">
            <v>08</v>
          </cell>
          <cell r="F1230">
            <v>39990</v>
          </cell>
          <cell r="G1230">
            <v>40001</v>
          </cell>
          <cell r="H1230" t="str">
            <v>950764</v>
          </cell>
          <cell r="I1230" t="str">
            <v>3KMKMK723</v>
          </cell>
          <cell r="K1230" t="str">
            <v>Staples (FS-107/108B/115/211/215/513/606)</v>
          </cell>
          <cell r="L1230">
            <v>52</v>
          </cell>
          <cell r="M1230">
            <v>20</v>
          </cell>
          <cell r="N1230">
            <v>20.8</v>
          </cell>
          <cell r="O1230">
            <v>0.23865300146412882</v>
          </cell>
          <cell r="P1230">
            <v>47.92</v>
          </cell>
          <cell r="Q1230">
            <v>8.48</v>
          </cell>
          <cell r="R1230">
            <v>9.58</v>
          </cell>
          <cell r="S1230">
            <v>34.15</v>
          </cell>
          <cell r="T1230">
            <v>0.390922401171303</v>
          </cell>
          <cell r="U1230">
            <v>46.386559999999996</v>
          </cell>
          <cell r="V1230">
            <v>0.82063770195504904</v>
          </cell>
          <cell r="W1230">
            <v>27.32</v>
          </cell>
          <cell r="X1230">
            <v>0.8</v>
          </cell>
          <cell r="Y1230" t="str">
            <v>Act freight</v>
          </cell>
          <cell r="AA1230">
            <v>54</v>
          </cell>
          <cell r="AB1230">
            <v>40</v>
          </cell>
          <cell r="AC1230">
            <v>46</v>
          </cell>
          <cell r="AD1230">
            <v>51</v>
          </cell>
          <cell r="AE1230">
            <v>54.64</v>
          </cell>
          <cell r="AF1230">
            <v>0.5</v>
          </cell>
          <cell r="AG1230">
            <v>0.61932650073206452</v>
          </cell>
          <cell r="AH1230">
            <v>55</v>
          </cell>
          <cell r="AI1230">
            <v>54</v>
          </cell>
          <cell r="AJ1230">
            <v>0.49407407407407405</v>
          </cell>
          <cell r="AK1230">
            <v>53</v>
          </cell>
          <cell r="AL1230">
            <v>52</v>
          </cell>
          <cell r="AM1230">
            <v>0.47461538461538461</v>
          </cell>
          <cell r="AN1230">
            <v>52</v>
          </cell>
          <cell r="AO1230">
            <v>52</v>
          </cell>
          <cell r="AP1230">
            <v>52</v>
          </cell>
          <cell r="AQ1230">
            <v>0</v>
          </cell>
          <cell r="AS1230">
            <v>52</v>
          </cell>
        </row>
        <row r="1231">
          <cell r="B1231" t="str">
            <v>SP</v>
          </cell>
          <cell r="C1231" t="str">
            <v>IMP</v>
          </cell>
          <cell r="D1231" t="str">
            <v>BT</v>
          </cell>
          <cell r="E1231" t="str">
            <v>08</v>
          </cell>
          <cell r="F1231">
            <v>39990</v>
          </cell>
          <cell r="G1231">
            <v>40001</v>
          </cell>
          <cell r="H1231" t="str">
            <v>020V</v>
          </cell>
          <cell r="I1231">
            <v>0</v>
          </cell>
          <cell r="K1231" t="str">
            <v>Toner (Black) 30K Yield</v>
          </cell>
          <cell r="L1231">
            <v>55</v>
          </cell>
          <cell r="M1231">
            <v>15.66</v>
          </cell>
          <cell r="N1231">
            <v>16.2864</v>
          </cell>
          <cell r="O1231">
            <v>0.38309090909090915</v>
          </cell>
          <cell r="P1231">
            <v>0</v>
          </cell>
          <cell r="Q1231">
            <v>0</v>
          </cell>
          <cell r="R1231">
            <v>0</v>
          </cell>
          <cell r="S1231">
            <v>33</v>
          </cell>
          <cell r="T1231">
            <v>0.5064727272727273</v>
          </cell>
          <cell r="U1231">
            <v>0</v>
          </cell>
          <cell r="V1231">
            <v>0</v>
          </cell>
          <cell r="W1231">
            <v>26.400000000000002</v>
          </cell>
          <cell r="X1231">
            <v>0.8</v>
          </cell>
          <cell r="Y1231" t="str">
            <v>Act freight</v>
          </cell>
          <cell r="AA1231">
            <v>52</v>
          </cell>
          <cell r="AB1231">
            <v>38</v>
          </cell>
          <cell r="AC1231">
            <v>44</v>
          </cell>
          <cell r="AD1231">
            <v>49</v>
          </cell>
          <cell r="AE1231">
            <v>52.8</v>
          </cell>
          <cell r="AF1231">
            <v>0.49999999999999994</v>
          </cell>
          <cell r="AG1231">
            <v>0.69154545454545457</v>
          </cell>
          <cell r="AH1231">
            <v>54</v>
          </cell>
          <cell r="AI1231">
            <v>54</v>
          </cell>
          <cell r="AJ1231">
            <v>0.51111111111111107</v>
          </cell>
          <cell r="AK1231">
            <v>54.5</v>
          </cell>
          <cell r="AL1231">
            <v>55</v>
          </cell>
          <cell r="AM1231">
            <v>0.51999999999999991</v>
          </cell>
          <cell r="AN1231">
            <v>55</v>
          </cell>
          <cell r="AO1231">
            <v>55</v>
          </cell>
          <cell r="AP1231">
            <v>55</v>
          </cell>
          <cell r="AQ1231">
            <v>0</v>
          </cell>
          <cell r="AS1231">
            <v>55</v>
          </cell>
        </row>
        <row r="1232">
          <cell r="B1232" t="str">
            <v>SP</v>
          </cell>
          <cell r="C1232" t="str">
            <v>IMP</v>
          </cell>
          <cell r="D1232" t="str">
            <v>BT</v>
          </cell>
          <cell r="E1232" t="str">
            <v>08</v>
          </cell>
          <cell r="F1232">
            <v>39990</v>
          </cell>
          <cell r="G1232">
            <v>40001</v>
          </cell>
          <cell r="H1232" t="str">
            <v>020W</v>
          </cell>
          <cell r="I1232" t="str">
            <v>3KMM128MBCMU</v>
          </cell>
          <cell r="J1232" t="str">
            <v>MX7640008110KMUS</v>
          </cell>
          <cell r="K1232" t="str">
            <v>Toner (Yellow) 20K Yield</v>
          </cell>
          <cell r="L1232">
            <v>98</v>
          </cell>
          <cell r="M1232">
            <v>26</v>
          </cell>
          <cell r="N1232">
            <v>27.04</v>
          </cell>
          <cell r="O1232">
            <v>0.42711864406779665</v>
          </cell>
          <cell r="P1232">
            <v>45.04</v>
          </cell>
          <cell r="Q1232">
            <v>43.73</v>
          </cell>
          <cell r="R1232">
            <v>49.41</v>
          </cell>
          <cell r="S1232">
            <v>59</v>
          </cell>
          <cell r="T1232">
            <v>0.5416949152542373</v>
          </cell>
          <cell r="U1232">
            <v>48.417999999999999</v>
          </cell>
          <cell r="V1232">
            <v>0.12248543929943399</v>
          </cell>
          <cell r="W1232">
            <v>47.2</v>
          </cell>
          <cell r="X1232">
            <v>0.8</v>
          </cell>
          <cell r="Y1232" t="str">
            <v>Act freight</v>
          </cell>
          <cell r="AA1232">
            <v>93</v>
          </cell>
          <cell r="AB1232">
            <v>68</v>
          </cell>
          <cell r="AC1232">
            <v>79</v>
          </cell>
          <cell r="AD1232">
            <v>87</v>
          </cell>
          <cell r="AE1232">
            <v>94.4</v>
          </cell>
          <cell r="AF1232">
            <v>0.5</v>
          </cell>
          <cell r="AG1232">
            <v>0.71355932203389838</v>
          </cell>
          <cell r="AH1232">
            <v>96</v>
          </cell>
          <cell r="AI1232">
            <v>97</v>
          </cell>
          <cell r="AJ1232">
            <v>0.51340206185567006</v>
          </cell>
          <cell r="AK1232">
            <v>97.5</v>
          </cell>
          <cell r="AL1232">
            <v>98</v>
          </cell>
          <cell r="AM1232">
            <v>0.51836734693877551</v>
          </cell>
          <cell r="AN1232">
            <v>98</v>
          </cell>
          <cell r="AO1232">
            <v>98</v>
          </cell>
          <cell r="AP1232">
            <v>98</v>
          </cell>
          <cell r="AQ1232">
            <v>0</v>
          </cell>
          <cell r="AS1232">
            <v>98</v>
          </cell>
        </row>
        <row r="1233">
          <cell r="B1233" t="str">
            <v>SP</v>
          </cell>
          <cell r="C1233" t="str">
            <v>IMP</v>
          </cell>
          <cell r="D1233" t="str">
            <v>BT</v>
          </cell>
          <cell r="E1233" t="str">
            <v>08</v>
          </cell>
          <cell r="F1233">
            <v>39990</v>
          </cell>
          <cell r="G1233">
            <v>40001</v>
          </cell>
          <cell r="H1233" t="str">
            <v>020X</v>
          </cell>
          <cell r="I1233">
            <v>0</v>
          </cell>
          <cell r="J1233">
            <v>0</v>
          </cell>
          <cell r="K1233" t="str">
            <v>Toner (Magenta) 20K Yield</v>
          </cell>
          <cell r="L1233">
            <v>98</v>
          </cell>
          <cell r="M1233">
            <v>26</v>
          </cell>
          <cell r="N1233">
            <v>27.04</v>
          </cell>
          <cell r="O1233">
            <v>0.42711864406779665</v>
          </cell>
          <cell r="P1233">
            <v>0</v>
          </cell>
          <cell r="Q1233">
            <v>0</v>
          </cell>
          <cell r="R1233">
            <v>0</v>
          </cell>
          <cell r="S1233">
            <v>59</v>
          </cell>
          <cell r="T1233">
            <v>0.5416949152542373</v>
          </cell>
          <cell r="U1233">
            <v>0</v>
          </cell>
          <cell r="V1233">
            <v>0</v>
          </cell>
          <cell r="W1233">
            <v>47.2</v>
          </cell>
          <cell r="X1233">
            <v>0.8</v>
          </cell>
          <cell r="Y1233" t="str">
            <v>Act freight</v>
          </cell>
          <cell r="AA1233">
            <v>93</v>
          </cell>
          <cell r="AB1233">
            <v>68</v>
          </cell>
          <cell r="AC1233">
            <v>79</v>
          </cell>
          <cell r="AD1233">
            <v>87</v>
          </cell>
          <cell r="AE1233">
            <v>94.4</v>
          </cell>
          <cell r="AF1233">
            <v>0.5</v>
          </cell>
          <cell r="AG1233">
            <v>0.71355932203389838</v>
          </cell>
          <cell r="AH1233">
            <v>96</v>
          </cell>
          <cell r="AI1233">
            <v>97</v>
          </cell>
          <cell r="AJ1233">
            <v>0.51340206185567006</v>
          </cell>
          <cell r="AK1233">
            <v>97.5</v>
          </cell>
          <cell r="AL1233">
            <v>98</v>
          </cell>
          <cell r="AM1233">
            <v>0.51836734693877551</v>
          </cell>
          <cell r="AN1233">
            <v>98</v>
          </cell>
          <cell r="AO1233">
            <v>98</v>
          </cell>
          <cell r="AP1233">
            <v>98</v>
          </cell>
          <cell r="AQ1233">
            <v>0</v>
          </cell>
          <cell r="AS1233">
            <v>98</v>
          </cell>
        </row>
        <row r="1234">
          <cell r="B1234" t="str">
            <v>SP</v>
          </cell>
          <cell r="C1234" t="str">
            <v>IMP</v>
          </cell>
          <cell r="D1234" t="str">
            <v>BT</v>
          </cell>
          <cell r="E1234" t="str">
            <v>08</v>
          </cell>
          <cell r="F1234">
            <v>39990</v>
          </cell>
          <cell r="G1234">
            <v>40001</v>
          </cell>
          <cell r="H1234" t="str">
            <v>020Y</v>
          </cell>
          <cell r="I1234" t="str">
            <v>9KMBHPRO1200_N</v>
          </cell>
          <cell r="K1234" t="str">
            <v>Toner (Cyan) 20K Yield</v>
          </cell>
          <cell r="L1234">
            <v>98</v>
          </cell>
          <cell r="M1234">
            <v>26</v>
          </cell>
          <cell r="N1234">
            <v>27.04</v>
          </cell>
          <cell r="O1234">
            <v>0.42711864406779665</v>
          </cell>
          <cell r="P1234">
            <v>22470</v>
          </cell>
          <cell r="Q1234">
            <v>16854</v>
          </cell>
          <cell r="R1234">
            <v>19045.02</v>
          </cell>
          <cell r="S1234">
            <v>59</v>
          </cell>
          <cell r="T1234">
            <v>0.5416949152542373</v>
          </cell>
          <cell r="U1234">
            <v>22470</v>
          </cell>
          <cell r="V1234">
            <v>0.26408544726301736</v>
          </cell>
          <cell r="W1234">
            <v>47.2</v>
          </cell>
          <cell r="X1234">
            <v>0.8</v>
          </cell>
          <cell r="Y1234" t="str">
            <v>Act freight</v>
          </cell>
          <cell r="Z1234">
            <v>500</v>
          </cell>
          <cell r="AA1234">
            <v>93</v>
          </cell>
          <cell r="AB1234">
            <v>68</v>
          </cell>
          <cell r="AC1234">
            <v>79</v>
          </cell>
          <cell r="AD1234">
            <v>87</v>
          </cell>
          <cell r="AE1234">
            <v>94.4</v>
          </cell>
          <cell r="AF1234">
            <v>0.5</v>
          </cell>
          <cell r="AG1234">
            <v>0.71355932203389838</v>
          </cell>
          <cell r="AH1234">
            <v>96</v>
          </cell>
          <cell r="AI1234">
            <v>97</v>
          </cell>
          <cell r="AJ1234">
            <v>0.51340206185567006</v>
          </cell>
          <cell r="AK1234">
            <v>97.5</v>
          </cell>
          <cell r="AL1234">
            <v>98</v>
          </cell>
          <cell r="AM1234">
            <v>0.51836734693877551</v>
          </cell>
          <cell r="AN1234">
            <v>98</v>
          </cell>
          <cell r="AO1234">
            <v>98</v>
          </cell>
          <cell r="AP1234">
            <v>98</v>
          </cell>
          <cell r="AQ1234">
            <v>0</v>
          </cell>
          <cell r="AR1234">
            <v>811</v>
          </cell>
          <cell r="AS1234">
            <v>98</v>
          </cell>
        </row>
        <row r="1235">
          <cell r="B1235" t="str">
            <v>SP</v>
          </cell>
          <cell r="C1235" t="str">
            <v>IMP</v>
          </cell>
          <cell r="D1235" t="str">
            <v>BT</v>
          </cell>
          <cell r="E1235" t="str">
            <v>08</v>
          </cell>
          <cell r="F1235">
            <v>40056</v>
          </cell>
          <cell r="G1235">
            <v>40056</v>
          </cell>
          <cell r="H1235" t="str">
            <v>A0XV03D</v>
          </cell>
          <cell r="I1235" t="str">
            <v>SDKMA0XV03D</v>
          </cell>
          <cell r="K1235" t="str">
            <v>Developing Unit - Black</v>
          </cell>
          <cell r="L1235">
            <v>168</v>
          </cell>
          <cell r="M1235">
            <v>80</v>
          </cell>
          <cell r="N1235">
            <v>83.2</v>
          </cell>
          <cell r="O1235">
            <v>0</v>
          </cell>
          <cell r="P1235">
            <v>83.2</v>
          </cell>
          <cell r="Q1235">
            <v>84.8</v>
          </cell>
          <cell r="R1235">
            <v>95.82</v>
          </cell>
          <cell r="S1235">
            <v>98</v>
          </cell>
          <cell r="T1235">
            <v>0.15102040816326529</v>
          </cell>
          <cell r="U1235">
            <v>18743</v>
          </cell>
          <cell r="V1235">
            <v>0.28421277276850027</v>
          </cell>
          <cell r="W1235">
            <v>83.2</v>
          </cell>
          <cell r="X1235">
            <v>0.84897959183673477</v>
          </cell>
          <cell r="Y1235">
            <v>800</v>
          </cell>
          <cell r="Z1235">
            <v>500</v>
          </cell>
          <cell r="AA1235">
            <v>163</v>
          </cell>
          <cell r="AB1235">
            <v>119</v>
          </cell>
          <cell r="AC1235">
            <v>139</v>
          </cell>
          <cell r="AD1235">
            <v>153</v>
          </cell>
          <cell r="AE1235">
            <v>166.4</v>
          </cell>
          <cell r="AF1235">
            <v>0.5</v>
          </cell>
          <cell r="AG1235">
            <v>0.5</v>
          </cell>
          <cell r="AH1235">
            <v>168</v>
          </cell>
          <cell r="AI1235">
            <v>168</v>
          </cell>
          <cell r="AJ1235">
            <v>0.50476190476190474</v>
          </cell>
          <cell r="AK1235">
            <v>168</v>
          </cell>
          <cell r="AL1235">
            <v>168</v>
          </cell>
          <cell r="AM1235">
            <v>0.50476190476190474</v>
          </cell>
          <cell r="AN1235">
            <v>168</v>
          </cell>
          <cell r="AO1235">
            <v>168</v>
          </cell>
          <cell r="AP1235">
            <v>168</v>
          </cell>
          <cell r="AQ1235">
            <v>0</v>
          </cell>
          <cell r="AR1235">
            <v>811</v>
          </cell>
          <cell r="AS1235">
            <v>168</v>
          </cell>
        </row>
        <row r="1236">
          <cell r="B1236" t="str">
            <v>SP</v>
          </cell>
          <cell r="C1236" t="str">
            <v>IMP</v>
          </cell>
          <cell r="D1236" t="str">
            <v>BT</v>
          </cell>
          <cell r="E1236" t="str">
            <v>08</v>
          </cell>
          <cell r="F1236">
            <v>40056</v>
          </cell>
          <cell r="G1236">
            <v>40056</v>
          </cell>
          <cell r="H1236" t="str">
            <v>A0XV0KD</v>
          </cell>
          <cell r="I1236" t="str">
            <v>SDKMA0XV0KDCY</v>
          </cell>
          <cell r="K1236" t="str">
            <v>Developing Unit - Cyan</v>
          </cell>
          <cell r="L1236">
            <v>486</v>
          </cell>
          <cell r="M1236">
            <v>117</v>
          </cell>
          <cell r="N1236">
            <v>121.68</v>
          </cell>
          <cell r="O1236">
            <v>0.27571428571428569</v>
          </cell>
          <cell r="P1236">
            <v>168</v>
          </cell>
          <cell r="Q1236">
            <v>124.02</v>
          </cell>
          <cell r="R1236">
            <v>140.13999999999999</v>
          </cell>
          <cell r="S1236">
            <v>210</v>
          </cell>
          <cell r="T1236">
            <v>0.42057142857142854</v>
          </cell>
          <cell r="U1236">
            <v>19670</v>
          </cell>
          <cell r="V1236">
            <v>0.22277580071174377</v>
          </cell>
          <cell r="W1236">
            <v>168</v>
          </cell>
          <cell r="X1236">
            <v>0.8</v>
          </cell>
          <cell r="Y1236">
            <v>800</v>
          </cell>
          <cell r="Z1236">
            <v>500</v>
          </cell>
          <cell r="AA1236">
            <v>329</v>
          </cell>
          <cell r="AB1236">
            <v>240</v>
          </cell>
          <cell r="AC1236">
            <v>280</v>
          </cell>
          <cell r="AD1236">
            <v>308</v>
          </cell>
          <cell r="AE1236">
            <v>336</v>
          </cell>
          <cell r="AF1236">
            <v>0.5</v>
          </cell>
          <cell r="AG1236">
            <v>0.63785714285714279</v>
          </cell>
          <cell r="AH1236">
            <v>374</v>
          </cell>
          <cell r="AI1236">
            <v>411</v>
          </cell>
          <cell r="AJ1236">
            <v>0.59124087591240881</v>
          </cell>
          <cell r="AK1236">
            <v>448.5</v>
          </cell>
          <cell r="AL1236">
            <v>486</v>
          </cell>
          <cell r="AM1236">
            <v>0.65432098765432101</v>
          </cell>
          <cell r="AN1236">
            <v>486</v>
          </cell>
          <cell r="AO1236">
            <v>486</v>
          </cell>
          <cell r="AP1236">
            <v>486</v>
          </cell>
          <cell r="AQ1236">
            <v>0</v>
          </cell>
          <cell r="AR1236">
            <v>811</v>
          </cell>
          <cell r="AS1236">
            <v>486</v>
          </cell>
        </row>
        <row r="1237">
          <cell r="B1237" t="str">
            <v>SP</v>
          </cell>
          <cell r="C1237" t="str">
            <v>IMP</v>
          </cell>
          <cell r="D1237" t="str">
            <v>BT</v>
          </cell>
          <cell r="E1237" t="str">
            <v>08</v>
          </cell>
          <cell r="F1237">
            <v>40056</v>
          </cell>
          <cell r="G1237">
            <v>40056</v>
          </cell>
          <cell r="H1237" t="str">
            <v>A0XV0ED</v>
          </cell>
          <cell r="I1237" t="str">
            <v>SDKMA0XV0EDMA</v>
          </cell>
          <cell r="K1237" t="str">
            <v>Developing Unit - Magenta</v>
          </cell>
          <cell r="L1237">
            <v>486</v>
          </cell>
          <cell r="M1237">
            <v>117</v>
          </cell>
          <cell r="N1237">
            <v>121.68</v>
          </cell>
          <cell r="O1237">
            <v>0.27571428571428569</v>
          </cell>
          <cell r="P1237">
            <v>168</v>
          </cell>
          <cell r="Q1237">
            <v>124.02</v>
          </cell>
          <cell r="R1237">
            <v>140.13999999999999</v>
          </cell>
          <cell r="S1237">
            <v>210</v>
          </cell>
          <cell r="T1237">
            <v>0.42057142857142854</v>
          </cell>
          <cell r="U1237">
            <v>2658.0505600000001</v>
          </cell>
          <cell r="V1237">
            <v>0.24877275472141505</v>
          </cell>
          <cell r="W1237">
            <v>168</v>
          </cell>
          <cell r="X1237">
            <v>0.8</v>
          </cell>
          <cell r="Y1237">
            <v>0</v>
          </cell>
          <cell r="Z1237">
            <v>0</v>
          </cell>
          <cell r="AA1237">
            <v>329</v>
          </cell>
          <cell r="AB1237">
            <v>240</v>
          </cell>
          <cell r="AC1237">
            <v>280</v>
          </cell>
          <cell r="AD1237">
            <v>308</v>
          </cell>
          <cell r="AE1237">
            <v>336</v>
          </cell>
          <cell r="AF1237">
            <v>0.5</v>
          </cell>
          <cell r="AG1237">
            <v>0.63785714285714279</v>
          </cell>
          <cell r="AH1237">
            <v>374</v>
          </cell>
          <cell r="AI1237">
            <v>411</v>
          </cell>
          <cell r="AJ1237">
            <v>0.59124087591240881</v>
          </cell>
          <cell r="AK1237">
            <v>448.5</v>
          </cell>
          <cell r="AL1237">
            <v>486</v>
          </cell>
          <cell r="AM1237">
            <v>0.65432098765432101</v>
          </cell>
          <cell r="AN1237">
            <v>486</v>
          </cell>
          <cell r="AO1237">
            <v>486</v>
          </cell>
          <cell r="AP1237">
            <v>486</v>
          </cell>
          <cell r="AQ1237">
            <v>0</v>
          </cell>
          <cell r="AR1237">
            <v>0</v>
          </cell>
          <cell r="AS1237">
            <v>486</v>
          </cell>
        </row>
        <row r="1238">
          <cell r="B1238" t="str">
            <v>SP</v>
          </cell>
          <cell r="C1238" t="str">
            <v>IMP</v>
          </cell>
          <cell r="D1238" t="str">
            <v>BT</v>
          </cell>
          <cell r="E1238" t="str">
            <v>08</v>
          </cell>
          <cell r="F1238">
            <v>40056</v>
          </cell>
          <cell r="G1238">
            <v>40056</v>
          </cell>
          <cell r="H1238" t="str">
            <v>A0XV08D</v>
          </cell>
          <cell r="I1238" t="str">
            <v>SDKMA0XV08DYE</v>
          </cell>
          <cell r="K1238" t="str">
            <v>Developing Unit - Yellow</v>
          </cell>
          <cell r="L1238">
            <v>486</v>
          </cell>
          <cell r="M1238">
            <v>117</v>
          </cell>
          <cell r="N1238">
            <v>121.68</v>
          </cell>
          <cell r="O1238">
            <v>0.27571428571428569</v>
          </cell>
          <cell r="P1238">
            <v>168</v>
          </cell>
          <cell r="Q1238">
            <v>124.02</v>
          </cell>
          <cell r="R1238">
            <v>140.13999999999999</v>
          </cell>
          <cell r="S1238">
            <v>210</v>
          </cell>
          <cell r="T1238">
            <v>0.42057142857142854</v>
          </cell>
          <cell r="U1238">
            <v>4328.8959999999997</v>
          </cell>
          <cell r="V1238">
            <v>0.20718816067653273</v>
          </cell>
          <cell r="W1238">
            <v>168</v>
          </cell>
          <cell r="X1238">
            <v>0.8</v>
          </cell>
          <cell r="AA1238">
            <v>329</v>
          </cell>
          <cell r="AB1238">
            <v>240</v>
          </cell>
          <cell r="AC1238">
            <v>280</v>
          </cell>
          <cell r="AD1238">
            <v>308</v>
          </cell>
          <cell r="AE1238">
            <v>336</v>
          </cell>
          <cell r="AF1238">
            <v>0.5</v>
          </cell>
          <cell r="AG1238">
            <v>0.63785714285714279</v>
          </cell>
          <cell r="AH1238">
            <v>374</v>
          </cell>
          <cell r="AI1238">
            <v>411</v>
          </cell>
          <cell r="AJ1238">
            <v>0.59124087591240881</v>
          </cell>
          <cell r="AK1238">
            <v>448.5</v>
          </cell>
          <cell r="AL1238">
            <v>486</v>
          </cell>
          <cell r="AM1238">
            <v>0.65432098765432101</v>
          </cell>
          <cell r="AN1238">
            <v>486</v>
          </cell>
          <cell r="AO1238">
            <v>486</v>
          </cell>
          <cell r="AP1238">
            <v>486</v>
          </cell>
          <cell r="AQ1238">
            <v>0</v>
          </cell>
          <cell r="AS1238">
            <v>486</v>
          </cell>
        </row>
        <row r="1239">
          <cell r="B1239" t="str">
            <v>AC</v>
          </cell>
          <cell r="C1239" t="str">
            <v>IMP</v>
          </cell>
          <cell r="D1239" t="str">
            <v>BT</v>
          </cell>
          <cell r="E1239" t="str">
            <v>08</v>
          </cell>
          <cell r="F1239">
            <v>40038</v>
          </cell>
          <cell r="G1239">
            <v>40038</v>
          </cell>
          <cell r="H1239" t="str">
            <v>A08RWY1</v>
          </cell>
          <cell r="I1239" t="str">
            <v>3KMKA08RWY1</v>
          </cell>
          <cell r="K1239" t="str">
            <v>PP-701 Pre-Printed Paper Feed Enhance Kit (For PF-701 and PF-702)</v>
          </cell>
          <cell r="L1239">
            <v>1260</v>
          </cell>
          <cell r="M1239">
            <v>459</v>
          </cell>
          <cell r="N1239">
            <v>477.36</v>
          </cell>
          <cell r="O1239">
            <v>0.26333333333333331</v>
          </cell>
          <cell r="P1239">
            <v>648</v>
          </cell>
          <cell r="Q1239">
            <v>486.54</v>
          </cell>
          <cell r="R1239">
            <v>549.79</v>
          </cell>
          <cell r="S1239">
            <v>810</v>
          </cell>
          <cell r="T1239">
            <v>0.41066666666666662</v>
          </cell>
          <cell r="U1239">
            <v>627.26400000000001</v>
          </cell>
          <cell r="V1239">
            <v>0.23898071625344353</v>
          </cell>
          <cell r="W1239">
            <v>648</v>
          </cell>
          <cell r="X1239">
            <v>0.8</v>
          </cell>
          <cell r="AA1239">
            <v>784</v>
          </cell>
          <cell r="AB1239">
            <v>648</v>
          </cell>
          <cell r="AC1239">
            <v>720</v>
          </cell>
          <cell r="AD1239">
            <v>760</v>
          </cell>
          <cell r="AE1239">
            <v>800</v>
          </cell>
          <cell r="AF1239">
            <v>0.19</v>
          </cell>
          <cell r="AG1239">
            <v>0.40329999999999999</v>
          </cell>
          <cell r="AH1239">
            <v>889.29</v>
          </cell>
          <cell r="AI1239">
            <v>978.57</v>
          </cell>
          <cell r="AJ1239">
            <v>0.33780925227628072</v>
          </cell>
          <cell r="AK1239">
            <v>1067.8599999999999</v>
          </cell>
          <cell r="AL1239">
            <v>1157.1400000000001</v>
          </cell>
          <cell r="AM1239">
            <v>0.43999861728053652</v>
          </cell>
          <cell r="AN1239">
            <v>1182.8599999999999</v>
          </cell>
          <cell r="AO1239">
            <v>1208.58</v>
          </cell>
          <cell r="AP1239">
            <v>1234.3</v>
          </cell>
          <cell r="AQ1239">
            <v>0</v>
          </cell>
          <cell r="AS1239">
            <v>1260</v>
          </cell>
        </row>
        <row r="1240">
          <cell r="B1240" t="str">
            <v>SPC</v>
          </cell>
          <cell r="C1240" t="str">
            <v>DDP</v>
          </cell>
          <cell r="D1240" t="str">
            <v>Oce</v>
          </cell>
          <cell r="E1240" t="str">
            <v>08</v>
          </cell>
          <cell r="F1240">
            <v>39924</v>
          </cell>
          <cell r="G1240">
            <v>40022</v>
          </cell>
          <cell r="H1240" t="str">
            <v>A0XU030</v>
          </cell>
          <cell r="I1240" t="str">
            <v>STKMA0XU030</v>
          </cell>
          <cell r="K1240" t="str">
            <v>TN-012 Toner (per box) - 0.8kgx2 bottles</v>
          </cell>
          <cell r="L1240">
            <v>115</v>
          </cell>
          <cell r="M1240">
            <v>44.230769230769226</v>
          </cell>
          <cell r="N1240">
            <v>44.230769230769226</v>
          </cell>
          <cell r="O1240">
            <v>0.14529914529914539</v>
          </cell>
          <cell r="P1240">
            <v>51.75</v>
          </cell>
          <cell r="Q1240">
            <v>45.52</v>
          </cell>
          <cell r="R1240">
            <v>51.44</v>
          </cell>
          <cell r="S1240">
            <v>57.5</v>
          </cell>
          <cell r="T1240">
            <v>0.23076923076923084</v>
          </cell>
          <cell r="U1240">
            <v>580.79999999999995</v>
          </cell>
          <cell r="V1240">
            <v>0.2318181818181817</v>
          </cell>
          <cell r="W1240">
            <v>51.75</v>
          </cell>
          <cell r="X1240">
            <v>0.9</v>
          </cell>
          <cell r="Y1240" t="str">
            <v>Act freight</v>
          </cell>
          <cell r="AA1240">
            <v>89</v>
          </cell>
          <cell r="AB1240">
            <v>61</v>
          </cell>
          <cell r="AC1240">
            <v>65</v>
          </cell>
          <cell r="AD1240">
            <v>78</v>
          </cell>
          <cell r="AE1240">
            <v>90.79</v>
          </cell>
          <cell r="AF1240">
            <v>0.43000330432867062</v>
          </cell>
          <cell r="AG1240">
            <v>0.51282333703305183</v>
          </cell>
          <cell r="AH1240">
            <v>97</v>
          </cell>
          <cell r="AI1240">
            <v>103</v>
          </cell>
          <cell r="AJ1240">
            <v>0.49757281553398058</v>
          </cell>
          <cell r="AK1240">
            <v>109</v>
          </cell>
          <cell r="AL1240">
            <v>115</v>
          </cell>
          <cell r="AM1240">
            <v>0.55000000000000004</v>
          </cell>
          <cell r="AN1240">
            <v>115</v>
          </cell>
          <cell r="AO1240">
            <v>115</v>
          </cell>
          <cell r="AP1240">
            <v>115</v>
          </cell>
          <cell r="AQ1240">
            <v>0</v>
          </cell>
          <cell r="AS1240">
            <v>115</v>
          </cell>
        </row>
        <row r="1241">
          <cell r="B1241" t="str">
            <v>AC</v>
          </cell>
          <cell r="C1241" t="str">
            <v>IMP</v>
          </cell>
          <cell r="D1241" t="str">
            <v>BT</v>
          </cell>
          <cell r="E1241" t="str">
            <v>08</v>
          </cell>
          <cell r="F1241">
            <v>40038</v>
          </cell>
          <cell r="G1241">
            <v>40038</v>
          </cell>
          <cell r="H1241" t="str">
            <v>A0GEWY1</v>
          </cell>
          <cell r="I1241" t="str">
            <v>3KMHA0GEWY1</v>
          </cell>
          <cell r="K1241" t="str">
            <v>RU-506 Relay/Buffer Pass Unit</v>
          </cell>
          <cell r="L1241">
            <v>2980</v>
          </cell>
          <cell r="M1241">
            <v>960</v>
          </cell>
          <cell r="N1241">
            <v>998.40000000000009</v>
          </cell>
          <cell r="O1241">
            <v>0.16241610738255025</v>
          </cell>
          <cell r="P1241">
            <v>1192</v>
          </cell>
          <cell r="Q1241">
            <v>1017.6</v>
          </cell>
          <cell r="R1241">
            <v>1149.8900000000001</v>
          </cell>
          <cell r="S1241">
            <v>1490</v>
          </cell>
          <cell r="T1241">
            <v>0.3299328859060402</v>
          </cell>
          <cell r="U1241">
            <v>1153.856</v>
          </cell>
          <cell r="V1241">
            <v>0.13472738365965936</v>
          </cell>
          <cell r="W1241">
            <v>1192</v>
          </cell>
          <cell r="X1241">
            <v>0.8</v>
          </cell>
          <cell r="AA1241">
            <v>1442</v>
          </cell>
          <cell r="AB1241">
            <v>1192</v>
          </cell>
          <cell r="AC1241">
            <v>1324.44</v>
          </cell>
          <cell r="AD1241">
            <v>1398.02</v>
          </cell>
          <cell r="AE1241">
            <v>1471.6</v>
          </cell>
          <cell r="AF1241">
            <v>0.18999728187007334</v>
          </cell>
          <cell r="AG1241">
            <v>0.3215547703180211</v>
          </cell>
          <cell r="AH1241">
            <v>1635.85</v>
          </cell>
          <cell r="AI1241">
            <v>1800.09</v>
          </cell>
          <cell r="AJ1241">
            <v>0.33781088723341607</v>
          </cell>
          <cell r="AK1241">
            <v>1964.33</v>
          </cell>
          <cell r="AL1241">
            <v>2128.5700000000002</v>
          </cell>
          <cell r="AM1241">
            <v>0.43999962416082161</v>
          </cell>
          <cell r="AN1241">
            <v>2341.4299999999998</v>
          </cell>
          <cell r="AO1241">
            <v>2554.29</v>
          </cell>
          <cell r="AP1241">
            <v>2767.15</v>
          </cell>
          <cell r="AQ1241">
            <v>0</v>
          </cell>
          <cell r="AS1241">
            <v>2980</v>
          </cell>
        </row>
        <row r="1242">
          <cell r="B1242" t="str">
            <v>SPC</v>
          </cell>
          <cell r="C1242" t="str">
            <v>DOM</v>
          </cell>
          <cell r="D1242" t="str">
            <v>BT</v>
          </cell>
          <cell r="E1242" t="str">
            <v>08</v>
          </cell>
          <cell r="F1242">
            <v>39924</v>
          </cell>
          <cell r="G1242">
            <v>39924</v>
          </cell>
          <cell r="H1242" t="str">
            <v>A04P130</v>
          </cell>
          <cell r="I1242" t="str">
            <v>STKMA04P130</v>
          </cell>
          <cell r="K1242" t="str">
            <v>TN-610K Toner BK (C6500:35K,C5500:34K)</v>
          </cell>
          <cell r="L1242">
            <v>60</v>
          </cell>
          <cell r="M1242">
            <v>16.155339805825243</v>
          </cell>
          <cell r="N1242">
            <v>16.64</v>
          </cell>
          <cell r="O1242">
            <v>0.14403292181069963</v>
          </cell>
          <cell r="P1242">
            <v>19.440000000000001</v>
          </cell>
          <cell r="Q1242">
            <v>17.12</v>
          </cell>
          <cell r="R1242">
            <v>19.350000000000001</v>
          </cell>
          <cell r="S1242">
            <v>24.3</v>
          </cell>
          <cell r="T1242">
            <v>0.31522633744855966</v>
          </cell>
          <cell r="U1242">
            <v>1905.0239999999999</v>
          </cell>
          <cell r="V1242">
            <v>0.23570516696902502</v>
          </cell>
          <cell r="W1242">
            <v>19.440000000000001</v>
          </cell>
          <cell r="X1242">
            <v>0.8</v>
          </cell>
          <cell r="Y1242" t="str">
            <v>Act freight</v>
          </cell>
          <cell r="AA1242">
            <v>33</v>
          </cell>
          <cell r="AB1242">
            <v>23</v>
          </cell>
          <cell r="AC1242">
            <v>25</v>
          </cell>
          <cell r="AD1242">
            <v>30</v>
          </cell>
          <cell r="AE1242">
            <v>34.11</v>
          </cell>
          <cell r="AF1242">
            <v>0.43007915567282318</v>
          </cell>
          <cell r="AG1242">
            <v>0.5121665200820873</v>
          </cell>
          <cell r="AH1242">
            <v>42</v>
          </cell>
          <cell r="AI1242">
            <v>48</v>
          </cell>
          <cell r="AJ1242">
            <v>0.59499999999999997</v>
          </cell>
          <cell r="AK1242">
            <v>54</v>
          </cell>
          <cell r="AL1242">
            <v>60</v>
          </cell>
          <cell r="AM1242">
            <v>0.67600000000000005</v>
          </cell>
          <cell r="AN1242">
            <v>60</v>
          </cell>
          <cell r="AO1242">
            <v>60</v>
          </cell>
          <cell r="AP1242">
            <v>60</v>
          </cell>
          <cell r="AQ1242">
            <v>0</v>
          </cell>
          <cell r="AS1242">
            <v>60</v>
          </cell>
        </row>
        <row r="1243">
          <cell r="B1243" t="str">
            <v>SPC</v>
          </cell>
          <cell r="C1243" t="str">
            <v>DOM</v>
          </cell>
          <cell r="D1243" t="str">
            <v>BT</v>
          </cell>
          <cell r="E1243" t="str">
            <v>08</v>
          </cell>
          <cell r="F1243">
            <v>39924</v>
          </cell>
          <cell r="G1243">
            <v>39924</v>
          </cell>
          <cell r="H1243" t="str">
            <v>A04P230</v>
          </cell>
          <cell r="I1243" t="str">
            <v>STKMA04P230YE</v>
          </cell>
          <cell r="K1243" t="str">
            <v>TN-610Y Toner Y (C6500:24K, C5500:23K)</v>
          </cell>
          <cell r="L1243">
            <v>114</v>
          </cell>
          <cell r="M1243">
            <v>24.03106796116505</v>
          </cell>
          <cell r="N1243">
            <v>24.752000000000002</v>
          </cell>
          <cell r="O1243">
            <v>0.28379629629629627</v>
          </cell>
          <cell r="P1243">
            <v>34.56</v>
          </cell>
          <cell r="Q1243">
            <v>25.47</v>
          </cell>
          <cell r="R1243">
            <v>28.78</v>
          </cell>
          <cell r="S1243">
            <v>43.2</v>
          </cell>
          <cell r="T1243">
            <v>0.42703703703703699</v>
          </cell>
          <cell r="U1243">
            <v>542.07999999999993</v>
          </cell>
          <cell r="V1243">
            <v>0.23258559622195976</v>
          </cell>
          <cell r="W1243">
            <v>34.56</v>
          </cell>
          <cell r="X1243">
            <v>0.8</v>
          </cell>
          <cell r="Y1243" t="str">
            <v>Act freight</v>
          </cell>
          <cell r="AA1243">
            <v>59</v>
          </cell>
          <cell r="AB1243">
            <v>41</v>
          </cell>
          <cell r="AC1243">
            <v>44</v>
          </cell>
          <cell r="AD1243">
            <v>53</v>
          </cell>
          <cell r="AE1243">
            <v>60.63</v>
          </cell>
          <cell r="AF1243">
            <v>0.42998515586343394</v>
          </cell>
          <cell r="AG1243">
            <v>0.59175325746330198</v>
          </cell>
          <cell r="AH1243">
            <v>75</v>
          </cell>
          <cell r="AI1243">
            <v>88</v>
          </cell>
          <cell r="AJ1243">
            <v>0.6072727272727273</v>
          </cell>
          <cell r="AK1243">
            <v>101</v>
          </cell>
          <cell r="AL1243">
            <v>114</v>
          </cell>
          <cell r="AM1243">
            <v>0.69684210526315793</v>
          </cell>
          <cell r="AN1243">
            <v>114</v>
          </cell>
          <cell r="AO1243">
            <v>114</v>
          </cell>
          <cell r="AP1243">
            <v>114</v>
          </cell>
          <cell r="AQ1243">
            <v>0</v>
          </cell>
          <cell r="AS1243">
            <v>114</v>
          </cell>
        </row>
        <row r="1244">
          <cell r="B1244" t="str">
            <v>SPC</v>
          </cell>
          <cell r="C1244" t="str">
            <v>DOM</v>
          </cell>
          <cell r="D1244" t="str">
            <v>BT</v>
          </cell>
          <cell r="E1244" t="str">
            <v>08</v>
          </cell>
          <cell r="F1244">
            <v>39924</v>
          </cell>
          <cell r="G1244">
            <v>39924</v>
          </cell>
          <cell r="H1244" t="str">
            <v>A04P330</v>
          </cell>
          <cell r="I1244" t="str">
            <v>STKMA04P330MA</v>
          </cell>
          <cell r="K1244" t="str">
            <v>TN-610M Toner M (C6500:24K, C5500:23K)</v>
          </cell>
          <cell r="L1244">
            <v>114</v>
          </cell>
          <cell r="M1244">
            <v>24.03106796116505</v>
          </cell>
          <cell r="N1244">
            <v>24.752000000000002</v>
          </cell>
          <cell r="O1244">
            <v>0.28379629629629627</v>
          </cell>
          <cell r="P1244">
            <v>34.56</v>
          </cell>
          <cell r="Q1244">
            <v>25.47</v>
          </cell>
          <cell r="R1244">
            <v>28.78</v>
          </cell>
          <cell r="S1244">
            <v>43.2</v>
          </cell>
          <cell r="T1244">
            <v>0.42703703703703699</v>
          </cell>
          <cell r="U1244">
            <v>542.07999999999993</v>
          </cell>
          <cell r="V1244">
            <v>0.23258559622195976</v>
          </cell>
          <cell r="W1244">
            <v>34.56</v>
          </cell>
          <cell r="X1244">
            <v>0.8</v>
          </cell>
          <cell r="Y1244" t="str">
            <v>Act freight</v>
          </cell>
          <cell r="AA1244">
            <v>59</v>
          </cell>
          <cell r="AB1244">
            <v>41</v>
          </cell>
          <cell r="AC1244">
            <v>44</v>
          </cell>
          <cell r="AD1244">
            <v>53</v>
          </cell>
          <cell r="AE1244">
            <v>60.63</v>
          </cell>
          <cell r="AF1244">
            <v>0.42998515586343394</v>
          </cell>
          <cell r="AG1244">
            <v>0.59175325746330198</v>
          </cell>
          <cell r="AH1244">
            <v>75</v>
          </cell>
          <cell r="AI1244">
            <v>88</v>
          </cell>
          <cell r="AJ1244">
            <v>0.6072727272727273</v>
          </cell>
          <cell r="AK1244">
            <v>101</v>
          </cell>
          <cell r="AL1244">
            <v>114</v>
          </cell>
          <cell r="AM1244">
            <v>0.69684210526315793</v>
          </cell>
          <cell r="AN1244">
            <v>114</v>
          </cell>
          <cell r="AO1244">
            <v>114</v>
          </cell>
          <cell r="AP1244">
            <v>114</v>
          </cell>
          <cell r="AQ1244">
            <v>0</v>
          </cell>
          <cell r="AS1244">
            <v>114</v>
          </cell>
        </row>
        <row r="1245">
          <cell r="B1245" t="str">
            <v>SPC</v>
          </cell>
          <cell r="C1245" t="str">
            <v>DOM</v>
          </cell>
          <cell r="D1245" t="str">
            <v>BT</v>
          </cell>
          <cell r="E1245" t="str">
            <v>08</v>
          </cell>
          <cell r="F1245">
            <v>39924</v>
          </cell>
          <cell r="G1245">
            <v>39924</v>
          </cell>
          <cell r="H1245" t="str">
            <v>A04P430</v>
          </cell>
          <cell r="I1245" t="str">
            <v>STKMA04P430CY</v>
          </cell>
          <cell r="K1245" t="str">
            <v>TN-610C Toner C (C6500:24K, C5500:23K)</v>
          </cell>
          <cell r="L1245">
            <v>114</v>
          </cell>
          <cell r="M1245">
            <v>24.03106796116505</v>
          </cell>
          <cell r="N1245">
            <v>24.752000000000002</v>
          </cell>
          <cell r="O1245">
            <v>0.28379629629629627</v>
          </cell>
          <cell r="P1245">
            <v>34.56</v>
          </cell>
          <cell r="Q1245">
            <v>25.47</v>
          </cell>
          <cell r="R1245">
            <v>28.78</v>
          </cell>
          <cell r="S1245">
            <v>43.2</v>
          </cell>
          <cell r="T1245">
            <v>0.42703703703703699</v>
          </cell>
          <cell r="U1245">
            <v>542.07999999999993</v>
          </cell>
          <cell r="V1245">
            <v>0.23258559622195976</v>
          </cell>
          <cell r="W1245">
            <v>34.56</v>
          </cell>
          <cell r="X1245">
            <v>0.8</v>
          </cell>
          <cell r="Y1245" t="str">
            <v>Act freight</v>
          </cell>
          <cell r="AA1245">
            <v>59</v>
          </cell>
          <cell r="AB1245">
            <v>41</v>
          </cell>
          <cell r="AC1245">
            <v>44</v>
          </cell>
          <cell r="AD1245">
            <v>53</v>
          </cell>
          <cell r="AE1245">
            <v>60.63</v>
          </cell>
          <cell r="AF1245">
            <v>0.42998515586343394</v>
          </cell>
          <cell r="AG1245">
            <v>0.59175325746330198</v>
          </cell>
          <cell r="AH1245">
            <v>75</v>
          </cell>
          <cell r="AI1245">
            <v>88</v>
          </cell>
          <cell r="AJ1245">
            <v>0.6072727272727273</v>
          </cell>
          <cell r="AK1245">
            <v>101</v>
          </cell>
          <cell r="AL1245">
            <v>114</v>
          </cell>
          <cell r="AM1245">
            <v>0.69684210526315793</v>
          </cell>
          <cell r="AN1245">
            <v>114</v>
          </cell>
          <cell r="AO1245">
            <v>114</v>
          </cell>
          <cell r="AP1245">
            <v>114</v>
          </cell>
          <cell r="AQ1245">
            <v>0</v>
          </cell>
          <cell r="AS1245">
            <v>114</v>
          </cell>
        </row>
        <row r="1246">
          <cell r="B1246" t="str">
            <v>SPC</v>
          </cell>
          <cell r="C1246" t="str">
            <v>DOM</v>
          </cell>
          <cell r="D1246" t="str">
            <v>BT</v>
          </cell>
          <cell r="E1246" t="str">
            <v>08</v>
          </cell>
          <cell r="F1246">
            <v>39924</v>
          </cell>
          <cell r="G1246">
            <v>39924</v>
          </cell>
          <cell r="H1246" t="str">
            <v>A0VW130</v>
          </cell>
          <cell r="I1246" t="str">
            <v>STKMA0VW130</v>
          </cell>
          <cell r="K1246" t="str">
            <v>TN-612K Toner BK  (C6501:38.5K, C5501:37.4K)</v>
          </cell>
          <cell r="L1246">
            <v>63</v>
          </cell>
          <cell r="M1246">
            <v>16.760000000000002</v>
          </cell>
          <cell r="N1246">
            <v>17.262800000000002</v>
          </cell>
          <cell r="O1246">
            <v>0.18571698113207549</v>
          </cell>
          <cell r="P1246">
            <v>21.200000000000003</v>
          </cell>
          <cell r="Q1246">
            <v>17.77</v>
          </cell>
          <cell r="R1246">
            <v>20.079999999999998</v>
          </cell>
          <cell r="S1246">
            <v>26.5</v>
          </cell>
          <cell r="T1246">
            <v>0.34857358490566032</v>
          </cell>
          <cell r="U1246">
            <v>542.07999999999993</v>
          </cell>
          <cell r="V1246">
            <v>0.23258559622195976</v>
          </cell>
          <cell r="W1246">
            <v>21.200000000000003</v>
          </cell>
          <cell r="X1246">
            <v>0.80000000000000016</v>
          </cell>
          <cell r="Y1246" t="str">
            <v>Act freight</v>
          </cell>
          <cell r="AA1246">
            <v>36</v>
          </cell>
          <cell r="AB1246">
            <v>25</v>
          </cell>
          <cell r="AC1246">
            <v>27</v>
          </cell>
          <cell r="AD1246">
            <v>33</v>
          </cell>
          <cell r="AE1246">
            <v>37.19</v>
          </cell>
          <cell r="AF1246">
            <v>0.42995428878730829</v>
          </cell>
          <cell r="AG1246">
            <v>0.53582145738101628</v>
          </cell>
          <cell r="AH1246">
            <v>45</v>
          </cell>
          <cell r="AI1246">
            <v>51</v>
          </cell>
          <cell r="AJ1246">
            <v>0.584313725490196</v>
          </cell>
          <cell r="AK1246">
            <v>57</v>
          </cell>
          <cell r="AL1246">
            <v>63</v>
          </cell>
          <cell r="AM1246">
            <v>0.66349206349206347</v>
          </cell>
          <cell r="AN1246">
            <v>63</v>
          </cell>
          <cell r="AO1246">
            <v>63</v>
          </cell>
          <cell r="AP1246">
            <v>63</v>
          </cell>
          <cell r="AQ1246">
            <v>0</v>
          </cell>
          <cell r="AS1246">
            <v>63</v>
          </cell>
        </row>
        <row r="1247">
          <cell r="B1247" t="str">
            <v>SPC</v>
          </cell>
          <cell r="C1247" t="str">
            <v>DOM</v>
          </cell>
          <cell r="D1247" t="str">
            <v>BT</v>
          </cell>
          <cell r="E1247" t="str">
            <v>08</v>
          </cell>
          <cell r="F1247">
            <v>39924</v>
          </cell>
          <cell r="G1247">
            <v>39924</v>
          </cell>
          <cell r="H1247" t="str">
            <v>A0VW230</v>
          </cell>
          <cell r="I1247" t="str">
            <v>STKMA0VW230YE</v>
          </cell>
          <cell r="K1247" t="str">
            <v>TN-612Y Toner Y (C6501:26K, C5501:25K)</v>
          </cell>
          <cell r="L1247">
            <v>123</v>
          </cell>
          <cell r="M1247">
            <v>24.54</v>
          </cell>
          <cell r="N1247">
            <v>25.276199999999999</v>
          </cell>
          <cell r="O1247">
            <v>0.31906788793103447</v>
          </cell>
          <cell r="P1247">
            <v>37.119999999999997</v>
          </cell>
          <cell r="Q1247">
            <v>26.01</v>
          </cell>
          <cell r="R1247">
            <v>29.39</v>
          </cell>
          <cell r="S1247">
            <v>46.4</v>
          </cell>
          <cell r="T1247">
            <v>0.45525431034482761</v>
          </cell>
          <cell r="U1247">
            <v>542.07999999999993</v>
          </cell>
          <cell r="V1247">
            <v>0.23258559622195976</v>
          </cell>
          <cell r="W1247">
            <v>37.119999999999997</v>
          </cell>
          <cell r="X1247">
            <v>0.79999999999999993</v>
          </cell>
          <cell r="Y1247" t="str">
            <v>Act freight</v>
          </cell>
          <cell r="AA1247">
            <v>64</v>
          </cell>
          <cell r="AB1247">
            <v>44</v>
          </cell>
          <cell r="AC1247">
            <v>47</v>
          </cell>
          <cell r="AD1247">
            <v>57</v>
          </cell>
          <cell r="AE1247">
            <v>65.12</v>
          </cell>
          <cell r="AF1247">
            <v>0.42997542997543003</v>
          </cell>
          <cell r="AG1247">
            <v>0.61185196560196553</v>
          </cell>
          <cell r="AH1247">
            <v>81</v>
          </cell>
          <cell r="AI1247">
            <v>95</v>
          </cell>
          <cell r="AJ1247">
            <v>0.60926315789473684</v>
          </cell>
          <cell r="AK1247">
            <v>109</v>
          </cell>
          <cell r="AL1247">
            <v>123</v>
          </cell>
          <cell r="AM1247">
            <v>0.69821138211382106</v>
          </cell>
          <cell r="AN1247">
            <v>123</v>
          </cell>
          <cell r="AO1247">
            <v>123</v>
          </cell>
          <cell r="AP1247">
            <v>123</v>
          </cell>
          <cell r="AQ1247">
            <v>0</v>
          </cell>
          <cell r="AS1247">
            <v>123</v>
          </cell>
        </row>
        <row r="1248">
          <cell r="B1248" t="str">
            <v>SPC</v>
          </cell>
          <cell r="C1248" t="str">
            <v>DOM</v>
          </cell>
          <cell r="D1248" t="str">
            <v>BT</v>
          </cell>
          <cell r="E1248" t="str">
            <v>08</v>
          </cell>
          <cell r="F1248">
            <v>39924</v>
          </cell>
          <cell r="G1248">
            <v>39924</v>
          </cell>
          <cell r="H1248" t="str">
            <v>A0VW330</v>
          </cell>
          <cell r="I1248" t="str">
            <v>STKMA0VW330MA</v>
          </cell>
          <cell r="K1248" t="str">
            <v>TN-612M Toner M (C6501:26K, C5501:25K)</v>
          </cell>
          <cell r="L1248">
            <v>123</v>
          </cell>
          <cell r="M1248">
            <v>24.54</v>
          </cell>
          <cell r="N1248">
            <v>25.276199999999999</v>
          </cell>
          <cell r="O1248">
            <v>0.31906788793103447</v>
          </cell>
          <cell r="P1248">
            <v>37.119999999999997</v>
          </cell>
          <cell r="Q1248">
            <v>26.01</v>
          </cell>
          <cell r="R1248">
            <v>29.39</v>
          </cell>
          <cell r="S1248">
            <v>46.4</v>
          </cell>
          <cell r="T1248">
            <v>0.45525431034482761</v>
          </cell>
          <cell r="U1248">
            <v>542.07999999999993</v>
          </cell>
          <cell r="V1248">
            <v>0.23258559622195976</v>
          </cell>
          <cell r="W1248">
            <v>37.119999999999997</v>
          </cell>
          <cell r="X1248">
            <v>0.79999999999999993</v>
          </cell>
          <cell r="Y1248" t="str">
            <v>Act freight</v>
          </cell>
          <cell r="AA1248">
            <v>64</v>
          </cell>
          <cell r="AB1248">
            <v>44</v>
          </cell>
          <cell r="AC1248">
            <v>47</v>
          </cell>
          <cell r="AD1248">
            <v>57</v>
          </cell>
          <cell r="AE1248">
            <v>65.12</v>
          </cell>
          <cell r="AF1248">
            <v>0.42997542997543003</v>
          </cell>
          <cell r="AG1248">
            <v>0.61185196560196553</v>
          </cell>
          <cell r="AH1248">
            <v>81</v>
          </cell>
          <cell r="AI1248">
            <v>95</v>
          </cell>
          <cell r="AJ1248">
            <v>0.60926315789473684</v>
          </cell>
          <cell r="AK1248">
            <v>109</v>
          </cell>
          <cell r="AL1248">
            <v>123</v>
          </cell>
          <cell r="AM1248">
            <v>0.69821138211382106</v>
          </cell>
          <cell r="AN1248">
            <v>123</v>
          </cell>
          <cell r="AO1248">
            <v>123</v>
          </cell>
          <cell r="AP1248">
            <v>123</v>
          </cell>
          <cell r="AQ1248">
            <v>0</v>
          </cell>
          <cell r="AS1248">
            <v>123</v>
          </cell>
        </row>
        <row r="1249">
          <cell r="B1249" t="str">
            <v>SPC</v>
          </cell>
          <cell r="C1249" t="str">
            <v>DOM</v>
          </cell>
          <cell r="D1249" t="str">
            <v>BT</v>
          </cell>
          <cell r="E1249" t="str">
            <v>08</v>
          </cell>
          <cell r="F1249">
            <v>39924</v>
          </cell>
          <cell r="G1249">
            <v>39924</v>
          </cell>
          <cell r="H1249" t="str">
            <v>A0VW430</v>
          </cell>
          <cell r="I1249" t="str">
            <v>STKMA0VW430CY</v>
          </cell>
          <cell r="K1249" t="str">
            <v>TN-612C Toner C (C6501:26K, C5501:25K)</v>
          </cell>
          <cell r="L1249">
            <v>123</v>
          </cell>
          <cell r="M1249">
            <v>24.54</v>
          </cell>
          <cell r="N1249">
            <v>25.276199999999999</v>
          </cell>
          <cell r="O1249">
            <v>0.31906788793103447</v>
          </cell>
          <cell r="P1249">
            <v>37.119999999999997</v>
          </cell>
          <cell r="Q1249">
            <v>26.01</v>
          </cell>
          <cell r="R1249">
            <v>29.39</v>
          </cell>
          <cell r="S1249">
            <v>46.4</v>
          </cell>
          <cell r="T1249">
            <v>0.45525431034482761</v>
          </cell>
          <cell r="U1249">
            <v>542.07999999999993</v>
          </cell>
          <cell r="V1249">
            <v>0.23258559622195976</v>
          </cell>
          <cell r="W1249">
            <v>37.119999999999997</v>
          </cell>
          <cell r="X1249">
            <v>0.79999999999999993</v>
          </cell>
          <cell r="Y1249" t="str">
            <v>Act freight</v>
          </cell>
          <cell r="AA1249">
            <v>64</v>
          </cell>
          <cell r="AB1249">
            <v>44</v>
          </cell>
          <cell r="AC1249">
            <v>47</v>
          </cell>
          <cell r="AD1249">
            <v>57</v>
          </cell>
          <cell r="AE1249">
            <v>65.12</v>
          </cell>
          <cell r="AF1249">
            <v>0.42997542997543003</v>
          </cell>
          <cell r="AG1249">
            <v>0.61185196560196553</v>
          </cell>
          <cell r="AH1249">
            <v>81</v>
          </cell>
          <cell r="AI1249">
            <v>95</v>
          </cell>
          <cell r="AJ1249">
            <v>0.60926315789473684</v>
          </cell>
          <cell r="AK1249">
            <v>109</v>
          </cell>
          <cell r="AL1249">
            <v>123</v>
          </cell>
          <cell r="AM1249">
            <v>0.69821138211382106</v>
          </cell>
          <cell r="AN1249">
            <v>123</v>
          </cell>
          <cell r="AO1249">
            <v>123</v>
          </cell>
          <cell r="AP1249">
            <v>123</v>
          </cell>
          <cell r="AQ1249">
            <v>0</v>
          </cell>
          <cell r="AS1249">
            <v>123</v>
          </cell>
        </row>
        <row r="1250">
          <cell r="B1250" t="str">
            <v>AC</v>
          </cell>
          <cell r="C1250" t="str">
            <v>IMP</v>
          </cell>
          <cell r="D1250" t="str">
            <v>BT</v>
          </cell>
          <cell r="E1250" t="str">
            <v>08</v>
          </cell>
          <cell r="F1250">
            <v>40038</v>
          </cell>
          <cell r="G1250">
            <v>40038</v>
          </cell>
          <cell r="H1250" t="str">
            <v>A0GYWY2</v>
          </cell>
          <cell r="I1250" t="str">
            <v>6KMA0GYWY2_N</v>
          </cell>
          <cell r="K1250" t="str">
            <v>FS-521 100 Sheet Stapling Finisher with Staple Cut</v>
          </cell>
          <cell r="L1250">
            <v>7140</v>
          </cell>
          <cell r="M1250">
            <v>2356</v>
          </cell>
          <cell r="N1250">
            <v>2450.2400000000002</v>
          </cell>
          <cell r="O1250">
            <v>0.14813372642821379</v>
          </cell>
          <cell r="P1250">
            <v>2876.32</v>
          </cell>
          <cell r="Q1250">
            <v>2497.36</v>
          </cell>
          <cell r="R1250">
            <v>2822.02</v>
          </cell>
          <cell r="S1250">
            <v>3595.4</v>
          </cell>
          <cell r="T1250">
            <v>0.31850698114257103</v>
          </cell>
          <cell r="U1250">
            <v>2784.2777599999999</v>
          </cell>
          <cell r="V1250">
            <v>0.11997285788038609</v>
          </cell>
          <cell r="W1250">
            <v>2876.32</v>
          </cell>
          <cell r="X1250">
            <v>0.8</v>
          </cell>
          <cell r="AA1250">
            <v>3480</v>
          </cell>
          <cell r="AB1250">
            <v>2876.32</v>
          </cell>
          <cell r="AC1250">
            <v>3195.91</v>
          </cell>
          <cell r="AD1250">
            <v>3373.46</v>
          </cell>
          <cell r="AE1250">
            <v>3551.01</v>
          </cell>
          <cell r="AF1250">
            <v>0.18999946494096046</v>
          </cell>
          <cell r="AG1250">
            <v>0.30998786260810302</v>
          </cell>
          <cell r="AH1250">
            <v>3947.33</v>
          </cell>
          <cell r="AI1250">
            <v>4343.6499999999996</v>
          </cell>
          <cell r="AJ1250">
            <v>0.33781036685736643</v>
          </cell>
          <cell r="AK1250">
            <v>4739.97</v>
          </cell>
          <cell r="AL1250">
            <v>5136.29</v>
          </cell>
          <cell r="AM1250">
            <v>0.44000046726333597</v>
          </cell>
          <cell r="AN1250">
            <v>5637.22</v>
          </cell>
          <cell r="AO1250">
            <v>6138.15</v>
          </cell>
          <cell r="AP1250">
            <v>6639.08</v>
          </cell>
          <cell r="AQ1250">
            <v>0</v>
          </cell>
          <cell r="AS1250">
            <v>7140</v>
          </cell>
        </row>
        <row r="1251">
          <cell r="B1251" t="str">
            <v>SPC</v>
          </cell>
          <cell r="C1251" t="str">
            <v>DOM</v>
          </cell>
          <cell r="D1251" t="str">
            <v>DOM</v>
          </cell>
          <cell r="E1251" t="str">
            <v>08</v>
          </cell>
          <cell r="F1251">
            <v>39924</v>
          </cell>
          <cell r="G1251">
            <v>39924</v>
          </cell>
          <cell r="H1251" t="str">
            <v>7640002409</v>
          </cell>
          <cell r="I1251" t="str">
            <v>SPKM7640002409_</v>
          </cell>
          <cell r="K1251" t="str">
            <v>Konica Minolta Banner Paper (11.75 x 47.25 200 sheets)</v>
          </cell>
          <cell r="L1251">
            <v>120</v>
          </cell>
          <cell r="M1251">
            <v>34.76</v>
          </cell>
          <cell r="N1251">
            <v>35.802799999999998</v>
          </cell>
          <cell r="O1251">
            <v>0.25410833333333338</v>
          </cell>
          <cell r="P1251">
            <v>48</v>
          </cell>
          <cell r="Q1251">
            <v>36.85</v>
          </cell>
          <cell r="R1251">
            <v>41.64</v>
          </cell>
          <cell r="S1251">
            <v>60</v>
          </cell>
          <cell r="T1251">
            <v>0.40328666666666668</v>
          </cell>
          <cell r="U1251">
            <v>8049.6860000000006</v>
          </cell>
          <cell r="V1251">
            <v>0.13024185042745764</v>
          </cell>
          <cell r="W1251">
            <v>48</v>
          </cell>
          <cell r="X1251">
            <v>0.8</v>
          </cell>
          <cell r="Y1251" t="str">
            <v>Act freight</v>
          </cell>
          <cell r="AA1251">
            <v>83</v>
          </cell>
          <cell r="AB1251">
            <v>57</v>
          </cell>
          <cell r="AC1251">
            <v>60</v>
          </cell>
          <cell r="AD1251">
            <v>73</v>
          </cell>
          <cell r="AE1251">
            <v>84.21</v>
          </cell>
          <cell r="AF1251">
            <v>0.42999643747773419</v>
          </cell>
          <cell r="AG1251">
            <v>0.57483909274432965</v>
          </cell>
          <cell r="AH1251">
            <v>94</v>
          </cell>
          <cell r="AI1251">
            <v>103</v>
          </cell>
          <cell r="AJ1251">
            <v>0.53398058252427183</v>
          </cell>
          <cell r="AK1251">
            <v>111.5</v>
          </cell>
          <cell r="AL1251">
            <v>120</v>
          </cell>
          <cell r="AM1251">
            <v>0.6</v>
          </cell>
          <cell r="AN1251">
            <v>120</v>
          </cell>
          <cell r="AO1251">
            <v>120</v>
          </cell>
          <cell r="AP1251">
            <v>120</v>
          </cell>
          <cell r="AQ1251">
            <v>0</v>
          </cell>
          <cell r="AS1251">
            <v>120</v>
          </cell>
        </row>
        <row r="1252">
          <cell r="B1252" t="str">
            <v>AC</v>
          </cell>
          <cell r="C1252" t="str">
            <v>IMP</v>
          </cell>
          <cell r="D1252" t="str">
            <v>BT</v>
          </cell>
          <cell r="E1252" t="str">
            <v>08</v>
          </cell>
          <cell r="F1252">
            <v>40038</v>
          </cell>
          <cell r="G1252">
            <v>40038</v>
          </cell>
          <cell r="H1252" t="str">
            <v>A0H2WY2</v>
          </cell>
          <cell r="I1252" t="str">
            <v>6KMA0H2WY2_N</v>
          </cell>
          <cell r="K1252" t="str">
            <v>SD-506 Saddle Stitch Finisher with Face Trimmer</v>
          </cell>
          <cell r="L1252">
            <v>26250</v>
          </cell>
          <cell r="M1252">
            <v>9384</v>
          </cell>
          <cell r="N1252">
            <v>9759.36</v>
          </cell>
          <cell r="O1252">
            <v>0.10078502192901634</v>
          </cell>
          <cell r="P1252">
            <v>10853.2</v>
          </cell>
          <cell r="Q1252">
            <v>9947.0400000000009</v>
          </cell>
          <cell r="R1252">
            <v>11240.16</v>
          </cell>
          <cell r="S1252">
            <v>13566.5</v>
          </cell>
          <cell r="T1252">
            <v>0.28062801754321304</v>
          </cell>
          <cell r="U1252">
            <v>10505.8976</v>
          </cell>
          <cell r="V1252">
            <v>7.1058906951463108E-2</v>
          </cell>
          <cell r="W1252">
            <v>10853.2</v>
          </cell>
          <cell r="X1252">
            <v>0.8</v>
          </cell>
          <cell r="AA1252">
            <v>13131</v>
          </cell>
          <cell r="AB1252">
            <v>10853.2</v>
          </cell>
          <cell r="AC1252">
            <v>12059.11</v>
          </cell>
          <cell r="AD1252">
            <v>12729.06</v>
          </cell>
          <cell r="AE1252">
            <v>13399.01</v>
          </cell>
          <cell r="AF1252">
            <v>0.18999985819847881</v>
          </cell>
          <cell r="AG1252">
            <v>0.27163574025245146</v>
          </cell>
          <cell r="AH1252">
            <v>14894.44</v>
          </cell>
          <cell r="AI1252">
            <v>16389.86</v>
          </cell>
          <cell r="AJ1252">
            <v>0.33781008501597937</v>
          </cell>
          <cell r="AK1252">
            <v>17885.29</v>
          </cell>
          <cell r="AL1252">
            <v>19380.71</v>
          </cell>
          <cell r="AM1252">
            <v>0.43999987616552744</v>
          </cell>
          <cell r="AN1252">
            <v>21098.03</v>
          </cell>
          <cell r="AO1252">
            <v>22815.35</v>
          </cell>
          <cell r="AP1252">
            <v>24532.67</v>
          </cell>
          <cell r="AQ1252">
            <v>0</v>
          </cell>
          <cell r="AS1252">
            <v>26250</v>
          </cell>
        </row>
        <row r="1253">
          <cell r="B1253" t="str">
            <v>SPC</v>
          </cell>
          <cell r="C1253" t="str">
            <v>DOM</v>
          </cell>
          <cell r="D1253" t="str">
            <v>EK</v>
          </cell>
          <cell r="E1253" t="str">
            <v>21</v>
          </cell>
          <cell r="F1253">
            <v>39924</v>
          </cell>
          <cell r="G1253">
            <v>40259</v>
          </cell>
          <cell r="H1253" t="str">
            <v>4132000</v>
          </cell>
          <cell r="I1253" t="str">
            <v>STHBD1</v>
          </cell>
          <cell r="J1253" t="str">
            <v>KCA09933</v>
          </cell>
          <cell r="K1253" t="str">
            <v>Kodak Digimaster D1 Toner 2.5kg. (2/box)</v>
          </cell>
          <cell r="L1253">
            <v>197</v>
          </cell>
          <cell r="M1253">
            <v>121.8</v>
          </cell>
          <cell r="N1253">
            <v>125.45</v>
          </cell>
          <cell r="O1253">
            <v>0</v>
          </cell>
          <cell r="P1253">
            <v>125.45</v>
          </cell>
          <cell r="Q1253">
            <v>129.1</v>
          </cell>
          <cell r="R1253">
            <v>145.88</v>
          </cell>
          <cell r="S1253">
            <v>586.70000000000005</v>
          </cell>
          <cell r="T1253" t="e">
            <v>#DIV/0!</v>
          </cell>
          <cell r="U1253">
            <v>454.34048000000001</v>
          </cell>
          <cell r="V1253">
            <v>6.6074852058086525E-2</v>
          </cell>
          <cell r="W1253">
            <v>125.45</v>
          </cell>
          <cell r="X1253" t="e">
            <v>#DIV/0!</v>
          </cell>
          <cell r="AA1253">
            <v>216</v>
          </cell>
          <cell r="AB1253">
            <v>168</v>
          </cell>
          <cell r="AC1253">
            <v>180</v>
          </cell>
          <cell r="AD1253">
            <v>197</v>
          </cell>
          <cell r="AE1253">
            <v>220.09</v>
          </cell>
          <cell r="AF1253">
            <v>0.43000590667454225</v>
          </cell>
          <cell r="AG1253">
            <v>0.43000590667454225</v>
          </cell>
          <cell r="AH1253">
            <v>197</v>
          </cell>
          <cell r="AI1253">
            <v>197</v>
          </cell>
          <cell r="AJ1253">
            <v>0.3631979695431472</v>
          </cell>
          <cell r="AK1253">
            <v>197</v>
          </cell>
          <cell r="AL1253">
            <v>197</v>
          </cell>
          <cell r="AM1253">
            <v>0.3631979695431472</v>
          </cell>
          <cell r="AN1253">
            <v>197</v>
          </cell>
          <cell r="AO1253">
            <v>197</v>
          </cell>
          <cell r="AP1253">
            <v>197</v>
          </cell>
          <cell r="AQ1253">
            <v>0</v>
          </cell>
          <cell r="AS1253">
            <v>197</v>
          </cell>
        </row>
        <row r="1254">
          <cell r="B1254" t="str">
            <v>SPC</v>
          </cell>
          <cell r="C1254" t="str">
            <v>DOM</v>
          </cell>
          <cell r="D1254" t="str">
            <v>EK</v>
          </cell>
          <cell r="E1254" t="str">
            <v>21</v>
          </cell>
          <cell r="F1254">
            <v>39924</v>
          </cell>
          <cell r="G1254">
            <v>39954</v>
          </cell>
          <cell r="H1254" t="str">
            <v>7770100</v>
          </cell>
          <cell r="I1254" t="str">
            <v>STHBDM9110M</v>
          </cell>
          <cell r="J1254" t="str">
            <v>KCA12033</v>
          </cell>
          <cell r="K1254" t="str">
            <v>Kodak Digimaster M1 Toner 3.25kg.</v>
          </cell>
          <cell r="L1254">
            <v>780</v>
          </cell>
          <cell r="M1254">
            <v>180</v>
          </cell>
          <cell r="N1254">
            <v>185.4</v>
          </cell>
          <cell r="O1254">
            <v>0</v>
          </cell>
          <cell r="P1254">
            <v>185.4</v>
          </cell>
          <cell r="Q1254">
            <v>190.8</v>
          </cell>
          <cell r="R1254">
            <v>215.6</v>
          </cell>
          <cell r="S1254">
            <v>19310.8</v>
          </cell>
          <cell r="T1254" t="e">
            <v>#DIV/0!</v>
          </cell>
          <cell r="U1254">
            <v>14954.283519999999</v>
          </cell>
          <cell r="V1254">
            <v>0.18423373586005132</v>
          </cell>
          <cell r="W1254">
            <v>185.4</v>
          </cell>
          <cell r="X1254" t="e">
            <v>#DIV/0!</v>
          </cell>
          <cell r="AA1254">
            <v>319</v>
          </cell>
          <cell r="AB1254">
            <v>248</v>
          </cell>
          <cell r="AC1254">
            <v>265</v>
          </cell>
          <cell r="AD1254">
            <v>296</v>
          </cell>
          <cell r="AE1254">
            <v>325.26</v>
          </cell>
          <cell r="AF1254">
            <v>0.42999446596568897</v>
          </cell>
          <cell r="AG1254">
            <v>0.42999446596568897</v>
          </cell>
          <cell r="AH1254">
            <v>440</v>
          </cell>
          <cell r="AI1254">
            <v>553</v>
          </cell>
          <cell r="AJ1254">
            <v>0.66473779385171794</v>
          </cell>
          <cell r="AK1254">
            <v>666.5</v>
          </cell>
          <cell r="AL1254">
            <v>780</v>
          </cell>
          <cell r="AM1254">
            <v>0.76230769230769235</v>
          </cell>
          <cell r="AN1254">
            <v>780</v>
          </cell>
          <cell r="AO1254">
            <v>780</v>
          </cell>
          <cell r="AP1254">
            <v>780</v>
          </cell>
          <cell r="AQ1254">
            <v>0</v>
          </cell>
          <cell r="AS1254">
            <v>780</v>
          </cell>
        </row>
        <row r="1255">
          <cell r="B1255" t="str">
            <v>SPC</v>
          </cell>
          <cell r="C1255" t="str">
            <v>DOM</v>
          </cell>
          <cell r="D1255" t="str">
            <v>EK</v>
          </cell>
          <cell r="E1255" t="str">
            <v>21</v>
          </cell>
          <cell r="F1255">
            <v>39924</v>
          </cell>
          <cell r="G1255">
            <v>39925</v>
          </cell>
          <cell r="H1255" t="str">
            <v>7640002951</v>
          </cell>
          <cell r="I1255" t="str">
            <v>SBEKDS9110</v>
          </cell>
          <cell r="J1255" t="str">
            <v>KC4C5769</v>
          </cell>
          <cell r="K1255" t="str">
            <v>Kodak Digimaster DX Wire Spool</v>
          </cell>
          <cell r="L1255">
            <v>163</v>
          </cell>
          <cell r="M1255">
            <v>96.56</v>
          </cell>
          <cell r="N1255">
            <v>99.46</v>
          </cell>
          <cell r="O1255">
            <v>0</v>
          </cell>
          <cell r="P1255">
            <v>99.46</v>
          </cell>
          <cell r="Q1255">
            <v>102.36</v>
          </cell>
          <cell r="R1255">
            <v>115.67</v>
          </cell>
          <cell r="S1255">
            <v>22580</v>
          </cell>
          <cell r="T1255" t="e">
            <v>#DIV/0!</v>
          </cell>
          <cell r="U1255">
            <v>17485.952000000001</v>
          </cell>
          <cell r="V1255">
            <v>0.16733158137458007</v>
          </cell>
          <cell r="W1255">
            <v>99.46</v>
          </cell>
          <cell r="X1255" t="e">
            <v>#DIV/0!</v>
          </cell>
          <cell r="AA1255">
            <v>171</v>
          </cell>
          <cell r="AB1255">
            <v>133</v>
          </cell>
          <cell r="AC1255">
            <v>143</v>
          </cell>
          <cell r="AD1255">
            <v>159</v>
          </cell>
          <cell r="AE1255">
            <v>174.49</v>
          </cell>
          <cell r="AF1255">
            <v>0.42999598830878566</v>
          </cell>
          <cell r="AG1255">
            <v>0.42999598830878566</v>
          </cell>
          <cell r="AH1255">
            <v>172</v>
          </cell>
          <cell r="AI1255">
            <v>169</v>
          </cell>
          <cell r="AJ1255">
            <v>0.41147928994082844</v>
          </cell>
          <cell r="AK1255">
            <v>166</v>
          </cell>
          <cell r="AL1255">
            <v>163</v>
          </cell>
          <cell r="AM1255">
            <v>0.38981595092024546</v>
          </cell>
          <cell r="AN1255">
            <v>163</v>
          </cell>
          <cell r="AO1255">
            <v>163</v>
          </cell>
          <cell r="AP1255">
            <v>163</v>
          </cell>
          <cell r="AQ1255">
            <v>0</v>
          </cell>
          <cell r="AS1255">
            <v>163</v>
          </cell>
        </row>
        <row r="1256">
          <cell r="B1256" t="str">
            <v>AC</v>
          </cell>
          <cell r="C1256" t="str">
            <v>PMP</v>
          </cell>
          <cell r="D1256" t="str">
            <v>BT</v>
          </cell>
          <cell r="E1256" t="str">
            <v>08</v>
          </cell>
          <cell r="F1256">
            <v>40038</v>
          </cell>
          <cell r="G1256">
            <v>40038</v>
          </cell>
          <cell r="H1256" t="str">
            <v>A0W6WY1</v>
          </cell>
          <cell r="I1256" t="str">
            <v>3KMKA0W6WY1</v>
          </cell>
          <cell r="K1256" t="str">
            <v>RH-101 Removable HDD Kit for 1200/1051</v>
          </cell>
          <cell r="L1256">
            <v>3290</v>
          </cell>
          <cell r="M1256">
            <v>1000</v>
          </cell>
          <cell r="N1256">
            <v>1050</v>
          </cell>
          <cell r="O1256">
            <v>0.2857142857142857</v>
          </cell>
          <cell r="P1256">
            <v>1470</v>
          </cell>
          <cell r="Q1256">
            <v>1060</v>
          </cell>
          <cell r="R1256">
            <v>1197.8</v>
          </cell>
          <cell r="S1256">
            <v>1837.5</v>
          </cell>
          <cell r="T1256">
            <v>0.42857142857142855</v>
          </cell>
          <cell r="U1256">
            <v>1422.96</v>
          </cell>
          <cell r="V1256">
            <v>0.26210153482880755</v>
          </cell>
          <cell r="W1256">
            <v>1470</v>
          </cell>
          <cell r="X1256">
            <v>0.8</v>
          </cell>
          <cell r="AA1256">
            <v>1779</v>
          </cell>
          <cell r="AB1256">
            <v>1470</v>
          </cell>
          <cell r="AC1256">
            <v>1633.33</v>
          </cell>
          <cell r="AD1256">
            <v>1724.07</v>
          </cell>
          <cell r="AE1256">
            <v>1814.81</v>
          </cell>
          <cell r="AF1256">
            <v>0.18999785101470676</v>
          </cell>
          <cell r="AG1256">
            <v>0.42142703643907625</v>
          </cell>
          <cell r="AH1256">
            <v>2017.36</v>
          </cell>
          <cell r="AI1256">
            <v>2219.91</v>
          </cell>
          <cell r="AJ1256">
            <v>0.33781099233752715</v>
          </cell>
          <cell r="AK1256">
            <v>2422.46</v>
          </cell>
          <cell r="AL1256">
            <v>2625</v>
          </cell>
          <cell r="AM1256">
            <v>0.44</v>
          </cell>
          <cell r="AN1256">
            <v>2791.25</v>
          </cell>
          <cell r="AO1256">
            <v>2957.5</v>
          </cell>
          <cell r="AP1256">
            <v>3123.75</v>
          </cell>
          <cell r="AQ1256">
            <v>0</v>
          </cell>
          <cell r="AS1256">
            <v>3290</v>
          </cell>
        </row>
        <row r="1257">
          <cell r="B1257" t="str">
            <v>SPC</v>
          </cell>
          <cell r="C1257" t="str">
            <v>IMP</v>
          </cell>
          <cell r="D1257" t="str">
            <v>BT</v>
          </cell>
          <cell r="E1257" t="str">
            <v>08</v>
          </cell>
          <cell r="F1257">
            <v>39924</v>
          </cell>
          <cell r="G1257">
            <v>39924</v>
          </cell>
          <cell r="H1257" t="str">
            <v>4448121</v>
          </cell>
          <cell r="I1257" t="str">
            <v>SBKM4448121</v>
          </cell>
          <cell r="K1257" t="str">
            <v>MS-5C Staple Cartridge for FN-100/102/104/500/502/503/504/112/6/7/9/120/10/121, FS-602/604/607/608/610/611 (5K x 3)</v>
          </cell>
          <cell r="L1257">
            <v>52</v>
          </cell>
          <cell r="M1257">
            <v>21.12</v>
          </cell>
          <cell r="N1257">
            <v>21.9648</v>
          </cell>
          <cell r="O1257">
            <v>3.1192660550458728E-2</v>
          </cell>
          <cell r="P1257">
            <v>22.672000000000001</v>
          </cell>
          <cell r="Q1257">
            <v>22.39</v>
          </cell>
          <cell r="R1257">
            <v>25.3</v>
          </cell>
          <cell r="S1257">
            <v>28.34</v>
          </cell>
          <cell r="T1257">
            <v>0.22495412844036697</v>
          </cell>
          <cell r="U1257">
            <v>573.05600000000004</v>
          </cell>
          <cell r="V1257">
            <v>0.23044170203261119</v>
          </cell>
          <cell r="W1257">
            <v>22.672000000000001</v>
          </cell>
          <cell r="X1257">
            <v>0.8</v>
          </cell>
          <cell r="Y1257" t="str">
            <v>Act freight</v>
          </cell>
          <cell r="AA1257">
            <v>39</v>
          </cell>
          <cell r="AB1257">
            <v>27</v>
          </cell>
          <cell r="AC1257">
            <v>29</v>
          </cell>
          <cell r="AD1257">
            <v>35</v>
          </cell>
          <cell r="AE1257">
            <v>39.78</v>
          </cell>
          <cell r="AF1257">
            <v>0.43006535947712421</v>
          </cell>
          <cell r="AG1257">
            <v>0.44784313725490199</v>
          </cell>
          <cell r="AH1257">
            <v>43</v>
          </cell>
          <cell r="AI1257">
            <v>46</v>
          </cell>
          <cell r="AJ1257">
            <v>0.50713043478260866</v>
          </cell>
          <cell r="AK1257">
            <v>49</v>
          </cell>
          <cell r="AL1257">
            <v>52</v>
          </cell>
          <cell r="AM1257">
            <v>0.56399999999999995</v>
          </cell>
          <cell r="AN1257">
            <v>52</v>
          </cell>
          <cell r="AO1257">
            <v>52</v>
          </cell>
          <cell r="AP1257">
            <v>52</v>
          </cell>
          <cell r="AQ1257">
            <v>0</v>
          </cell>
          <cell r="AS1257">
            <v>52</v>
          </cell>
        </row>
        <row r="1258">
          <cell r="B1258" t="str">
            <v>SPC</v>
          </cell>
          <cell r="C1258" t="str">
            <v>IMP</v>
          </cell>
          <cell r="D1258" t="str">
            <v>BT</v>
          </cell>
          <cell r="E1258" t="str">
            <v>08</v>
          </cell>
          <cell r="F1258">
            <v>39924</v>
          </cell>
          <cell r="G1258">
            <v>39924</v>
          </cell>
          <cell r="H1258" t="str">
            <v>4518605</v>
          </cell>
          <cell r="I1258" t="str">
            <v>STKM4518605</v>
          </cell>
          <cell r="K1258" t="str">
            <v>TN-113 Toner (5K)</v>
          </cell>
          <cell r="L1258">
            <v>50</v>
          </cell>
          <cell r="M1258">
            <v>13.76</v>
          </cell>
          <cell r="N1258">
            <v>14.3104</v>
          </cell>
          <cell r="O1258">
            <v>0.36114285714285721</v>
          </cell>
          <cell r="P1258">
            <v>22.400000000000002</v>
          </cell>
          <cell r="Q1258">
            <v>14.59</v>
          </cell>
          <cell r="R1258">
            <v>16.489999999999998</v>
          </cell>
          <cell r="S1258">
            <v>28</v>
          </cell>
          <cell r="T1258">
            <v>0.48891428571428575</v>
          </cell>
          <cell r="U1258">
            <v>0</v>
          </cell>
          <cell r="V1258">
            <v>0</v>
          </cell>
          <cell r="W1258">
            <v>22.400000000000002</v>
          </cell>
          <cell r="X1258">
            <v>0.8</v>
          </cell>
          <cell r="Y1258" t="str">
            <v>Act freight</v>
          </cell>
          <cell r="AA1258">
            <v>39</v>
          </cell>
          <cell r="AB1258">
            <v>27</v>
          </cell>
          <cell r="AC1258">
            <v>28</v>
          </cell>
          <cell r="AD1258">
            <v>34</v>
          </cell>
          <cell r="AE1258">
            <v>39.299999999999997</v>
          </cell>
          <cell r="AF1258">
            <v>0.43002544529262077</v>
          </cell>
          <cell r="AG1258">
            <v>0.63586768447837139</v>
          </cell>
          <cell r="AH1258">
            <v>43</v>
          </cell>
          <cell r="AI1258">
            <v>45</v>
          </cell>
          <cell r="AJ1258">
            <v>0.50222222222222213</v>
          </cell>
          <cell r="AK1258">
            <v>47.5</v>
          </cell>
          <cell r="AL1258">
            <v>50</v>
          </cell>
          <cell r="AM1258">
            <v>0.55199999999999994</v>
          </cell>
          <cell r="AN1258">
            <v>50</v>
          </cell>
          <cell r="AO1258">
            <v>50</v>
          </cell>
          <cell r="AP1258">
            <v>50</v>
          </cell>
          <cell r="AQ1258">
            <v>0</v>
          </cell>
          <cell r="AS1258">
            <v>50</v>
          </cell>
        </row>
        <row r="1259">
          <cell r="B1259" t="str">
            <v>SPC</v>
          </cell>
          <cell r="C1259" t="str">
            <v>IMP</v>
          </cell>
          <cell r="D1259" t="str">
            <v>BT</v>
          </cell>
          <cell r="E1259" t="str">
            <v>08</v>
          </cell>
          <cell r="F1259">
            <v>39924</v>
          </cell>
          <cell r="G1259">
            <v>39924</v>
          </cell>
          <cell r="H1259" t="str">
            <v>4599141</v>
          </cell>
          <cell r="I1259" t="str">
            <v>SBKM4599141</v>
          </cell>
          <cell r="K1259" t="str">
            <v>MS-10A Staple Kit (5K x 3) for FN-115, FS-503/505/509/525/526</v>
          </cell>
          <cell r="L1259">
            <v>160</v>
          </cell>
          <cell r="M1259">
            <v>50.57</v>
          </cell>
          <cell r="N1259">
            <v>52.592800000000004</v>
          </cell>
          <cell r="O1259">
            <v>0.2527733575812684</v>
          </cell>
          <cell r="P1259">
            <v>70.384</v>
          </cell>
          <cell r="Q1259">
            <v>53.6</v>
          </cell>
          <cell r="R1259">
            <v>60.57</v>
          </cell>
          <cell r="S1259">
            <v>87.98</v>
          </cell>
          <cell r="T1259">
            <v>0.40221868606501476</v>
          </cell>
          <cell r="W1259">
            <v>70.384</v>
          </cell>
          <cell r="X1259">
            <v>0.79999999999999993</v>
          </cell>
          <cell r="Y1259" t="str">
            <v>Act freight</v>
          </cell>
          <cell r="AA1259">
            <v>121</v>
          </cell>
          <cell r="AB1259">
            <v>83</v>
          </cell>
          <cell r="AC1259">
            <v>88</v>
          </cell>
          <cell r="AD1259">
            <v>106</v>
          </cell>
          <cell r="AE1259">
            <v>123.48</v>
          </cell>
          <cell r="AF1259">
            <v>0.42999676060900555</v>
          </cell>
          <cell r="AG1259">
            <v>0.57407839326206678</v>
          </cell>
          <cell r="AH1259">
            <v>133</v>
          </cell>
          <cell r="AI1259">
            <v>142</v>
          </cell>
          <cell r="AJ1259">
            <v>0.50433802816901407</v>
          </cell>
          <cell r="AK1259">
            <v>151</v>
          </cell>
          <cell r="AL1259">
            <v>160</v>
          </cell>
          <cell r="AM1259">
            <v>0.56010000000000004</v>
          </cell>
          <cell r="AN1259">
            <v>160</v>
          </cell>
          <cell r="AO1259">
            <v>160</v>
          </cell>
          <cell r="AP1259">
            <v>160</v>
          </cell>
          <cell r="AQ1259">
            <v>0</v>
          </cell>
          <cell r="AS1259">
            <v>160</v>
          </cell>
        </row>
        <row r="1260">
          <cell r="B1260" t="str">
            <v>SPC</v>
          </cell>
          <cell r="C1260" t="str">
            <v>IMP</v>
          </cell>
          <cell r="D1260" t="str">
            <v>BT</v>
          </cell>
          <cell r="E1260" t="str">
            <v>08</v>
          </cell>
          <cell r="F1260">
            <v>39924</v>
          </cell>
          <cell r="G1260">
            <v>39924</v>
          </cell>
          <cell r="H1260" t="str">
            <v>4599161</v>
          </cell>
          <cell r="I1260" t="str">
            <v>SBKM4599161</v>
          </cell>
          <cell r="K1260" t="str">
            <v>MS-2C Staples (2K x 4) for SK-1, SD-502/503/505/507</v>
          </cell>
          <cell r="L1260">
            <v>70</v>
          </cell>
          <cell r="M1260">
            <v>20</v>
          </cell>
          <cell r="N1260">
            <v>20.8</v>
          </cell>
          <cell r="O1260">
            <v>0.14473684210526314</v>
          </cell>
          <cell r="P1260">
            <v>24.32</v>
          </cell>
          <cell r="Q1260">
            <v>21.2</v>
          </cell>
          <cell r="R1260">
            <v>23.96</v>
          </cell>
          <cell r="S1260">
            <v>30.4</v>
          </cell>
          <cell r="T1260">
            <v>0.31578947368421045</v>
          </cell>
          <cell r="W1260">
            <v>24.32</v>
          </cell>
          <cell r="X1260">
            <v>0.8</v>
          </cell>
          <cell r="Y1260" t="str">
            <v>Act freight</v>
          </cell>
          <cell r="AA1260">
            <v>42</v>
          </cell>
          <cell r="AB1260">
            <v>29</v>
          </cell>
          <cell r="AC1260">
            <v>31</v>
          </cell>
          <cell r="AD1260">
            <v>37</v>
          </cell>
          <cell r="AE1260">
            <v>42.67</v>
          </cell>
          <cell r="AF1260">
            <v>0.43004452777126789</v>
          </cell>
          <cell r="AG1260">
            <v>0.51253808296226855</v>
          </cell>
          <cell r="AH1260">
            <v>50</v>
          </cell>
          <cell r="AI1260">
            <v>57</v>
          </cell>
          <cell r="AJ1260">
            <v>0.57333333333333336</v>
          </cell>
          <cell r="AK1260">
            <v>63.5</v>
          </cell>
          <cell r="AL1260">
            <v>70</v>
          </cell>
          <cell r="AM1260">
            <v>0.65257142857142858</v>
          </cell>
          <cell r="AN1260">
            <v>70</v>
          </cell>
          <cell r="AO1260">
            <v>70</v>
          </cell>
          <cell r="AP1260">
            <v>70</v>
          </cell>
          <cell r="AQ1260">
            <v>0</v>
          </cell>
          <cell r="AS1260">
            <v>70</v>
          </cell>
        </row>
        <row r="1261">
          <cell r="B1261" t="str">
            <v>SPC</v>
          </cell>
          <cell r="C1261" t="str">
            <v>IMP</v>
          </cell>
          <cell r="D1261" t="str">
            <v>BT</v>
          </cell>
          <cell r="E1261" t="str">
            <v>08</v>
          </cell>
          <cell r="F1261">
            <v>39924</v>
          </cell>
          <cell r="G1261">
            <v>39924</v>
          </cell>
          <cell r="H1261" t="str">
            <v>4623361</v>
          </cell>
          <cell r="I1261" t="str">
            <v>SBKM4623361</v>
          </cell>
          <cell r="K1261" t="str">
            <v>MS-5D Staples (5K x 3) for FN-8/105/107/109/113/117/122, FS-601/507/603/508/510/511/522/523/609</v>
          </cell>
          <cell r="L1261">
            <v>52</v>
          </cell>
          <cell r="M1261">
            <v>21.8</v>
          </cell>
          <cell r="N1261">
            <v>22.672000000000001</v>
          </cell>
          <cell r="O1261">
            <v>9.6301020408163282E-2</v>
          </cell>
          <cell r="P1261">
            <v>25.088000000000001</v>
          </cell>
          <cell r="Q1261">
            <v>23.11</v>
          </cell>
          <cell r="R1261">
            <v>26.11</v>
          </cell>
          <cell r="S1261">
            <v>31.36</v>
          </cell>
          <cell r="T1261">
            <v>0.2770408163265306</v>
          </cell>
          <cell r="W1261">
            <v>25.088000000000001</v>
          </cell>
          <cell r="X1261">
            <v>0.8</v>
          </cell>
          <cell r="Y1261" t="str">
            <v>Act freight</v>
          </cell>
          <cell r="AA1261">
            <v>43</v>
          </cell>
          <cell r="AB1261">
            <v>30</v>
          </cell>
          <cell r="AC1261">
            <v>32</v>
          </cell>
          <cell r="AD1261">
            <v>39</v>
          </cell>
          <cell r="AE1261">
            <v>44.01</v>
          </cell>
          <cell r="AF1261">
            <v>0.42994773915019308</v>
          </cell>
          <cell r="AG1261">
            <v>0.48484435355600997</v>
          </cell>
          <cell r="AH1261">
            <v>47</v>
          </cell>
          <cell r="AI1261">
            <v>49</v>
          </cell>
          <cell r="AJ1261">
            <v>0.48799999999999999</v>
          </cell>
          <cell r="AK1261">
            <v>50.5</v>
          </cell>
          <cell r="AL1261">
            <v>52</v>
          </cell>
          <cell r="AM1261">
            <v>0.5175384615384615</v>
          </cell>
          <cell r="AN1261">
            <v>52</v>
          </cell>
          <cell r="AO1261">
            <v>52</v>
          </cell>
          <cell r="AP1261">
            <v>52</v>
          </cell>
          <cell r="AQ1261">
            <v>0</v>
          </cell>
          <cell r="AS1261">
            <v>52</v>
          </cell>
        </row>
        <row r="1262">
          <cell r="B1262" t="str">
            <v>SPC</v>
          </cell>
          <cell r="C1262" t="str">
            <v>IMP</v>
          </cell>
          <cell r="D1262" t="str">
            <v>BT</v>
          </cell>
          <cell r="E1262" t="str">
            <v>08</v>
          </cell>
          <cell r="F1262">
            <v>39924</v>
          </cell>
          <cell r="G1262">
            <v>39924</v>
          </cell>
          <cell r="H1262" t="str">
            <v>8937782</v>
          </cell>
          <cell r="I1262" t="str">
            <v>STKM8937782</v>
          </cell>
          <cell r="K1262" t="str">
            <v>TN-114 Toner (11K/btl., 2 btls./cs, 413g/btl.)</v>
          </cell>
          <cell r="L1262">
            <v>80</v>
          </cell>
          <cell r="M1262">
            <v>25.28</v>
          </cell>
          <cell r="N1262">
            <v>26.291200000000003</v>
          </cell>
          <cell r="O1262">
            <v>0.20155490767735648</v>
          </cell>
          <cell r="P1262">
            <v>32.927999999999997</v>
          </cell>
          <cell r="Q1262">
            <v>26.8</v>
          </cell>
          <cell r="R1262">
            <v>30.28</v>
          </cell>
          <cell r="S1262">
            <v>41.16</v>
          </cell>
          <cell r="T1262">
            <v>0.36124392614188516</v>
          </cell>
          <cell r="W1262">
            <v>32.927999999999997</v>
          </cell>
          <cell r="X1262">
            <v>0.8</v>
          </cell>
          <cell r="Y1262" t="str">
            <v>Act freight</v>
          </cell>
          <cell r="AA1262">
            <v>57</v>
          </cell>
          <cell r="AB1262">
            <v>39</v>
          </cell>
          <cell r="AC1262">
            <v>42</v>
          </cell>
          <cell r="AD1262">
            <v>50</v>
          </cell>
          <cell r="AE1262">
            <v>57.77</v>
          </cell>
          <cell r="AF1262">
            <v>0.43001557902025278</v>
          </cell>
          <cell r="AG1262">
            <v>0.54489873636835728</v>
          </cell>
          <cell r="AH1262">
            <v>64</v>
          </cell>
          <cell r="AI1262">
            <v>69</v>
          </cell>
          <cell r="AJ1262">
            <v>0.52278260869565218</v>
          </cell>
          <cell r="AK1262">
            <v>74.5</v>
          </cell>
          <cell r="AL1262">
            <v>80</v>
          </cell>
          <cell r="AM1262">
            <v>0.58840000000000003</v>
          </cell>
          <cell r="AN1262">
            <v>80</v>
          </cell>
          <cell r="AO1262">
            <v>80</v>
          </cell>
          <cell r="AP1262">
            <v>80</v>
          </cell>
          <cell r="AQ1262">
            <v>0</v>
          </cell>
          <cell r="AS1262">
            <v>80</v>
          </cell>
        </row>
        <row r="1263">
          <cell r="B1263" t="str">
            <v>SPC</v>
          </cell>
          <cell r="C1263" t="str">
            <v>IMP</v>
          </cell>
          <cell r="D1263" t="str">
            <v>BT</v>
          </cell>
          <cell r="E1263" t="str">
            <v>08</v>
          </cell>
          <cell r="F1263">
            <v>39924</v>
          </cell>
          <cell r="G1263">
            <v>39924</v>
          </cell>
          <cell r="H1263" t="str">
            <v>8938402</v>
          </cell>
          <cell r="I1263" t="str">
            <v>STKM8938402</v>
          </cell>
          <cell r="K1263" t="str">
            <v>TN-311 Toner (350/362:17.5K)</v>
          </cell>
          <cell r="L1263">
            <v>65</v>
          </cell>
          <cell r="M1263">
            <v>15.06</v>
          </cell>
          <cell r="N1263">
            <v>15.662400000000002</v>
          </cell>
          <cell r="O1263">
            <v>0.44850704225352112</v>
          </cell>
          <cell r="P1263">
            <v>28.400000000000002</v>
          </cell>
          <cell r="Q1263">
            <v>15.96</v>
          </cell>
          <cell r="R1263">
            <v>18.03</v>
          </cell>
          <cell r="S1263">
            <v>35.5</v>
          </cell>
          <cell r="T1263">
            <v>0.55880563380281689</v>
          </cell>
          <cell r="W1263">
            <v>28.400000000000002</v>
          </cell>
          <cell r="X1263">
            <v>0.8</v>
          </cell>
          <cell r="Y1263" t="str">
            <v>Act freight</v>
          </cell>
          <cell r="AA1263">
            <v>49</v>
          </cell>
          <cell r="AB1263">
            <v>34</v>
          </cell>
          <cell r="AC1263">
            <v>36</v>
          </cell>
          <cell r="AD1263">
            <v>43</v>
          </cell>
          <cell r="AE1263">
            <v>49.82</v>
          </cell>
          <cell r="AF1263">
            <v>0.42994781212364508</v>
          </cell>
          <cell r="AG1263">
            <v>0.6856202328382176</v>
          </cell>
          <cell r="AH1263">
            <v>54</v>
          </cell>
          <cell r="AI1263">
            <v>58</v>
          </cell>
          <cell r="AJ1263">
            <v>0.51034482758620681</v>
          </cell>
          <cell r="AK1263">
            <v>61.5</v>
          </cell>
          <cell r="AL1263">
            <v>65</v>
          </cell>
          <cell r="AM1263">
            <v>0.56307692307692303</v>
          </cell>
          <cell r="AN1263">
            <v>65</v>
          </cell>
          <cell r="AO1263">
            <v>65</v>
          </cell>
          <cell r="AP1263">
            <v>65</v>
          </cell>
          <cell r="AQ1263">
            <v>0</v>
          </cell>
          <cell r="AS1263">
            <v>65</v>
          </cell>
        </row>
        <row r="1264">
          <cell r="B1264" t="str">
            <v>SPC</v>
          </cell>
          <cell r="C1264" t="str">
            <v>IMP</v>
          </cell>
          <cell r="D1264" t="str">
            <v>BT</v>
          </cell>
          <cell r="E1264" t="str">
            <v>08</v>
          </cell>
          <cell r="F1264">
            <v>39924</v>
          </cell>
          <cell r="G1264">
            <v>39924</v>
          </cell>
          <cell r="H1264" t="str">
            <v>8938413</v>
          </cell>
          <cell r="I1264" t="str">
            <v>STKM8938413</v>
          </cell>
          <cell r="K1264" t="str">
            <v>TN-211 Toner (282/222/250/200: 17.5K)</v>
          </cell>
          <cell r="L1264">
            <v>72</v>
          </cell>
          <cell r="M1264">
            <v>16.579999999999998</v>
          </cell>
          <cell r="N1264">
            <v>17.243199999999998</v>
          </cell>
          <cell r="O1264">
            <v>0.45432911392405073</v>
          </cell>
          <cell r="P1264">
            <v>31.6</v>
          </cell>
          <cell r="Q1264">
            <v>17.57</v>
          </cell>
          <cell r="R1264">
            <v>19.850000000000001</v>
          </cell>
          <cell r="S1264">
            <v>39.5</v>
          </cell>
          <cell r="T1264">
            <v>0.56346329113924054</v>
          </cell>
          <cell r="U1264">
            <v>4512</v>
          </cell>
          <cell r="V1264">
            <v>0.24742907801418443</v>
          </cell>
          <cell r="W1264">
            <v>31.6</v>
          </cell>
          <cell r="X1264">
            <v>0.8</v>
          </cell>
          <cell r="Y1264" t="str">
            <v>Act freight</v>
          </cell>
          <cell r="Z1264">
            <v>300</v>
          </cell>
          <cell r="AA1264">
            <v>54</v>
          </cell>
          <cell r="AB1264">
            <v>38</v>
          </cell>
          <cell r="AC1264">
            <v>40</v>
          </cell>
          <cell r="AD1264">
            <v>48</v>
          </cell>
          <cell r="AE1264">
            <v>55.44</v>
          </cell>
          <cell r="AF1264">
            <v>0.43001443001442996</v>
          </cell>
          <cell r="AG1264">
            <v>0.68897546897546891</v>
          </cell>
          <cell r="AH1264">
            <v>60</v>
          </cell>
          <cell r="AI1264">
            <v>64</v>
          </cell>
          <cell r="AJ1264">
            <v>0.50624999999999998</v>
          </cell>
          <cell r="AK1264">
            <v>68</v>
          </cell>
          <cell r="AL1264">
            <v>72</v>
          </cell>
          <cell r="AM1264">
            <v>0.56111111111111112</v>
          </cell>
          <cell r="AN1264">
            <v>72</v>
          </cell>
          <cell r="AO1264">
            <v>72</v>
          </cell>
          <cell r="AP1264">
            <v>72</v>
          </cell>
          <cell r="AQ1264">
            <v>0</v>
          </cell>
          <cell r="AR1264">
            <v>488</v>
          </cell>
          <cell r="AS1264">
            <v>72</v>
          </cell>
        </row>
        <row r="1265">
          <cell r="B1265" t="str">
            <v>SPC</v>
          </cell>
          <cell r="C1265" t="str">
            <v>IMP</v>
          </cell>
          <cell r="D1265" t="str">
            <v>BT</v>
          </cell>
          <cell r="E1265" t="str">
            <v>08</v>
          </cell>
          <cell r="F1265">
            <v>39924</v>
          </cell>
          <cell r="G1265">
            <v>39924</v>
          </cell>
          <cell r="H1265" t="str">
            <v>022J</v>
          </cell>
          <cell r="I1265" t="str">
            <v>STKM022J</v>
          </cell>
          <cell r="K1265" t="str">
            <v>TN-910 Toner (920:66K)</v>
          </cell>
          <cell r="L1265">
            <v>98</v>
          </cell>
          <cell r="M1265">
            <v>30</v>
          </cell>
          <cell r="N1265">
            <v>31.200000000000003</v>
          </cell>
          <cell r="O1265">
            <v>0.22496025437201903</v>
          </cell>
          <cell r="P1265">
            <v>40.256</v>
          </cell>
          <cell r="Q1265">
            <v>31.8</v>
          </cell>
          <cell r="R1265">
            <v>35.93</v>
          </cell>
          <cell r="S1265">
            <v>50.32</v>
          </cell>
          <cell r="T1265">
            <v>0.37996820349761523</v>
          </cell>
          <cell r="U1265">
            <v>3290</v>
          </cell>
          <cell r="V1265">
            <v>0.17811550151975683</v>
          </cell>
          <cell r="W1265">
            <v>40.256</v>
          </cell>
          <cell r="X1265">
            <v>0.8</v>
          </cell>
          <cell r="Y1265" t="str">
            <v>Act freight</v>
          </cell>
          <cell r="Z1265">
            <v>300</v>
          </cell>
          <cell r="AA1265">
            <v>69</v>
          </cell>
          <cell r="AB1265">
            <v>48</v>
          </cell>
          <cell r="AC1265">
            <v>51</v>
          </cell>
          <cell r="AD1265">
            <v>61</v>
          </cell>
          <cell r="AE1265">
            <v>70.62</v>
          </cell>
          <cell r="AF1265">
            <v>0.42996318323421129</v>
          </cell>
          <cell r="AG1265">
            <v>0.5581988105352591</v>
          </cell>
          <cell r="AH1265">
            <v>78</v>
          </cell>
          <cell r="AI1265">
            <v>85</v>
          </cell>
          <cell r="AJ1265">
            <v>0.52639999999999998</v>
          </cell>
          <cell r="AK1265">
            <v>91.5</v>
          </cell>
          <cell r="AL1265">
            <v>98</v>
          </cell>
          <cell r="AM1265">
            <v>0.58922448979591835</v>
          </cell>
          <cell r="AN1265">
            <v>98</v>
          </cell>
          <cell r="AO1265">
            <v>98</v>
          </cell>
          <cell r="AP1265">
            <v>98</v>
          </cell>
          <cell r="AQ1265">
            <v>0</v>
          </cell>
          <cell r="AR1265">
            <v>472</v>
          </cell>
          <cell r="AS1265">
            <v>98</v>
          </cell>
        </row>
        <row r="1266">
          <cell r="B1266" t="str">
            <v>SPC</v>
          </cell>
          <cell r="C1266" t="str">
            <v>IMP</v>
          </cell>
          <cell r="D1266" t="str">
            <v>BT</v>
          </cell>
          <cell r="E1266" t="str">
            <v>08</v>
          </cell>
          <cell r="F1266">
            <v>39924</v>
          </cell>
          <cell r="G1266">
            <v>39924</v>
          </cell>
          <cell r="H1266" t="str">
            <v>024E</v>
          </cell>
          <cell r="I1266" t="str">
            <v>STKM024E_</v>
          </cell>
          <cell r="K1266" t="str">
            <v>TN-511 Toner (32.2K)</v>
          </cell>
          <cell r="L1266">
            <v>115</v>
          </cell>
          <cell r="M1266">
            <v>24</v>
          </cell>
          <cell r="N1266">
            <v>24.96</v>
          </cell>
          <cell r="O1266">
            <v>0.41132075471698121</v>
          </cell>
          <cell r="P1266">
            <v>42.400000000000006</v>
          </cell>
          <cell r="Q1266">
            <v>25.44</v>
          </cell>
          <cell r="R1266">
            <v>28.75</v>
          </cell>
          <cell r="S1266">
            <v>53</v>
          </cell>
          <cell r="T1266">
            <v>0.52905660377358488</v>
          </cell>
          <cell r="U1266">
            <v>2443</v>
          </cell>
          <cell r="V1266">
            <v>8.4731887024150632E-2</v>
          </cell>
          <cell r="W1266">
            <v>42.400000000000006</v>
          </cell>
          <cell r="X1266">
            <v>0.80000000000000016</v>
          </cell>
          <cell r="Y1266" t="str">
            <v>Act freight</v>
          </cell>
          <cell r="Z1266">
            <v>300</v>
          </cell>
          <cell r="AA1266">
            <v>73</v>
          </cell>
          <cell r="AB1266">
            <v>50</v>
          </cell>
          <cell r="AC1266">
            <v>53</v>
          </cell>
          <cell r="AD1266">
            <v>64</v>
          </cell>
          <cell r="AE1266">
            <v>74.39</v>
          </cell>
          <cell r="AF1266">
            <v>0.43003091813415772</v>
          </cell>
          <cell r="AG1266">
            <v>0.66447103105256078</v>
          </cell>
          <cell r="AH1266">
            <v>85</v>
          </cell>
          <cell r="AI1266">
            <v>95</v>
          </cell>
          <cell r="AJ1266">
            <v>0.55368421052631578</v>
          </cell>
          <cell r="AK1266">
            <v>105</v>
          </cell>
          <cell r="AL1266">
            <v>115</v>
          </cell>
          <cell r="AM1266">
            <v>0.63130434782608691</v>
          </cell>
          <cell r="AN1266">
            <v>115</v>
          </cell>
          <cell r="AO1266">
            <v>115</v>
          </cell>
          <cell r="AP1266">
            <v>115</v>
          </cell>
          <cell r="AQ1266">
            <v>0</v>
          </cell>
          <cell r="AR1266">
            <v>443</v>
          </cell>
          <cell r="AS1266">
            <v>115</v>
          </cell>
        </row>
        <row r="1267">
          <cell r="B1267" t="str">
            <v>SPC</v>
          </cell>
          <cell r="C1267" t="str">
            <v>IMP</v>
          </cell>
          <cell r="D1267" t="str">
            <v>BT</v>
          </cell>
          <cell r="E1267" t="str">
            <v>08</v>
          </cell>
          <cell r="F1267">
            <v>39924</v>
          </cell>
          <cell r="G1267">
            <v>39924</v>
          </cell>
          <cell r="H1267" t="str">
            <v>02UJ</v>
          </cell>
          <cell r="I1267" t="str">
            <v>STKM02UJ</v>
          </cell>
          <cell r="K1267" t="str">
            <v>TN-010 Toner (1050:88K)</v>
          </cell>
          <cell r="L1267">
            <v>122</v>
          </cell>
          <cell r="M1267">
            <v>35</v>
          </cell>
          <cell r="N1267">
            <v>36.4</v>
          </cell>
          <cell r="O1267">
            <v>0.26100373558551243</v>
          </cell>
          <cell r="P1267">
            <v>49.256</v>
          </cell>
          <cell r="Q1267">
            <v>37.1</v>
          </cell>
          <cell r="R1267">
            <v>41.92</v>
          </cell>
          <cell r="S1267">
            <v>61.57</v>
          </cell>
          <cell r="T1267">
            <v>0.40880298846840996</v>
          </cell>
          <cell r="U1267">
            <v>35.544959999999996</v>
          </cell>
          <cell r="V1267">
            <v>0.15149714614955248</v>
          </cell>
          <cell r="W1267">
            <v>49.256</v>
          </cell>
          <cell r="X1267">
            <v>0.8</v>
          </cell>
          <cell r="Y1267" t="str">
            <v>Act freight</v>
          </cell>
          <cell r="Z1267">
            <v>0</v>
          </cell>
          <cell r="AA1267">
            <v>85</v>
          </cell>
          <cell r="AB1267">
            <v>58</v>
          </cell>
          <cell r="AC1267">
            <v>62</v>
          </cell>
          <cell r="AD1267">
            <v>75</v>
          </cell>
          <cell r="AE1267">
            <v>86.41</v>
          </cell>
          <cell r="AF1267">
            <v>0.42997338271033442</v>
          </cell>
          <cell r="AG1267">
            <v>0.5787524592061104</v>
          </cell>
          <cell r="AH1267">
            <v>96</v>
          </cell>
          <cell r="AI1267">
            <v>105</v>
          </cell>
          <cell r="AJ1267">
            <v>0.53089523809523809</v>
          </cell>
          <cell r="AK1267">
            <v>113.5</v>
          </cell>
          <cell r="AL1267">
            <v>122</v>
          </cell>
          <cell r="AM1267">
            <v>0.59626229508196726</v>
          </cell>
          <cell r="AN1267">
            <v>122</v>
          </cell>
          <cell r="AO1267">
            <v>122</v>
          </cell>
          <cell r="AP1267">
            <v>122</v>
          </cell>
          <cell r="AQ1267">
            <v>0</v>
          </cell>
          <cell r="AR1267">
            <v>0</v>
          </cell>
          <cell r="AS1267">
            <v>122</v>
          </cell>
        </row>
        <row r="1268">
          <cell r="B1268" t="str">
            <v>SPC</v>
          </cell>
          <cell r="C1268" t="str">
            <v>IMP</v>
          </cell>
          <cell r="D1268" t="str">
            <v>BT</v>
          </cell>
          <cell r="E1268" t="str">
            <v>08</v>
          </cell>
          <cell r="F1268">
            <v>39924</v>
          </cell>
          <cell r="G1268">
            <v>39924</v>
          </cell>
          <cell r="H1268" t="str">
            <v>02XJ</v>
          </cell>
          <cell r="I1268" t="str">
            <v>STKM02XJ</v>
          </cell>
          <cell r="K1268" t="str">
            <v>TN-710 Toner (600/750/601/750:55K)</v>
          </cell>
          <cell r="L1268">
            <v>125</v>
          </cell>
          <cell r="M1268">
            <v>26.5</v>
          </cell>
          <cell r="N1268">
            <v>27.560000000000002</v>
          </cell>
          <cell r="O1268">
            <v>0.31374501992031872</v>
          </cell>
          <cell r="P1268">
            <v>40.160000000000004</v>
          </cell>
          <cell r="Q1268">
            <v>28.09</v>
          </cell>
          <cell r="R1268">
            <v>31.74</v>
          </cell>
          <cell r="S1268">
            <v>50.2</v>
          </cell>
          <cell r="T1268">
            <v>0.45099601593625499</v>
          </cell>
          <cell r="U1268">
            <v>715.54559999999992</v>
          </cell>
          <cell r="V1268">
            <v>0.14683285034524693</v>
          </cell>
          <cell r="W1268">
            <v>40.160000000000004</v>
          </cell>
          <cell r="X1268">
            <v>0.8</v>
          </cell>
          <cell r="Y1268" t="str">
            <v>Act freight</v>
          </cell>
          <cell r="AA1268">
            <v>69</v>
          </cell>
          <cell r="AB1268">
            <v>48</v>
          </cell>
          <cell r="AC1268">
            <v>51</v>
          </cell>
          <cell r="AD1268">
            <v>61</v>
          </cell>
          <cell r="AE1268">
            <v>70.459999999999994</v>
          </cell>
          <cell r="AF1268">
            <v>0.43003122338915689</v>
          </cell>
          <cell r="AG1268">
            <v>0.60885608856088558</v>
          </cell>
          <cell r="AH1268">
            <v>85</v>
          </cell>
          <cell r="AI1268">
            <v>98</v>
          </cell>
          <cell r="AJ1268">
            <v>0.59020408163265303</v>
          </cell>
          <cell r="AK1268">
            <v>111.5</v>
          </cell>
          <cell r="AL1268">
            <v>125</v>
          </cell>
          <cell r="AM1268">
            <v>0.67871999999999999</v>
          </cell>
          <cell r="AN1268">
            <v>125</v>
          </cell>
          <cell r="AO1268">
            <v>125</v>
          </cell>
          <cell r="AP1268">
            <v>125</v>
          </cell>
          <cell r="AQ1268">
            <v>0</v>
          </cell>
          <cell r="AS1268">
            <v>125</v>
          </cell>
        </row>
        <row r="1269">
          <cell r="B1269" t="str">
            <v>SPC</v>
          </cell>
          <cell r="C1269" t="str">
            <v>IMP</v>
          </cell>
          <cell r="D1269" t="str">
            <v>BT</v>
          </cell>
          <cell r="E1269" t="str">
            <v>08</v>
          </cell>
          <cell r="F1269">
            <v>39924</v>
          </cell>
          <cell r="G1269">
            <v>39924</v>
          </cell>
          <cell r="H1269" t="str">
            <v>14YH</v>
          </cell>
          <cell r="I1269" t="str">
            <v>SBKM14YH</v>
          </cell>
          <cell r="K1269" t="str">
            <v>SK-601 Staples for SD-501/506 (5K x 3)</v>
          </cell>
          <cell r="L1269">
            <v>120</v>
          </cell>
          <cell r="M1269">
            <v>50</v>
          </cell>
          <cell r="N1269">
            <v>52</v>
          </cell>
          <cell r="O1269">
            <v>0.1095890410958905</v>
          </cell>
          <cell r="P1269">
            <v>58.400000000000006</v>
          </cell>
          <cell r="Q1269">
            <v>53</v>
          </cell>
          <cell r="R1269">
            <v>59.89</v>
          </cell>
          <cell r="S1269">
            <v>73</v>
          </cell>
          <cell r="T1269">
            <v>0.28767123287671231</v>
          </cell>
          <cell r="U1269">
            <v>398.42879999999997</v>
          </cell>
          <cell r="V1269">
            <v>0.25346762081455954</v>
          </cell>
          <cell r="W1269">
            <v>58.400000000000006</v>
          </cell>
          <cell r="X1269">
            <v>0.8</v>
          </cell>
          <cell r="Y1269" t="str">
            <v>Act freight</v>
          </cell>
          <cell r="AA1269">
            <v>100</v>
          </cell>
          <cell r="AB1269">
            <v>69</v>
          </cell>
          <cell r="AC1269">
            <v>73</v>
          </cell>
          <cell r="AD1269">
            <v>88</v>
          </cell>
          <cell r="AE1269">
            <v>102.46</v>
          </cell>
          <cell r="AF1269">
            <v>0.43002147179387068</v>
          </cell>
          <cell r="AG1269">
            <v>0.49248487214522735</v>
          </cell>
          <cell r="AH1269">
            <v>108</v>
          </cell>
          <cell r="AI1269">
            <v>112</v>
          </cell>
          <cell r="AJ1269">
            <v>0.47857142857142854</v>
          </cell>
          <cell r="AK1269">
            <v>116</v>
          </cell>
          <cell r="AL1269">
            <v>120</v>
          </cell>
          <cell r="AM1269">
            <v>0.51333333333333331</v>
          </cell>
          <cell r="AN1269">
            <v>120</v>
          </cell>
          <cell r="AO1269">
            <v>120</v>
          </cell>
          <cell r="AP1269">
            <v>120</v>
          </cell>
          <cell r="AQ1269">
            <v>0</v>
          </cell>
          <cell r="AS1269">
            <v>120</v>
          </cell>
        </row>
        <row r="1270">
          <cell r="B1270" t="str">
            <v>SPC</v>
          </cell>
          <cell r="C1270" t="str">
            <v>IMP</v>
          </cell>
          <cell r="D1270" t="str">
            <v>BT</v>
          </cell>
          <cell r="E1270" t="str">
            <v>08</v>
          </cell>
          <cell r="F1270">
            <v>39924</v>
          </cell>
          <cell r="G1270">
            <v>39924</v>
          </cell>
          <cell r="H1270" t="str">
            <v>14YJ</v>
          </cell>
          <cell r="I1270" t="str">
            <v>SBKM14YJ</v>
          </cell>
          <cell r="K1270" t="str">
            <v>SK-701 Staples (for FS-503, FS-516, FS-528, FS-521)</v>
          </cell>
          <cell r="L1270">
            <v>240</v>
          </cell>
          <cell r="M1270">
            <v>80</v>
          </cell>
          <cell r="N1270">
            <v>83.2</v>
          </cell>
          <cell r="O1270">
            <v>0.14754098360655743</v>
          </cell>
          <cell r="P1270">
            <v>97.600000000000009</v>
          </cell>
          <cell r="Q1270">
            <v>84.8</v>
          </cell>
          <cell r="R1270">
            <v>95.82</v>
          </cell>
          <cell r="S1270">
            <v>122</v>
          </cell>
          <cell r="T1270">
            <v>0.31803278688524589</v>
          </cell>
          <cell r="U1270">
            <v>520.39679999999998</v>
          </cell>
          <cell r="V1270">
            <v>0.18462219598583235</v>
          </cell>
          <cell r="W1270">
            <v>97.600000000000009</v>
          </cell>
          <cell r="X1270">
            <v>0.8</v>
          </cell>
          <cell r="Y1270" t="str">
            <v>Act freight</v>
          </cell>
          <cell r="AA1270">
            <v>168</v>
          </cell>
          <cell r="AB1270">
            <v>115</v>
          </cell>
          <cell r="AC1270">
            <v>122</v>
          </cell>
          <cell r="AD1270">
            <v>147</v>
          </cell>
          <cell r="AE1270">
            <v>171.23</v>
          </cell>
          <cell r="AF1270">
            <v>0.43000642410792494</v>
          </cell>
          <cell r="AG1270">
            <v>0.5141038369444606</v>
          </cell>
          <cell r="AH1270">
            <v>189</v>
          </cell>
          <cell r="AI1270">
            <v>206</v>
          </cell>
          <cell r="AJ1270">
            <v>0.52621359223300967</v>
          </cell>
          <cell r="AK1270">
            <v>223</v>
          </cell>
          <cell r="AL1270">
            <v>240</v>
          </cell>
          <cell r="AM1270">
            <v>0.59333333333333327</v>
          </cell>
          <cell r="AN1270">
            <v>240</v>
          </cell>
          <cell r="AO1270">
            <v>240</v>
          </cell>
          <cell r="AP1270">
            <v>240</v>
          </cell>
          <cell r="AQ1270">
            <v>0</v>
          </cell>
          <cell r="AS1270">
            <v>240</v>
          </cell>
        </row>
        <row r="1271">
          <cell r="B1271" t="str">
            <v>SPC</v>
          </cell>
          <cell r="C1271" t="str">
            <v>IMP</v>
          </cell>
          <cell r="D1271" t="str">
            <v>BT</v>
          </cell>
          <cell r="E1271" t="str">
            <v>08</v>
          </cell>
          <cell r="F1271">
            <v>39924</v>
          </cell>
          <cell r="G1271">
            <v>39924</v>
          </cell>
          <cell r="H1271" t="str">
            <v>14YK</v>
          </cell>
          <cell r="I1271" t="str">
            <v>SBKM14YK</v>
          </cell>
          <cell r="K1271" t="str">
            <v>SK-602 Staples for FS-504/514/517/519/520/521/524/527 and SD-509 (5K x 3)</v>
          </cell>
          <cell r="L1271">
            <v>68</v>
          </cell>
          <cell r="M1271">
            <v>32</v>
          </cell>
          <cell r="N1271">
            <v>33.28</v>
          </cell>
          <cell r="O1271">
            <v>9.5652173913043551E-2</v>
          </cell>
          <cell r="P1271">
            <v>36.800000000000004</v>
          </cell>
          <cell r="Q1271">
            <v>33.92</v>
          </cell>
          <cell r="R1271">
            <v>38.33</v>
          </cell>
          <cell r="S1271">
            <v>46</v>
          </cell>
          <cell r="T1271">
            <v>0.27652173913043476</v>
          </cell>
          <cell r="U1271">
            <v>613.94431999999995</v>
          </cell>
          <cell r="V1271">
            <v>0.30886240628466105</v>
          </cell>
          <cell r="W1271">
            <v>36.800000000000004</v>
          </cell>
          <cell r="X1271">
            <v>0.8</v>
          </cell>
          <cell r="Y1271" t="str">
            <v>Act freight</v>
          </cell>
          <cell r="AA1271">
            <v>63</v>
          </cell>
          <cell r="AB1271">
            <v>44</v>
          </cell>
          <cell r="AC1271">
            <v>46</v>
          </cell>
          <cell r="AD1271">
            <v>56</v>
          </cell>
          <cell r="AE1271">
            <v>64.56</v>
          </cell>
          <cell r="AF1271">
            <v>0.4299876084262701</v>
          </cell>
          <cell r="AG1271">
            <v>0.48451053283767037</v>
          </cell>
          <cell r="AH1271">
            <v>66</v>
          </cell>
          <cell r="AI1271">
            <v>67</v>
          </cell>
          <cell r="AJ1271">
            <v>0.45074626865671635</v>
          </cell>
          <cell r="AK1271">
            <v>67.5</v>
          </cell>
          <cell r="AL1271">
            <v>68</v>
          </cell>
          <cell r="AM1271">
            <v>0.45882352941176463</v>
          </cell>
          <cell r="AN1271">
            <v>68</v>
          </cell>
          <cell r="AO1271">
            <v>68</v>
          </cell>
          <cell r="AP1271">
            <v>68</v>
          </cell>
          <cell r="AQ1271">
            <v>0</v>
          </cell>
          <cell r="AS1271">
            <v>68</v>
          </cell>
        </row>
        <row r="1272">
          <cell r="B1272" t="str">
            <v>SPC</v>
          </cell>
          <cell r="C1272" t="str">
            <v>IMP</v>
          </cell>
          <cell r="D1272" t="str">
            <v>BT</v>
          </cell>
          <cell r="E1272" t="str">
            <v>08</v>
          </cell>
          <cell r="F1272">
            <v>39924</v>
          </cell>
          <cell r="G1272">
            <v>39924</v>
          </cell>
          <cell r="H1272" t="str">
            <v>4518826</v>
          </cell>
          <cell r="I1272" t="str">
            <v>STKM4518826_</v>
          </cell>
          <cell r="K1272" t="str">
            <v>Toner Cartridge - 6,000 yield (TN-110)</v>
          </cell>
          <cell r="L1272">
            <v>126</v>
          </cell>
          <cell r="M1272">
            <v>36.299999999999997</v>
          </cell>
          <cell r="N1272">
            <v>37.751999999999995</v>
          </cell>
          <cell r="O1272">
            <v>0.36229729729729743</v>
          </cell>
          <cell r="P1272">
            <v>59.2</v>
          </cell>
          <cell r="Q1272">
            <v>38.479999999999997</v>
          </cell>
          <cell r="R1272">
            <v>43.48</v>
          </cell>
          <cell r="S1272">
            <v>74</v>
          </cell>
          <cell r="T1272">
            <v>0.48983783783783791</v>
          </cell>
          <cell r="U1272">
            <v>97.18719999999999</v>
          </cell>
          <cell r="V1272">
            <v>0.12251819169602571</v>
          </cell>
          <cell r="W1272">
            <v>59.2</v>
          </cell>
          <cell r="X1272">
            <v>0.8</v>
          </cell>
          <cell r="Y1272" t="str">
            <v>Act freight</v>
          </cell>
          <cell r="AA1272">
            <v>102</v>
          </cell>
          <cell r="AB1272">
            <v>70</v>
          </cell>
          <cell r="AC1272">
            <v>74</v>
          </cell>
          <cell r="AD1272">
            <v>89</v>
          </cell>
          <cell r="AE1272">
            <v>103.86</v>
          </cell>
          <cell r="AF1272">
            <v>0.43000192566917</v>
          </cell>
          <cell r="AG1272">
            <v>0.63651068746389372</v>
          </cell>
          <cell r="AH1272">
            <v>110</v>
          </cell>
          <cell r="AI1272">
            <v>115</v>
          </cell>
          <cell r="AJ1272">
            <v>0.48521739130434782</v>
          </cell>
          <cell r="AK1272">
            <v>120.5</v>
          </cell>
          <cell r="AL1272">
            <v>126</v>
          </cell>
          <cell r="AM1272">
            <v>0.53015873015873016</v>
          </cell>
          <cell r="AN1272">
            <v>126</v>
          </cell>
          <cell r="AO1272">
            <v>126</v>
          </cell>
          <cell r="AP1272">
            <v>126</v>
          </cell>
          <cell r="AQ1272">
            <v>0</v>
          </cell>
          <cell r="AS1272">
            <v>126</v>
          </cell>
        </row>
        <row r="1273">
          <cell r="B1273" t="str">
            <v>SPC</v>
          </cell>
          <cell r="C1273" t="str">
            <v>IMP</v>
          </cell>
          <cell r="D1273" t="str">
            <v>BT</v>
          </cell>
          <cell r="E1273" t="str">
            <v>08</v>
          </cell>
          <cell r="F1273">
            <v>39924</v>
          </cell>
          <cell r="G1273">
            <v>39924</v>
          </cell>
          <cell r="H1273" t="str">
            <v>4519322</v>
          </cell>
          <cell r="I1273" t="str">
            <v>SOKM4519322_</v>
          </cell>
          <cell r="K1273" t="str">
            <v>Drum Cartridge - 20,000 yield (DN-110)</v>
          </cell>
          <cell r="L1273">
            <v>92</v>
          </cell>
          <cell r="M1273">
            <v>23.57</v>
          </cell>
          <cell r="N1273">
            <v>24.512800000000002</v>
          </cell>
          <cell r="O1273">
            <v>0.43257407407407406</v>
          </cell>
          <cell r="P1273">
            <v>43.2</v>
          </cell>
          <cell r="Q1273">
            <v>24.98</v>
          </cell>
          <cell r="R1273">
            <v>28.23</v>
          </cell>
          <cell r="S1273">
            <v>54</v>
          </cell>
          <cell r="T1273">
            <v>0.54605925925925924</v>
          </cell>
          <cell r="U1273">
            <v>745.74720000000002</v>
          </cell>
          <cell r="V1273">
            <v>0.11026149343906358</v>
          </cell>
          <cell r="W1273">
            <v>43.2</v>
          </cell>
          <cell r="X1273">
            <v>0.8</v>
          </cell>
          <cell r="Y1273" t="str">
            <v>Act freight</v>
          </cell>
          <cell r="AA1273">
            <v>74</v>
          </cell>
          <cell r="AB1273">
            <v>51</v>
          </cell>
          <cell r="AC1273">
            <v>54</v>
          </cell>
          <cell r="AD1273">
            <v>65</v>
          </cell>
          <cell r="AE1273">
            <v>75.790000000000006</v>
          </cell>
          <cell r="AF1273">
            <v>0.43000395830584509</v>
          </cell>
          <cell r="AG1273">
            <v>0.67656946826758158</v>
          </cell>
          <cell r="AH1273">
            <v>80</v>
          </cell>
          <cell r="AI1273">
            <v>84</v>
          </cell>
          <cell r="AJ1273">
            <v>0.48571428571428565</v>
          </cell>
          <cell r="AK1273">
            <v>88</v>
          </cell>
          <cell r="AL1273">
            <v>92</v>
          </cell>
          <cell r="AM1273">
            <v>0.53043478260869559</v>
          </cell>
          <cell r="AN1273">
            <v>92</v>
          </cell>
          <cell r="AO1273">
            <v>92</v>
          </cell>
          <cell r="AP1273">
            <v>92</v>
          </cell>
          <cell r="AQ1273">
            <v>0</v>
          </cell>
          <cell r="AS1273">
            <v>92</v>
          </cell>
        </row>
        <row r="1274">
          <cell r="B1274" t="str">
            <v>SPC</v>
          </cell>
          <cell r="C1274" t="str">
            <v>IMP</v>
          </cell>
          <cell r="D1274" t="str">
            <v>BT</v>
          </cell>
          <cell r="E1274" t="str">
            <v>08</v>
          </cell>
          <cell r="F1274">
            <v>39924</v>
          </cell>
          <cell r="G1274">
            <v>39924</v>
          </cell>
          <cell r="H1274" t="str">
            <v>A070130</v>
          </cell>
          <cell r="I1274" t="str">
            <v>STKMA070130</v>
          </cell>
          <cell r="K1274" t="str">
            <v>TN-611K Toner K (45K)</v>
          </cell>
          <cell r="L1274">
            <v>77</v>
          </cell>
          <cell r="M1274">
            <v>28</v>
          </cell>
          <cell r="N1274">
            <v>29.12</v>
          </cell>
          <cell r="O1274">
            <v>0</v>
          </cell>
          <cell r="P1274">
            <v>29.12</v>
          </cell>
          <cell r="Q1274">
            <v>29.68</v>
          </cell>
          <cell r="R1274">
            <v>33.54</v>
          </cell>
          <cell r="S1274">
            <v>35</v>
          </cell>
          <cell r="T1274">
            <v>0.16799999999999998</v>
          </cell>
          <cell r="U1274">
            <v>586.14335999999992</v>
          </cell>
          <cell r="V1274">
            <v>0.10042485169498457</v>
          </cell>
          <cell r="W1274">
            <v>29.12</v>
          </cell>
          <cell r="X1274">
            <v>0.83200000000000007</v>
          </cell>
          <cell r="Y1274" t="str">
            <v>Act freight</v>
          </cell>
          <cell r="AA1274">
            <v>50</v>
          </cell>
          <cell r="AB1274">
            <v>35</v>
          </cell>
          <cell r="AC1274">
            <v>37</v>
          </cell>
          <cell r="AD1274">
            <v>45</v>
          </cell>
          <cell r="AE1274">
            <v>51.09</v>
          </cell>
          <cell r="AF1274">
            <v>0.43002544529262088</v>
          </cell>
          <cell r="AG1274">
            <v>0.43002544529262088</v>
          </cell>
          <cell r="AH1274">
            <v>59</v>
          </cell>
          <cell r="AI1274">
            <v>65</v>
          </cell>
          <cell r="AJ1274">
            <v>0.55199999999999994</v>
          </cell>
          <cell r="AK1274">
            <v>71</v>
          </cell>
          <cell r="AL1274">
            <v>77</v>
          </cell>
          <cell r="AM1274">
            <v>0.62181818181818171</v>
          </cell>
          <cell r="AN1274">
            <v>77</v>
          </cell>
          <cell r="AO1274">
            <v>77</v>
          </cell>
          <cell r="AP1274">
            <v>77</v>
          </cell>
          <cell r="AQ1274">
            <v>0</v>
          </cell>
          <cell r="AS1274">
            <v>77</v>
          </cell>
        </row>
        <row r="1275">
          <cell r="B1275" t="str">
            <v>SPC</v>
          </cell>
          <cell r="C1275" t="str">
            <v>IMP</v>
          </cell>
          <cell r="D1275" t="str">
            <v>BT</v>
          </cell>
          <cell r="E1275" t="str">
            <v>08</v>
          </cell>
          <cell r="F1275">
            <v>39924</v>
          </cell>
          <cell r="G1275">
            <v>39924</v>
          </cell>
          <cell r="H1275" t="str">
            <v>A070131</v>
          </cell>
          <cell r="I1275" t="str">
            <v>STKMA070131</v>
          </cell>
          <cell r="K1275" t="str">
            <v>TN-411K Toner K (45K)</v>
          </cell>
          <cell r="L1275">
            <v>100</v>
          </cell>
          <cell r="M1275">
            <v>31</v>
          </cell>
          <cell r="N1275">
            <v>32.24</v>
          </cell>
          <cell r="O1275">
            <v>0.1044444444444444</v>
          </cell>
          <cell r="P1275">
            <v>36</v>
          </cell>
          <cell r="Q1275">
            <v>32.86</v>
          </cell>
          <cell r="R1275">
            <v>37.130000000000003</v>
          </cell>
          <cell r="S1275">
            <v>45</v>
          </cell>
          <cell r="T1275">
            <v>0.28355555555555551</v>
          </cell>
          <cell r="U1275">
            <v>256.17151999999999</v>
          </cell>
          <cell r="V1275">
            <v>0.27329938940909587</v>
          </cell>
          <cell r="W1275">
            <v>36</v>
          </cell>
          <cell r="X1275">
            <v>0.8</v>
          </cell>
          <cell r="Y1275" t="str">
            <v>Act freight</v>
          </cell>
          <cell r="AA1275">
            <v>62</v>
          </cell>
          <cell r="AB1275">
            <v>43</v>
          </cell>
          <cell r="AC1275">
            <v>45</v>
          </cell>
          <cell r="AD1275">
            <v>55</v>
          </cell>
          <cell r="AE1275">
            <v>63.16</v>
          </cell>
          <cell r="AF1275">
            <v>0.43001899936668775</v>
          </cell>
          <cell r="AG1275">
            <v>0.48955034832172256</v>
          </cell>
          <cell r="AH1275">
            <v>73</v>
          </cell>
          <cell r="AI1275">
            <v>82</v>
          </cell>
          <cell r="AJ1275">
            <v>0.56097560975609762</v>
          </cell>
          <cell r="AK1275">
            <v>91</v>
          </cell>
          <cell r="AL1275">
            <v>100</v>
          </cell>
          <cell r="AM1275">
            <v>0.64</v>
          </cell>
          <cell r="AN1275">
            <v>100</v>
          </cell>
          <cell r="AO1275">
            <v>100</v>
          </cell>
          <cell r="AP1275">
            <v>100</v>
          </cell>
          <cell r="AQ1275">
            <v>0</v>
          </cell>
          <cell r="AS1275">
            <v>100</v>
          </cell>
        </row>
        <row r="1276">
          <cell r="B1276" t="str">
            <v>SPC</v>
          </cell>
          <cell r="C1276" t="str">
            <v>IMP</v>
          </cell>
          <cell r="D1276" t="str">
            <v>BT</v>
          </cell>
          <cell r="E1276" t="str">
            <v>08</v>
          </cell>
          <cell r="F1276">
            <v>39924</v>
          </cell>
          <cell r="G1276">
            <v>39924</v>
          </cell>
          <cell r="H1276" t="str">
            <v>A070230</v>
          </cell>
          <cell r="I1276" t="str">
            <v>STKMA070230YE</v>
          </cell>
          <cell r="K1276" t="str">
            <v>TN-611Y Toner Y (27K)</v>
          </cell>
          <cell r="L1276">
            <v>162</v>
          </cell>
          <cell r="M1276">
            <v>47</v>
          </cell>
          <cell r="N1276">
            <v>48.88</v>
          </cell>
          <cell r="O1276">
            <v>0.26385542168674703</v>
          </cell>
          <cell r="P1276">
            <v>66.400000000000006</v>
          </cell>
          <cell r="Q1276">
            <v>49.82</v>
          </cell>
          <cell r="R1276">
            <v>56.3</v>
          </cell>
          <cell r="S1276">
            <v>83</v>
          </cell>
          <cell r="T1276">
            <v>0.41108433734939753</v>
          </cell>
          <cell r="U1276">
            <v>107.33183999999999</v>
          </cell>
          <cell r="V1276">
            <v>0.253902662993572</v>
          </cell>
          <cell r="W1276">
            <v>66.400000000000006</v>
          </cell>
          <cell r="X1276">
            <v>0.8</v>
          </cell>
          <cell r="Y1276" t="str">
            <v>Act freight</v>
          </cell>
          <cell r="AA1276">
            <v>114</v>
          </cell>
          <cell r="AB1276">
            <v>79</v>
          </cell>
          <cell r="AC1276">
            <v>83</v>
          </cell>
          <cell r="AD1276">
            <v>100</v>
          </cell>
          <cell r="AE1276">
            <v>116.49</v>
          </cell>
          <cell r="AF1276">
            <v>0.42999399090050638</v>
          </cell>
          <cell r="AG1276">
            <v>0.58039316679543296</v>
          </cell>
          <cell r="AH1276">
            <v>129</v>
          </cell>
          <cell r="AI1276">
            <v>140</v>
          </cell>
          <cell r="AJ1276">
            <v>0.52571428571428569</v>
          </cell>
          <cell r="AK1276">
            <v>151</v>
          </cell>
          <cell r="AL1276">
            <v>162</v>
          </cell>
          <cell r="AM1276">
            <v>0.59012345679012346</v>
          </cell>
          <cell r="AN1276">
            <v>162</v>
          </cell>
          <cell r="AO1276">
            <v>162</v>
          </cell>
          <cell r="AP1276">
            <v>162</v>
          </cell>
          <cell r="AQ1276">
            <v>0</v>
          </cell>
          <cell r="AS1276">
            <v>162</v>
          </cell>
        </row>
        <row r="1277">
          <cell r="B1277" t="str">
            <v>SPC</v>
          </cell>
          <cell r="C1277" t="str">
            <v>IMP</v>
          </cell>
          <cell r="D1277" t="str">
            <v>BT</v>
          </cell>
          <cell r="E1277" t="str">
            <v>08</v>
          </cell>
          <cell r="F1277">
            <v>39924</v>
          </cell>
          <cell r="G1277">
            <v>39924</v>
          </cell>
          <cell r="H1277" t="str">
            <v>A070330</v>
          </cell>
          <cell r="I1277" t="str">
            <v>STKMA070330MA</v>
          </cell>
          <cell r="K1277" t="str">
            <v>TN-611M Toner M (27K)</v>
          </cell>
          <cell r="L1277">
            <v>162</v>
          </cell>
          <cell r="M1277">
            <v>47</v>
          </cell>
          <cell r="N1277">
            <v>48.88</v>
          </cell>
          <cell r="O1277">
            <v>0.26385542168674703</v>
          </cell>
          <cell r="P1277">
            <v>66.400000000000006</v>
          </cell>
          <cell r="Q1277">
            <v>49.82</v>
          </cell>
          <cell r="R1277">
            <v>56.3</v>
          </cell>
          <cell r="S1277">
            <v>83</v>
          </cell>
          <cell r="T1277">
            <v>0.41108433734939753</v>
          </cell>
          <cell r="U1277">
            <v>680.62015999999994</v>
          </cell>
          <cell r="V1277">
            <v>5.7212763136489937E-2</v>
          </cell>
          <cell r="W1277">
            <v>66.400000000000006</v>
          </cell>
          <cell r="X1277">
            <v>0.8</v>
          </cell>
          <cell r="Y1277" t="str">
            <v>Act freight</v>
          </cell>
          <cell r="AA1277">
            <v>114</v>
          </cell>
          <cell r="AB1277">
            <v>79</v>
          </cell>
          <cell r="AC1277">
            <v>83</v>
          </cell>
          <cell r="AD1277">
            <v>100</v>
          </cell>
          <cell r="AE1277">
            <v>116.49</v>
          </cell>
          <cell r="AF1277">
            <v>0.42999399090050638</v>
          </cell>
          <cell r="AG1277">
            <v>0.58039316679543296</v>
          </cell>
          <cell r="AH1277">
            <v>129</v>
          </cell>
          <cell r="AI1277">
            <v>140</v>
          </cell>
          <cell r="AJ1277">
            <v>0.52571428571428569</v>
          </cell>
          <cell r="AK1277">
            <v>151</v>
          </cell>
          <cell r="AL1277">
            <v>162</v>
          </cell>
          <cell r="AM1277">
            <v>0.59012345679012346</v>
          </cell>
          <cell r="AN1277">
            <v>162</v>
          </cell>
          <cell r="AO1277">
            <v>162</v>
          </cell>
          <cell r="AP1277">
            <v>162</v>
          </cell>
          <cell r="AQ1277">
            <v>0</v>
          </cell>
          <cell r="AS1277">
            <v>162</v>
          </cell>
        </row>
        <row r="1278">
          <cell r="B1278" t="str">
            <v>SPC</v>
          </cell>
          <cell r="C1278" t="str">
            <v>IMP</v>
          </cell>
          <cell r="D1278" t="str">
            <v>BT</v>
          </cell>
          <cell r="E1278" t="str">
            <v>08</v>
          </cell>
          <cell r="F1278">
            <v>39924</v>
          </cell>
          <cell r="G1278">
            <v>39924</v>
          </cell>
          <cell r="H1278" t="str">
            <v>A070430</v>
          </cell>
          <cell r="I1278" t="str">
            <v>STKMA070430CY</v>
          </cell>
          <cell r="K1278" t="str">
            <v>TN-611C Toner C (27K)</v>
          </cell>
          <cell r="L1278">
            <v>162</v>
          </cell>
          <cell r="M1278">
            <v>47</v>
          </cell>
          <cell r="N1278">
            <v>48.88</v>
          </cell>
          <cell r="O1278">
            <v>0.26385542168674703</v>
          </cell>
          <cell r="P1278">
            <v>66.400000000000006</v>
          </cell>
          <cell r="Q1278">
            <v>49.82</v>
          </cell>
          <cell r="R1278">
            <v>56.3</v>
          </cell>
          <cell r="S1278">
            <v>83</v>
          </cell>
          <cell r="T1278">
            <v>0.41108433734939753</v>
          </cell>
          <cell r="U1278">
            <v>619.52</v>
          </cell>
          <cell r="V1278">
            <v>0.16064049586776857</v>
          </cell>
          <cell r="W1278">
            <v>66.400000000000006</v>
          </cell>
          <cell r="X1278">
            <v>0.8</v>
          </cell>
          <cell r="Y1278" t="str">
            <v>Act freight</v>
          </cell>
          <cell r="AA1278">
            <v>114</v>
          </cell>
          <cell r="AB1278">
            <v>79</v>
          </cell>
          <cell r="AC1278">
            <v>83</v>
          </cell>
          <cell r="AD1278">
            <v>100</v>
          </cell>
          <cell r="AE1278">
            <v>116.49</v>
          </cell>
          <cell r="AF1278">
            <v>0.42999399090050638</v>
          </cell>
          <cell r="AG1278">
            <v>0.58039316679543296</v>
          </cell>
          <cell r="AH1278">
            <v>129</v>
          </cell>
          <cell r="AI1278">
            <v>140</v>
          </cell>
          <cell r="AJ1278">
            <v>0.52571428571428569</v>
          </cell>
          <cell r="AK1278">
            <v>151</v>
          </cell>
          <cell r="AL1278">
            <v>162</v>
          </cell>
          <cell r="AM1278">
            <v>0.59012345679012346</v>
          </cell>
          <cell r="AN1278">
            <v>162</v>
          </cell>
          <cell r="AO1278">
            <v>162</v>
          </cell>
          <cell r="AP1278">
            <v>162</v>
          </cell>
          <cell r="AQ1278">
            <v>0</v>
          </cell>
          <cell r="AS1278">
            <v>162</v>
          </cell>
        </row>
        <row r="1279">
          <cell r="B1279" t="str">
            <v>SPC</v>
          </cell>
          <cell r="C1279" t="str">
            <v>IMP</v>
          </cell>
          <cell r="D1279" t="str">
            <v>BT</v>
          </cell>
          <cell r="E1279" t="str">
            <v>08</v>
          </cell>
          <cell r="F1279">
            <v>39924</v>
          </cell>
          <cell r="G1279">
            <v>40114</v>
          </cell>
          <cell r="H1279" t="str">
            <v>A0800Y0</v>
          </cell>
          <cell r="I1279" t="str">
            <v>SBKMGC501</v>
          </cell>
          <cell r="J1279" t="str">
            <v>DNU</v>
          </cell>
          <cell r="K1279" t="str">
            <v>GC-501 Glue for PB-501</v>
          </cell>
          <cell r="L1279">
            <v>40</v>
          </cell>
          <cell r="M1279">
            <v>14.3</v>
          </cell>
          <cell r="N1279">
            <v>14.872000000000002</v>
          </cell>
          <cell r="O1279">
            <v>0.20214592274678106</v>
          </cell>
          <cell r="P1279">
            <v>18.64</v>
          </cell>
          <cell r="Q1279">
            <v>15.16</v>
          </cell>
          <cell r="R1279">
            <v>17.13</v>
          </cell>
          <cell r="S1279">
            <v>23.3</v>
          </cell>
          <cell r="T1279">
            <v>0.36171673819742484</v>
          </cell>
          <cell r="U1279">
            <v>292.72320000000002</v>
          </cell>
          <cell r="V1279">
            <v>0.20060999606454158</v>
          </cell>
          <cell r="W1279">
            <v>18.64</v>
          </cell>
          <cell r="X1279">
            <v>0.8</v>
          </cell>
          <cell r="Y1279" t="str">
            <v>Act freight</v>
          </cell>
          <cell r="AA1279">
            <v>32</v>
          </cell>
          <cell r="AB1279">
            <v>22</v>
          </cell>
          <cell r="AC1279">
            <v>24</v>
          </cell>
          <cell r="AD1279">
            <v>29</v>
          </cell>
          <cell r="AE1279">
            <v>32.700000000000003</v>
          </cell>
          <cell r="AF1279">
            <v>0.42996941896024465</v>
          </cell>
          <cell r="AG1279">
            <v>0.54519877675840978</v>
          </cell>
          <cell r="AH1279">
            <v>35</v>
          </cell>
          <cell r="AI1279">
            <v>37</v>
          </cell>
          <cell r="AJ1279">
            <v>0.4962162162162162</v>
          </cell>
          <cell r="AK1279">
            <v>38.5</v>
          </cell>
          <cell r="AL1279">
            <v>40</v>
          </cell>
          <cell r="AM1279">
            <v>0.53400000000000003</v>
          </cell>
          <cell r="AN1279">
            <v>40</v>
          </cell>
          <cell r="AO1279">
            <v>40</v>
          </cell>
          <cell r="AP1279">
            <v>40</v>
          </cell>
          <cell r="AQ1279">
            <v>0</v>
          </cell>
          <cell r="AS1279">
            <v>40</v>
          </cell>
        </row>
        <row r="1280">
          <cell r="B1280" t="str">
            <v>SPC</v>
          </cell>
          <cell r="C1280" t="str">
            <v>IMP</v>
          </cell>
          <cell r="D1280" t="str">
            <v>BT</v>
          </cell>
          <cell r="E1280" t="str">
            <v>08</v>
          </cell>
          <cell r="F1280">
            <v>39924</v>
          </cell>
          <cell r="G1280">
            <v>39924</v>
          </cell>
          <cell r="H1280" t="str">
            <v>A0D7131</v>
          </cell>
          <cell r="I1280" t="str">
            <v>STKMA0D7131</v>
          </cell>
          <cell r="K1280" t="str">
            <v>TN314K (C353/C353P:26K)</v>
          </cell>
          <cell r="L1280">
            <v>60</v>
          </cell>
          <cell r="M1280">
            <v>22.89</v>
          </cell>
          <cell r="N1280">
            <v>23.805600000000002</v>
          </cell>
          <cell r="O1280">
            <v>0.11173134328358204</v>
          </cell>
          <cell r="P1280">
            <v>26.8</v>
          </cell>
          <cell r="Q1280">
            <v>24.26</v>
          </cell>
          <cell r="R1280">
            <v>27.41</v>
          </cell>
          <cell r="S1280">
            <v>33.5</v>
          </cell>
          <cell r="T1280">
            <v>0.28938507462686563</v>
          </cell>
          <cell r="U1280">
            <v>190.8896</v>
          </cell>
          <cell r="V1280">
            <v>0.16642918210316326</v>
          </cell>
          <cell r="W1280">
            <v>26.8</v>
          </cell>
          <cell r="X1280">
            <v>0.8</v>
          </cell>
          <cell r="Y1280" t="str">
            <v>Act freight</v>
          </cell>
          <cell r="AA1280">
            <v>46</v>
          </cell>
          <cell r="AB1280">
            <v>32</v>
          </cell>
          <cell r="AC1280">
            <v>34</v>
          </cell>
          <cell r="AD1280">
            <v>41</v>
          </cell>
          <cell r="AE1280">
            <v>47.02</v>
          </cell>
          <cell r="AF1280">
            <v>0.43002977456401531</v>
          </cell>
          <cell r="AG1280">
            <v>0.49371331348362396</v>
          </cell>
          <cell r="AH1280">
            <v>51</v>
          </cell>
          <cell r="AI1280">
            <v>54</v>
          </cell>
          <cell r="AJ1280">
            <v>0.50370370370370365</v>
          </cell>
          <cell r="AK1280">
            <v>57</v>
          </cell>
          <cell r="AL1280">
            <v>60</v>
          </cell>
          <cell r="AM1280">
            <v>0.55333333333333334</v>
          </cell>
          <cell r="AN1280">
            <v>60</v>
          </cell>
          <cell r="AO1280">
            <v>60</v>
          </cell>
          <cell r="AP1280">
            <v>60</v>
          </cell>
          <cell r="AQ1280">
            <v>0</v>
          </cell>
          <cell r="AS1280">
            <v>60</v>
          </cell>
        </row>
        <row r="1281">
          <cell r="B1281" t="str">
            <v>SPC</v>
          </cell>
          <cell r="C1281" t="str">
            <v>IMP</v>
          </cell>
          <cell r="D1281" t="str">
            <v>BT</v>
          </cell>
          <cell r="E1281" t="str">
            <v>08</v>
          </cell>
          <cell r="F1281">
            <v>39924</v>
          </cell>
          <cell r="G1281">
            <v>39924</v>
          </cell>
          <cell r="H1281" t="str">
            <v>A0D7132</v>
          </cell>
          <cell r="I1281" t="str">
            <v>STKMA0D7132</v>
          </cell>
          <cell r="K1281" t="str">
            <v>TN213K (C253/C203:24.5K)</v>
          </cell>
          <cell r="L1281">
            <v>65</v>
          </cell>
          <cell r="M1281">
            <v>25.41</v>
          </cell>
          <cell r="N1281">
            <v>26.426400000000001</v>
          </cell>
          <cell r="O1281">
            <v>8.2416666666666652E-2</v>
          </cell>
          <cell r="P1281">
            <v>28.8</v>
          </cell>
          <cell r="Q1281">
            <v>26.93</v>
          </cell>
          <cell r="R1281">
            <v>30.43</v>
          </cell>
          <cell r="S1281">
            <v>36</v>
          </cell>
          <cell r="T1281">
            <v>0.2659333333333333</v>
          </cell>
          <cell r="U1281">
            <v>293.57504</v>
          </cell>
          <cell r="V1281">
            <v>9.6653448467553693E-2</v>
          </cell>
          <cell r="W1281">
            <v>28.8</v>
          </cell>
          <cell r="X1281">
            <v>0.8</v>
          </cell>
          <cell r="Y1281" t="str">
            <v>Act freight</v>
          </cell>
          <cell r="Z1281">
            <v>0</v>
          </cell>
          <cell r="AA1281">
            <v>50</v>
          </cell>
          <cell r="AB1281">
            <v>34</v>
          </cell>
          <cell r="AC1281">
            <v>36</v>
          </cell>
          <cell r="AD1281">
            <v>44</v>
          </cell>
          <cell r="AE1281">
            <v>50.53</v>
          </cell>
          <cell r="AF1281">
            <v>0.43004155946962203</v>
          </cell>
          <cell r="AG1281">
            <v>0.47701563427666732</v>
          </cell>
          <cell r="AH1281">
            <v>55</v>
          </cell>
          <cell r="AI1281">
            <v>58</v>
          </cell>
          <cell r="AJ1281">
            <v>0.50344827586206897</v>
          </cell>
          <cell r="AK1281">
            <v>61.5</v>
          </cell>
          <cell r="AL1281">
            <v>65</v>
          </cell>
          <cell r="AM1281">
            <v>0.55692307692307697</v>
          </cell>
          <cell r="AN1281">
            <v>65</v>
          </cell>
          <cell r="AO1281">
            <v>65</v>
          </cell>
          <cell r="AP1281">
            <v>65</v>
          </cell>
          <cell r="AQ1281">
            <v>0</v>
          </cell>
          <cell r="AS1281">
            <v>65</v>
          </cell>
        </row>
        <row r="1282">
          <cell r="B1282" t="str">
            <v>SPC</v>
          </cell>
          <cell r="C1282" t="str">
            <v>IMP</v>
          </cell>
          <cell r="D1282" t="str">
            <v>BT</v>
          </cell>
          <cell r="E1282" t="str">
            <v>08</v>
          </cell>
          <cell r="F1282">
            <v>39924</v>
          </cell>
          <cell r="G1282">
            <v>39924</v>
          </cell>
          <cell r="H1282" t="str">
            <v>A0D7135</v>
          </cell>
          <cell r="I1282" t="str">
            <v>STKMA0D7135</v>
          </cell>
          <cell r="K1282" t="str">
            <v>TN214K (24K)</v>
          </cell>
          <cell r="L1282">
            <v>65</v>
          </cell>
          <cell r="M1282">
            <v>28.3</v>
          </cell>
          <cell r="N1282">
            <v>29.432000000000002</v>
          </cell>
          <cell r="O1282">
            <v>0</v>
          </cell>
          <cell r="P1282">
            <v>29.432000000000002</v>
          </cell>
          <cell r="Q1282">
            <v>30</v>
          </cell>
          <cell r="R1282">
            <v>33.9</v>
          </cell>
          <cell r="S1282">
            <v>36</v>
          </cell>
          <cell r="T1282">
            <v>0.18244444444444438</v>
          </cell>
          <cell r="U1282">
            <v>2280.7290000000003</v>
          </cell>
          <cell r="V1282">
            <v>0</v>
          </cell>
          <cell r="W1282">
            <v>29.432000000000002</v>
          </cell>
          <cell r="X1282">
            <v>0.81755555555555559</v>
          </cell>
          <cell r="Y1282" t="str">
            <v>Act freight</v>
          </cell>
          <cell r="Z1282">
            <v>0</v>
          </cell>
          <cell r="AA1282">
            <v>51</v>
          </cell>
          <cell r="AB1282">
            <v>35</v>
          </cell>
          <cell r="AC1282">
            <v>37</v>
          </cell>
          <cell r="AD1282">
            <v>45</v>
          </cell>
          <cell r="AE1282">
            <v>51.64</v>
          </cell>
          <cell r="AF1282">
            <v>0.43005422153369477</v>
          </cell>
          <cell r="AG1282">
            <v>0.43005422153369477</v>
          </cell>
          <cell r="AH1282">
            <v>56</v>
          </cell>
          <cell r="AI1282">
            <v>59</v>
          </cell>
          <cell r="AJ1282">
            <v>0.50115254237288132</v>
          </cell>
          <cell r="AK1282">
            <v>62</v>
          </cell>
          <cell r="AL1282">
            <v>65</v>
          </cell>
          <cell r="AM1282">
            <v>0.54720000000000002</v>
          </cell>
          <cell r="AN1282">
            <v>65</v>
          </cell>
          <cell r="AO1282">
            <v>65</v>
          </cell>
          <cell r="AP1282">
            <v>65</v>
          </cell>
          <cell r="AQ1282">
            <v>0</v>
          </cell>
          <cell r="AS1282">
            <v>65</v>
          </cell>
        </row>
        <row r="1283">
          <cell r="B1283" t="str">
            <v>SPC</v>
          </cell>
          <cell r="C1283" t="str">
            <v>IMP</v>
          </cell>
          <cell r="D1283" t="str">
            <v>BT</v>
          </cell>
          <cell r="E1283" t="str">
            <v>08</v>
          </cell>
          <cell r="F1283">
            <v>39924</v>
          </cell>
          <cell r="G1283">
            <v>39924</v>
          </cell>
          <cell r="H1283" t="str">
            <v>A0D7231</v>
          </cell>
          <cell r="I1283" t="str">
            <v>STKMA0D7231YE</v>
          </cell>
          <cell r="K1283" t="str">
            <v>TN314Y (C353/C353P:20K)</v>
          </cell>
          <cell r="L1283">
            <v>125</v>
          </cell>
          <cell r="M1283">
            <v>36.67</v>
          </cell>
          <cell r="N1283">
            <v>38.136800000000001</v>
          </cell>
          <cell r="O1283">
            <v>0.27771212121212124</v>
          </cell>
          <cell r="P1283">
            <v>52.800000000000004</v>
          </cell>
          <cell r="Q1283">
            <v>38.869999999999997</v>
          </cell>
          <cell r="R1283">
            <v>43.92</v>
          </cell>
          <cell r="S1283">
            <v>66</v>
          </cell>
          <cell r="T1283">
            <v>0.42216969696969697</v>
          </cell>
          <cell r="U1283">
            <v>149.03800000000001</v>
          </cell>
          <cell r="V1283">
            <v>0.10848240046162727</v>
          </cell>
          <cell r="W1283">
            <v>52.800000000000004</v>
          </cell>
          <cell r="X1283">
            <v>0.8</v>
          </cell>
          <cell r="Y1283" t="str">
            <v>Act freight</v>
          </cell>
          <cell r="Z1283">
            <v>0</v>
          </cell>
          <cell r="AA1283">
            <v>91</v>
          </cell>
          <cell r="AB1283">
            <v>63</v>
          </cell>
          <cell r="AC1283">
            <v>66</v>
          </cell>
          <cell r="AD1283">
            <v>80</v>
          </cell>
          <cell r="AE1283">
            <v>92.63</v>
          </cell>
          <cell r="AF1283">
            <v>0.42999028392529409</v>
          </cell>
          <cell r="AG1283">
            <v>0.58828889128791961</v>
          </cell>
          <cell r="AH1283">
            <v>101</v>
          </cell>
          <cell r="AI1283">
            <v>109</v>
          </cell>
          <cell r="AJ1283">
            <v>0.51559633027522933</v>
          </cell>
          <cell r="AK1283">
            <v>117</v>
          </cell>
          <cell r="AL1283">
            <v>125</v>
          </cell>
          <cell r="AM1283">
            <v>0.57759999999999989</v>
          </cell>
          <cell r="AN1283">
            <v>125</v>
          </cell>
          <cell r="AO1283">
            <v>125</v>
          </cell>
          <cell r="AP1283">
            <v>125</v>
          </cell>
          <cell r="AQ1283">
            <v>0</v>
          </cell>
          <cell r="AS1283">
            <v>125</v>
          </cell>
        </row>
        <row r="1284">
          <cell r="B1284" t="str">
            <v>SPC</v>
          </cell>
          <cell r="C1284" t="str">
            <v>IMP</v>
          </cell>
          <cell r="D1284" t="str">
            <v>BT</v>
          </cell>
          <cell r="E1284" t="str">
            <v>08</v>
          </cell>
          <cell r="F1284">
            <v>39924</v>
          </cell>
          <cell r="G1284">
            <v>39924</v>
          </cell>
          <cell r="H1284" t="str">
            <v>A0D7232</v>
          </cell>
          <cell r="I1284" t="str">
            <v>STKMA0D7232YE</v>
          </cell>
          <cell r="K1284" t="str">
            <v>TN213Y (C253/C203:19K)</v>
          </cell>
          <cell r="L1284">
            <v>140</v>
          </cell>
          <cell r="M1284">
            <v>36.42</v>
          </cell>
          <cell r="N1284">
            <v>37.876800000000003</v>
          </cell>
          <cell r="O1284">
            <v>0.34241666666666665</v>
          </cell>
          <cell r="P1284">
            <v>57.6</v>
          </cell>
          <cell r="Q1284">
            <v>38.61</v>
          </cell>
          <cell r="R1284">
            <v>43.63</v>
          </cell>
          <cell r="S1284">
            <v>72</v>
          </cell>
          <cell r="T1284">
            <v>0.47393333333333332</v>
          </cell>
          <cell r="U1284">
            <v>0</v>
          </cell>
          <cell r="V1284">
            <v>0</v>
          </cell>
          <cell r="W1284">
            <v>57.6</v>
          </cell>
          <cell r="X1284">
            <v>0.8</v>
          </cell>
          <cell r="Y1284" t="str">
            <v>Act freight</v>
          </cell>
          <cell r="AA1284">
            <v>99</v>
          </cell>
          <cell r="AB1284">
            <v>68</v>
          </cell>
          <cell r="AC1284">
            <v>72</v>
          </cell>
          <cell r="AD1284">
            <v>87</v>
          </cell>
          <cell r="AE1284">
            <v>101.05</v>
          </cell>
          <cell r="AF1284">
            <v>0.42998515586343389</v>
          </cell>
          <cell r="AG1284">
            <v>0.62516773874319642</v>
          </cell>
          <cell r="AH1284">
            <v>112</v>
          </cell>
          <cell r="AI1284">
            <v>121</v>
          </cell>
          <cell r="AJ1284">
            <v>0.52396694214876027</v>
          </cell>
          <cell r="AK1284">
            <v>130.5</v>
          </cell>
          <cell r="AL1284">
            <v>140</v>
          </cell>
          <cell r="AM1284">
            <v>0.58857142857142863</v>
          </cell>
          <cell r="AN1284">
            <v>140</v>
          </cell>
          <cell r="AO1284">
            <v>140</v>
          </cell>
          <cell r="AP1284">
            <v>140</v>
          </cell>
          <cell r="AQ1284">
            <v>0</v>
          </cell>
          <cell r="AS1284">
            <v>140</v>
          </cell>
        </row>
        <row r="1285">
          <cell r="B1285" t="str">
            <v>SPC</v>
          </cell>
          <cell r="C1285" t="str">
            <v>IMP</v>
          </cell>
          <cell r="D1285" t="str">
            <v>BT</v>
          </cell>
          <cell r="E1285" t="str">
            <v>08</v>
          </cell>
          <cell r="F1285">
            <v>39924</v>
          </cell>
          <cell r="G1285">
            <v>39924</v>
          </cell>
          <cell r="H1285" t="str">
            <v>A0D7235</v>
          </cell>
          <cell r="I1285" t="str">
            <v>STKMA0D7235YE</v>
          </cell>
          <cell r="K1285" t="str">
            <v>TN214Y (18.5K)</v>
          </cell>
          <cell r="L1285">
            <v>140</v>
          </cell>
          <cell r="M1285">
            <v>41</v>
          </cell>
          <cell r="N1285">
            <v>42.64</v>
          </cell>
          <cell r="O1285">
            <v>0.25972222222222224</v>
          </cell>
          <cell r="P1285">
            <v>57.6</v>
          </cell>
          <cell r="Q1285">
            <v>43.46</v>
          </cell>
          <cell r="R1285">
            <v>49.11</v>
          </cell>
          <cell r="S1285">
            <v>72</v>
          </cell>
          <cell r="T1285">
            <v>0.40777777777777779</v>
          </cell>
          <cell r="W1285">
            <v>57.6</v>
          </cell>
          <cell r="X1285">
            <v>0.8</v>
          </cell>
          <cell r="Y1285" t="str">
            <v>Act freight</v>
          </cell>
          <cell r="AA1285">
            <v>99</v>
          </cell>
          <cell r="AB1285">
            <v>68</v>
          </cell>
          <cell r="AC1285">
            <v>72</v>
          </cell>
          <cell r="AD1285">
            <v>87</v>
          </cell>
          <cell r="AE1285">
            <v>101.05</v>
          </cell>
          <cell r="AF1285">
            <v>0.42998515586343389</v>
          </cell>
          <cell r="AG1285">
            <v>0.5780306778822365</v>
          </cell>
          <cell r="AH1285">
            <v>112</v>
          </cell>
          <cell r="AI1285">
            <v>121</v>
          </cell>
          <cell r="AJ1285">
            <v>0.52396694214876027</v>
          </cell>
          <cell r="AK1285">
            <v>130.5</v>
          </cell>
          <cell r="AL1285">
            <v>140</v>
          </cell>
          <cell r="AM1285">
            <v>0.58857142857142863</v>
          </cell>
          <cell r="AN1285">
            <v>140</v>
          </cell>
          <cell r="AO1285">
            <v>140</v>
          </cell>
          <cell r="AP1285">
            <v>140</v>
          </cell>
          <cell r="AQ1285">
            <v>0</v>
          </cell>
          <cell r="AS1285">
            <v>140</v>
          </cell>
        </row>
        <row r="1286">
          <cell r="B1286" t="str">
            <v>SPC</v>
          </cell>
          <cell r="C1286" t="str">
            <v>IMP</v>
          </cell>
          <cell r="D1286" t="str">
            <v>BT</v>
          </cell>
          <cell r="E1286" t="str">
            <v>08</v>
          </cell>
          <cell r="F1286">
            <v>39924</v>
          </cell>
          <cell r="G1286">
            <v>39924</v>
          </cell>
          <cell r="H1286" t="str">
            <v>A0D7331</v>
          </cell>
          <cell r="I1286" t="str">
            <v>STKMA0D7331MA</v>
          </cell>
          <cell r="K1286" t="str">
            <v>TN314M (C353.C353P:20K)</v>
          </cell>
          <cell r="L1286">
            <v>125</v>
          </cell>
          <cell r="M1286">
            <v>36.67</v>
          </cell>
          <cell r="N1286">
            <v>38.136800000000001</v>
          </cell>
          <cell r="O1286">
            <v>0.27771212121212124</v>
          </cell>
          <cell r="P1286">
            <v>52.800000000000004</v>
          </cell>
          <cell r="Q1286">
            <v>38.869999999999997</v>
          </cell>
          <cell r="R1286">
            <v>43.92</v>
          </cell>
          <cell r="S1286">
            <v>66</v>
          </cell>
          <cell r="T1286">
            <v>0.42216969696969697</v>
          </cell>
          <cell r="W1286">
            <v>52.800000000000004</v>
          </cell>
          <cell r="X1286">
            <v>0.8</v>
          </cell>
          <cell r="Y1286" t="str">
            <v>Act freight</v>
          </cell>
          <cell r="AA1286">
            <v>91</v>
          </cell>
          <cell r="AB1286">
            <v>63</v>
          </cell>
          <cell r="AC1286">
            <v>66</v>
          </cell>
          <cell r="AD1286">
            <v>80</v>
          </cell>
          <cell r="AE1286">
            <v>92.63</v>
          </cell>
          <cell r="AF1286">
            <v>0.42999028392529409</v>
          </cell>
          <cell r="AG1286">
            <v>0.58828889128791961</v>
          </cell>
          <cell r="AH1286">
            <v>101</v>
          </cell>
          <cell r="AI1286">
            <v>109</v>
          </cell>
          <cell r="AJ1286">
            <v>0.51559633027522933</v>
          </cell>
          <cell r="AK1286">
            <v>117</v>
          </cell>
          <cell r="AL1286">
            <v>125</v>
          </cell>
          <cell r="AM1286">
            <v>0.57759999999999989</v>
          </cell>
          <cell r="AN1286">
            <v>125</v>
          </cell>
          <cell r="AO1286">
            <v>125</v>
          </cell>
          <cell r="AP1286">
            <v>125</v>
          </cell>
          <cell r="AQ1286">
            <v>0</v>
          </cell>
          <cell r="AS1286">
            <v>125</v>
          </cell>
        </row>
        <row r="1287">
          <cell r="B1287" t="str">
            <v>SPC</v>
          </cell>
          <cell r="C1287" t="str">
            <v>IMP</v>
          </cell>
          <cell r="D1287" t="str">
            <v>BT</v>
          </cell>
          <cell r="E1287" t="str">
            <v>08</v>
          </cell>
          <cell r="F1287">
            <v>39924</v>
          </cell>
          <cell r="G1287">
            <v>39924</v>
          </cell>
          <cell r="H1287" t="str">
            <v>A0D7332</v>
          </cell>
          <cell r="I1287" t="str">
            <v>STKMA0D7332MA</v>
          </cell>
          <cell r="K1287" t="str">
            <v>TN213M (C253/C203:19K)</v>
          </cell>
          <cell r="L1287">
            <v>140</v>
          </cell>
          <cell r="M1287">
            <v>36.42</v>
          </cell>
          <cell r="N1287">
            <v>37.876800000000003</v>
          </cell>
          <cell r="O1287">
            <v>0.34241666666666665</v>
          </cell>
          <cell r="P1287">
            <v>57.6</v>
          </cell>
          <cell r="Q1287">
            <v>38.61</v>
          </cell>
          <cell r="R1287">
            <v>43.63</v>
          </cell>
          <cell r="S1287">
            <v>72</v>
          </cell>
          <cell r="T1287">
            <v>0.47393333333333332</v>
          </cell>
          <cell r="U1287">
            <v>111.28</v>
          </cell>
          <cell r="V1287">
            <v>0</v>
          </cell>
          <cell r="W1287">
            <v>57.6</v>
          </cell>
          <cell r="X1287">
            <v>0.8</v>
          </cell>
          <cell r="Y1287" t="str">
            <v>Act freight</v>
          </cell>
          <cell r="AA1287">
            <v>99</v>
          </cell>
          <cell r="AB1287">
            <v>68</v>
          </cell>
          <cell r="AC1287">
            <v>72</v>
          </cell>
          <cell r="AD1287">
            <v>87</v>
          </cell>
          <cell r="AE1287">
            <v>101.05</v>
          </cell>
          <cell r="AF1287">
            <v>0.42998515586343389</v>
          </cell>
          <cell r="AG1287">
            <v>0.62516773874319642</v>
          </cell>
          <cell r="AH1287">
            <v>112</v>
          </cell>
          <cell r="AI1287">
            <v>121</v>
          </cell>
          <cell r="AJ1287">
            <v>0.52396694214876027</v>
          </cell>
          <cell r="AK1287">
            <v>130.5</v>
          </cell>
          <cell r="AL1287">
            <v>140</v>
          </cell>
          <cell r="AM1287">
            <v>0.58857142857142863</v>
          </cell>
          <cell r="AN1287">
            <v>140</v>
          </cell>
          <cell r="AO1287">
            <v>140</v>
          </cell>
          <cell r="AP1287">
            <v>140</v>
          </cell>
          <cell r="AQ1287">
            <v>0</v>
          </cell>
          <cell r="AS1287">
            <v>140</v>
          </cell>
        </row>
        <row r="1288">
          <cell r="B1288" t="str">
            <v>SPC</v>
          </cell>
          <cell r="C1288" t="str">
            <v>IMP</v>
          </cell>
          <cell r="D1288" t="str">
            <v>BT</v>
          </cell>
          <cell r="E1288" t="str">
            <v>08</v>
          </cell>
          <cell r="F1288">
            <v>39924</v>
          </cell>
          <cell r="G1288">
            <v>39924</v>
          </cell>
          <cell r="H1288" t="str">
            <v>A0D7335</v>
          </cell>
          <cell r="I1288" t="str">
            <v>STKMA0D7335MA</v>
          </cell>
          <cell r="K1288" t="str">
            <v>TN214M (18.5K)</v>
          </cell>
          <cell r="L1288">
            <v>140</v>
          </cell>
          <cell r="M1288">
            <v>41</v>
          </cell>
          <cell r="N1288">
            <v>42.64</v>
          </cell>
          <cell r="O1288">
            <v>0.25972222222222224</v>
          </cell>
          <cell r="P1288">
            <v>57.6</v>
          </cell>
          <cell r="Q1288">
            <v>43.46</v>
          </cell>
          <cell r="R1288">
            <v>49.11</v>
          </cell>
          <cell r="S1288">
            <v>72</v>
          </cell>
          <cell r="T1288">
            <v>0.40777777777777779</v>
          </cell>
          <cell r="U1288">
            <v>95.68</v>
          </cell>
          <cell r="V1288">
            <v>0</v>
          </cell>
          <cell r="W1288">
            <v>57.6</v>
          </cell>
          <cell r="X1288">
            <v>0.8</v>
          </cell>
          <cell r="Y1288" t="str">
            <v>Act freight</v>
          </cell>
          <cell r="AA1288">
            <v>99</v>
          </cell>
          <cell r="AB1288">
            <v>68</v>
          </cell>
          <cell r="AC1288">
            <v>72</v>
          </cell>
          <cell r="AD1288">
            <v>87</v>
          </cell>
          <cell r="AE1288">
            <v>101.05</v>
          </cell>
          <cell r="AF1288">
            <v>0.42998515586343389</v>
          </cell>
          <cell r="AG1288">
            <v>0.5780306778822365</v>
          </cell>
          <cell r="AH1288">
            <v>112</v>
          </cell>
          <cell r="AI1288">
            <v>121</v>
          </cell>
          <cell r="AJ1288">
            <v>0.52396694214876027</v>
          </cell>
          <cell r="AK1288">
            <v>130.5</v>
          </cell>
          <cell r="AL1288">
            <v>140</v>
          </cell>
          <cell r="AM1288">
            <v>0.58857142857142863</v>
          </cell>
          <cell r="AN1288">
            <v>140</v>
          </cell>
          <cell r="AO1288">
            <v>140</v>
          </cell>
          <cell r="AP1288">
            <v>140</v>
          </cell>
          <cell r="AQ1288">
            <v>0</v>
          </cell>
          <cell r="AS1288">
            <v>140</v>
          </cell>
        </row>
        <row r="1289">
          <cell r="B1289" t="str">
            <v>SPC</v>
          </cell>
          <cell r="C1289" t="str">
            <v>IMP</v>
          </cell>
          <cell r="D1289" t="str">
            <v>BT</v>
          </cell>
          <cell r="E1289" t="str">
            <v>08</v>
          </cell>
          <cell r="F1289">
            <v>39924</v>
          </cell>
          <cell r="G1289">
            <v>39924</v>
          </cell>
          <cell r="H1289" t="str">
            <v>A0D7431</v>
          </cell>
          <cell r="I1289" t="str">
            <v>STKMA0D7431CY</v>
          </cell>
          <cell r="K1289" t="str">
            <v>TN314C (C353/C353P:20K)</v>
          </cell>
          <cell r="L1289">
            <v>125</v>
          </cell>
          <cell r="M1289">
            <v>36.67</v>
          </cell>
          <cell r="N1289">
            <v>38.136800000000001</v>
          </cell>
          <cell r="O1289">
            <v>0.27771212121212124</v>
          </cell>
          <cell r="P1289">
            <v>52.800000000000004</v>
          </cell>
          <cell r="Q1289">
            <v>38.869999999999997</v>
          </cell>
          <cell r="R1289">
            <v>43.92</v>
          </cell>
          <cell r="S1289">
            <v>66</v>
          </cell>
          <cell r="T1289">
            <v>0.42216969696969697</v>
          </cell>
          <cell r="W1289">
            <v>52.800000000000004</v>
          </cell>
          <cell r="X1289">
            <v>0.8</v>
          </cell>
          <cell r="Y1289" t="str">
            <v>Act freight</v>
          </cell>
          <cell r="AA1289">
            <v>91</v>
          </cell>
          <cell r="AB1289">
            <v>63</v>
          </cell>
          <cell r="AC1289">
            <v>66</v>
          </cell>
          <cell r="AD1289">
            <v>80</v>
          </cell>
          <cell r="AE1289">
            <v>92.63</v>
          </cell>
          <cell r="AF1289">
            <v>0.42999028392529409</v>
          </cell>
          <cell r="AG1289">
            <v>0.58828889128791961</v>
          </cell>
          <cell r="AH1289">
            <v>101</v>
          </cell>
          <cell r="AI1289">
            <v>109</v>
          </cell>
          <cell r="AJ1289">
            <v>0.51559633027522933</v>
          </cell>
          <cell r="AK1289">
            <v>117</v>
          </cell>
          <cell r="AL1289">
            <v>125</v>
          </cell>
          <cell r="AM1289">
            <v>0.57759999999999989</v>
          </cell>
          <cell r="AN1289">
            <v>125</v>
          </cell>
          <cell r="AO1289">
            <v>125</v>
          </cell>
          <cell r="AP1289">
            <v>125</v>
          </cell>
          <cell r="AQ1289">
            <v>0</v>
          </cell>
          <cell r="AS1289">
            <v>125</v>
          </cell>
        </row>
        <row r="1290">
          <cell r="B1290" t="str">
            <v>SPC</v>
          </cell>
          <cell r="C1290" t="str">
            <v>IMP</v>
          </cell>
          <cell r="D1290" t="str">
            <v>BT</v>
          </cell>
          <cell r="E1290" t="str">
            <v>08</v>
          </cell>
          <cell r="F1290">
            <v>39924</v>
          </cell>
          <cell r="G1290">
            <v>39924</v>
          </cell>
          <cell r="H1290" t="str">
            <v>A0D7432</v>
          </cell>
          <cell r="I1290" t="str">
            <v>STKMA0D7432CY</v>
          </cell>
          <cell r="K1290" t="str">
            <v>TN213C (C253/C203:19K)</v>
          </cell>
          <cell r="L1290">
            <v>140</v>
          </cell>
          <cell r="M1290">
            <v>36.42</v>
          </cell>
          <cell r="N1290">
            <v>37.876800000000003</v>
          </cell>
          <cell r="O1290">
            <v>0.34241666666666665</v>
          </cell>
          <cell r="P1290">
            <v>57.6</v>
          </cell>
          <cell r="Q1290">
            <v>38.61</v>
          </cell>
          <cell r="R1290">
            <v>43.63</v>
          </cell>
          <cell r="S1290">
            <v>72</v>
          </cell>
          <cell r="T1290">
            <v>0.47393333333333332</v>
          </cell>
          <cell r="W1290">
            <v>57.6</v>
          </cell>
          <cell r="X1290">
            <v>0.8</v>
          </cell>
          <cell r="Y1290" t="str">
            <v>Act freight</v>
          </cell>
          <cell r="AA1290">
            <v>99</v>
          </cell>
          <cell r="AB1290">
            <v>68</v>
          </cell>
          <cell r="AC1290">
            <v>72</v>
          </cell>
          <cell r="AD1290">
            <v>87</v>
          </cell>
          <cell r="AE1290">
            <v>101.05</v>
          </cell>
          <cell r="AF1290">
            <v>0.42998515586343389</v>
          </cell>
          <cell r="AG1290">
            <v>0.62516773874319642</v>
          </cell>
          <cell r="AH1290">
            <v>112</v>
          </cell>
          <cell r="AI1290">
            <v>121</v>
          </cell>
          <cell r="AJ1290">
            <v>0.52396694214876027</v>
          </cell>
          <cell r="AK1290">
            <v>130.5</v>
          </cell>
          <cell r="AL1290">
            <v>140</v>
          </cell>
          <cell r="AM1290">
            <v>0.58857142857142863</v>
          </cell>
          <cell r="AN1290">
            <v>140</v>
          </cell>
          <cell r="AO1290">
            <v>140</v>
          </cell>
          <cell r="AP1290">
            <v>140</v>
          </cell>
          <cell r="AQ1290">
            <v>0</v>
          </cell>
          <cell r="AS1290">
            <v>140</v>
          </cell>
        </row>
        <row r="1291">
          <cell r="B1291" t="str">
            <v>SPC</v>
          </cell>
          <cell r="C1291" t="str">
            <v>IMP</v>
          </cell>
          <cell r="D1291" t="str">
            <v>BT</v>
          </cell>
          <cell r="E1291" t="str">
            <v>08</v>
          </cell>
          <cell r="F1291">
            <v>39924</v>
          </cell>
          <cell r="G1291">
            <v>39924</v>
          </cell>
          <cell r="H1291" t="str">
            <v>A0D7435</v>
          </cell>
          <cell r="I1291" t="str">
            <v>STKMA0D7435CY</v>
          </cell>
          <cell r="K1291" t="str">
            <v>TN214C (18.5K)</v>
          </cell>
          <cell r="L1291">
            <v>140</v>
          </cell>
          <cell r="M1291">
            <v>41</v>
          </cell>
          <cell r="N1291">
            <v>42.64</v>
          </cell>
          <cell r="O1291">
            <v>0.25972222222222224</v>
          </cell>
          <cell r="P1291">
            <v>57.6</v>
          </cell>
          <cell r="Q1291">
            <v>43.46</v>
          </cell>
          <cell r="R1291">
            <v>49.11</v>
          </cell>
          <cell r="S1291">
            <v>72</v>
          </cell>
          <cell r="T1291">
            <v>0.40777777777777779</v>
          </cell>
          <cell r="W1291">
            <v>57.6</v>
          </cell>
          <cell r="X1291">
            <v>0.8</v>
          </cell>
          <cell r="Y1291" t="str">
            <v>Act freight</v>
          </cell>
          <cell r="AA1291">
            <v>99</v>
          </cell>
          <cell r="AB1291">
            <v>68</v>
          </cell>
          <cell r="AC1291">
            <v>72</v>
          </cell>
          <cell r="AD1291">
            <v>87</v>
          </cell>
          <cell r="AE1291">
            <v>101.05</v>
          </cell>
          <cell r="AF1291">
            <v>0.42998515586343389</v>
          </cell>
          <cell r="AG1291">
            <v>0.5780306778822365</v>
          </cell>
          <cell r="AH1291">
            <v>112</v>
          </cell>
          <cell r="AI1291">
            <v>121</v>
          </cell>
          <cell r="AJ1291">
            <v>0.52396694214876027</v>
          </cell>
          <cell r="AK1291">
            <v>130.5</v>
          </cell>
          <cell r="AL1291">
            <v>140</v>
          </cell>
          <cell r="AM1291">
            <v>0.58857142857142863</v>
          </cell>
          <cell r="AN1291">
            <v>140</v>
          </cell>
          <cell r="AO1291">
            <v>140</v>
          </cell>
          <cell r="AP1291">
            <v>140</v>
          </cell>
          <cell r="AQ1291">
            <v>0</v>
          </cell>
          <cell r="AS1291">
            <v>140</v>
          </cell>
        </row>
        <row r="1292">
          <cell r="B1292" t="str">
            <v>SPC</v>
          </cell>
          <cell r="C1292" t="str">
            <v>IMP</v>
          </cell>
          <cell r="D1292" t="str">
            <v>BT</v>
          </cell>
          <cell r="E1292" t="str">
            <v>08</v>
          </cell>
          <cell r="F1292">
            <v>39924</v>
          </cell>
          <cell r="G1292">
            <v>39924</v>
          </cell>
          <cell r="H1292" t="str">
            <v>A0TM130</v>
          </cell>
          <cell r="I1292" t="str">
            <v>STKMA0TM130</v>
          </cell>
          <cell r="K1292" t="str">
            <v>TN-613K Toner Black (Yield: 45K)</v>
          </cell>
          <cell r="L1292">
            <v>80</v>
          </cell>
          <cell r="M1292">
            <v>23</v>
          </cell>
          <cell r="N1292">
            <v>23.92</v>
          </cell>
          <cell r="O1292">
            <v>0.14571428571428566</v>
          </cell>
          <cell r="P1292">
            <v>28</v>
          </cell>
          <cell r="Q1292">
            <v>24.38</v>
          </cell>
          <cell r="R1292">
            <v>27.55</v>
          </cell>
          <cell r="S1292">
            <v>35</v>
          </cell>
          <cell r="T1292">
            <v>0.3165714285714285</v>
          </cell>
          <cell r="W1292">
            <v>28</v>
          </cell>
          <cell r="X1292">
            <v>0.8</v>
          </cell>
          <cell r="Y1292" t="str">
            <v>Act freight</v>
          </cell>
          <cell r="AA1292">
            <v>48</v>
          </cell>
          <cell r="AB1292">
            <v>33</v>
          </cell>
          <cell r="AC1292">
            <v>35</v>
          </cell>
          <cell r="AD1292">
            <v>43</v>
          </cell>
          <cell r="AE1292">
            <v>49.12</v>
          </cell>
          <cell r="AF1292">
            <v>0.42996742671009769</v>
          </cell>
          <cell r="AG1292">
            <v>0.51302931596091195</v>
          </cell>
          <cell r="AH1292">
            <v>58</v>
          </cell>
          <cell r="AI1292">
            <v>65</v>
          </cell>
          <cell r="AJ1292">
            <v>0.56923076923076921</v>
          </cell>
          <cell r="AK1292">
            <v>72.5</v>
          </cell>
          <cell r="AL1292">
            <v>80</v>
          </cell>
          <cell r="AM1292">
            <v>0.65</v>
          </cell>
          <cell r="AN1292">
            <v>80</v>
          </cell>
          <cell r="AO1292">
            <v>80</v>
          </cell>
          <cell r="AP1292">
            <v>80</v>
          </cell>
          <cell r="AQ1292">
            <v>0</v>
          </cell>
          <cell r="AS1292">
            <v>80</v>
          </cell>
        </row>
        <row r="1293">
          <cell r="B1293" t="str">
            <v>SPC</v>
          </cell>
          <cell r="C1293" t="str">
            <v>IMP</v>
          </cell>
          <cell r="D1293" t="str">
            <v>BT</v>
          </cell>
          <cell r="E1293" t="str">
            <v>08</v>
          </cell>
          <cell r="F1293">
            <v>39924</v>
          </cell>
          <cell r="G1293">
            <v>39924</v>
          </cell>
          <cell r="H1293" t="str">
            <v>A0TM230</v>
          </cell>
          <cell r="I1293" t="str">
            <v>STKMA0TM230YE</v>
          </cell>
          <cell r="K1293" t="str">
            <v>TN-613Y Toner Yellow (Yield: 30K)</v>
          </cell>
          <cell r="L1293">
            <v>162</v>
          </cell>
          <cell r="M1293">
            <v>50</v>
          </cell>
          <cell r="N1293">
            <v>52</v>
          </cell>
          <cell r="O1293">
            <v>0.29516373888527431</v>
          </cell>
          <cell r="P1293">
            <v>73.775999999999996</v>
          </cell>
          <cell r="Q1293">
            <v>53</v>
          </cell>
          <cell r="R1293">
            <v>59.89</v>
          </cell>
          <cell r="S1293">
            <v>92.22</v>
          </cell>
          <cell r="T1293">
            <v>0.43613099110821946</v>
          </cell>
          <cell r="W1293">
            <v>73.775999999999996</v>
          </cell>
          <cell r="X1293">
            <v>0.79999999999999993</v>
          </cell>
          <cell r="Y1293" t="str">
            <v>Act freight</v>
          </cell>
          <cell r="AA1293">
            <v>127</v>
          </cell>
          <cell r="AB1293">
            <v>87</v>
          </cell>
          <cell r="AC1293">
            <v>93</v>
          </cell>
          <cell r="AD1293">
            <v>112</v>
          </cell>
          <cell r="AE1293">
            <v>129.43</v>
          </cell>
          <cell r="AF1293">
            <v>0.42999304643436614</v>
          </cell>
          <cell r="AG1293">
            <v>0.59823843003940358</v>
          </cell>
          <cell r="AH1293">
            <v>138</v>
          </cell>
          <cell r="AI1293">
            <v>146</v>
          </cell>
          <cell r="AJ1293">
            <v>0.49468493150684933</v>
          </cell>
          <cell r="AK1293">
            <v>154</v>
          </cell>
          <cell r="AL1293">
            <v>162</v>
          </cell>
          <cell r="AM1293">
            <v>0.54459259259259263</v>
          </cell>
          <cell r="AN1293">
            <v>162</v>
          </cell>
          <cell r="AO1293">
            <v>162</v>
          </cell>
          <cell r="AP1293">
            <v>162</v>
          </cell>
          <cell r="AQ1293">
            <v>0</v>
          </cell>
          <cell r="AS1293">
            <v>162</v>
          </cell>
        </row>
        <row r="1294">
          <cell r="B1294" t="str">
            <v>SPC</v>
          </cell>
          <cell r="C1294" t="str">
            <v>IMP</v>
          </cell>
          <cell r="D1294" t="str">
            <v>BT</v>
          </cell>
          <cell r="E1294" t="str">
            <v>08</v>
          </cell>
          <cell r="F1294">
            <v>39924</v>
          </cell>
          <cell r="G1294">
            <v>39924</v>
          </cell>
          <cell r="H1294" t="str">
            <v>A0TM330</v>
          </cell>
          <cell r="I1294" t="str">
            <v>STKMA0TM330MA</v>
          </cell>
          <cell r="K1294" t="str">
            <v>TN-613M Toner Magenta (Yield: 30K)</v>
          </cell>
          <cell r="L1294">
            <v>162</v>
          </cell>
          <cell r="M1294">
            <v>50</v>
          </cell>
          <cell r="N1294">
            <v>52</v>
          </cell>
          <cell r="O1294">
            <v>0.29516373888527431</v>
          </cell>
          <cell r="P1294">
            <v>73.775999999999996</v>
          </cell>
          <cell r="Q1294">
            <v>53</v>
          </cell>
          <cell r="R1294">
            <v>59.89</v>
          </cell>
          <cell r="S1294">
            <v>92.22</v>
          </cell>
          <cell r="T1294">
            <v>0.43613099110821946</v>
          </cell>
          <cell r="W1294">
            <v>73.775999999999996</v>
          </cell>
          <cell r="X1294">
            <v>0.79999999999999993</v>
          </cell>
          <cell r="Y1294" t="str">
            <v>Act freight</v>
          </cell>
          <cell r="AA1294">
            <v>127</v>
          </cell>
          <cell r="AB1294">
            <v>87</v>
          </cell>
          <cell r="AC1294">
            <v>93</v>
          </cell>
          <cell r="AD1294">
            <v>112</v>
          </cell>
          <cell r="AE1294">
            <v>129.43</v>
          </cell>
          <cell r="AF1294">
            <v>0.42999304643436614</v>
          </cell>
          <cell r="AG1294">
            <v>0.59823843003940358</v>
          </cell>
          <cell r="AH1294">
            <v>138</v>
          </cell>
          <cell r="AI1294">
            <v>146</v>
          </cell>
          <cell r="AJ1294">
            <v>0.49468493150684933</v>
          </cell>
          <cell r="AK1294">
            <v>154</v>
          </cell>
          <cell r="AL1294">
            <v>162</v>
          </cell>
          <cell r="AM1294">
            <v>0.54459259259259263</v>
          </cell>
          <cell r="AN1294">
            <v>162</v>
          </cell>
          <cell r="AO1294">
            <v>162</v>
          </cell>
          <cell r="AP1294">
            <v>162</v>
          </cell>
          <cell r="AQ1294">
            <v>0</v>
          </cell>
          <cell r="AS1294">
            <v>162</v>
          </cell>
        </row>
        <row r="1295">
          <cell r="B1295" t="str">
            <v>SPC</v>
          </cell>
          <cell r="C1295" t="str">
            <v>IMP</v>
          </cell>
          <cell r="D1295" t="str">
            <v>BT</v>
          </cell>
          <cell r="E1295" t="str">
            <v>08</v>
          </cell>
          <cell r="F1295">
            <v>39924</v>
          </cell>
          <cell r="G1295">
            <v>39924</v>
          </cell>
          <cell r="H1295" t="str">
            <v>A0TM430</v>
          </cell>
          <cell r="I1295" t="str">
            <v>STKMA0TM430CY</v>
          </cell>
          <cell r="K1295" t="str">
            <v>TN-613C Toner Cyan (Yield: 30K)</v>
          </cell>
          <cell r="L1295">
            <v>162</v>
          </cell>
          <cell r="M1295">
            <v>50</v>
          </cell>
          <cell r="N1295">
            <v>52</v>
          </cell>
          <cell r="O1295">
            <v>0.29516373888527431</v>
          </cell>
          <cell r="P1295">
            <v>73.775999999999996</v>
          </cell>
          <cell r="Q1295">
            <v>53</v>
          </cell>
          <cell r="R1295">
            <v>59.89</v>
          </cell>
          <cell r="S1295">
            <v>92.22</v>
          </cell>
          <cell r="T1295">
            <v>0.43613099110821946</v>
          </cell>
          <cell r="W1295">
            <v>73.775999999999996</v>
          </cell>
          <cell r="X1295">
            <v>0.79999999999999993</v>
          </cell>
          <cell r="Y1295" t="str">
            <v>Act freight</v>
          </cell>
          <cell r="AA1295">
            <v>127</v>
          </cell>
          <cell r="AB1295">
            <v>87</v>
          </cell>
          <cell r="AC1295">
            <v>93</v>
          </cell>
          <cell r="AD1295">
            <v>112</v>
          </cell>
          <cell r="AE1295">
            <v>129.43</v>
          </cell>
          <cell r="AF1295">
            <v>0.42999304643436614</v>
          </cell>
          <cell r="AG1295">
            <v>0.59823843003940358</v>
          </cell>
          <cell r="AH1295">
            <v>138</v>
          </cell>
          <cell r="AI1295">
            <v>146</v>
          </cell>
          <cell r="AJ1295">
            <v>0.49468493150684933</v>
          </cell>
          <cell r="AK1295">
            <v>154</v>
          </cell>
          <cell r="AL1295">
            <v>162</v>
          </cell>
          <cell r="AM1295">
            <v>0.54459259259259263</v>
          </cell>
          <cell r="AN1295">
            <v>162</v>
          </cell>
          <cell r="AO1295">
            <v>162</v>
          </cell>
          <cell r="AP1295">
            <v>162</v>
          </cell>
          <cell r="AQ1295">
            <v>0</v>
          </cell>
          <cell r="AS1295">
            <v>162</v>
          </cell>
        </row>
        <row r="1296">
          <cell r="B1296" t="str">
            <v>SPC</v>
          </cell>
          <cell r="C1296" t="str">
            <v>IMP</v>
          </cell>
          <cell r="D1296" t="str">
            <v>BT</v>
          </cell>
          <cell r="E1296" t="str">
            <v>08</v>
          </cell>
          <cell r="F1296">
            <v>39924</v>
          </cell>
          <cell r="G1296">
            <v>39924</v>
          </cell>
          <cell r="H1296" t="str">
            <v>A0VW134</v>
          </cell>
          <cell r="I1296" t="str">
            <v>STKMA0VW134_</v>
          </cell>
          <cell r="K1296" t="str">
            <v>TN-614K Toner BK  (C65hc:38.5K)</v>
          </cell>
          <cell r="L1296">
            <v>70</v>
          </cell>
          <cell r="M1296">
            <v>16.600000000000001</v>
          </cell>
          <cell r="N1296">
            <v>17.264000000000003</v>
          </cell>
          <cell r="O1296">
            <v>0.26095890410958889</v>
          </cell>
          <cell r="P1296">
            <v>23.36</v>
          </cell>
          <cell r="Q1296">
            <v>17.600000000000001</v>
          </cell>
          <cell r="R1296">
            <v>19.89</v>
          </cell>
          <cell r="S1296">
            <v>29.2</v>
          </cell>
          <cell r="T1296">
            <v>0.40876712328767112</v>
          </cell>
          <cell r="W1296">
            <v>23.36</v>
          </cell>
          <cell r="X1296">
            <v>0.8</v>
          </cell>
          <cell r="Y1296" t="str">
            <v>Act freight</v>
          </cell>
          <cell r="AA1296">
            <v>40</v>
          </cell>
          <cell r="AB1296">
            <v>28</v>
          </cell>
          <cell r="AC1296">
            <v>30</v>
          </cell>
          <cell r="AD1296">
            <v>36</v>
          </cell>
          <cell r="AE1296">
            <v>40.98</v>
          </cell>
          <cell r="AF1296">
            <v>0.42996583699365543</v>
          </cell>
          <cell r="AG1296">
            <v>0.57872132747681782</v>
          </cell>
          <cell r="AH1296">
            <v>49</v>
          </cell>
          <cell r="AI1296">
            <v>56</v>
          </cell>
          <cell r="AJ1296">
            <v>0.58285714285714285</v>
          </cell>
          <cell r="AK1296">
            <v>63</v>
          </cell>
          <cell r="AL1296">
            <v>70</v>
          </cell>
          <cell r="AM1296">
            <v>0.66628571428571426</v>
          </cell>
          <cell r="AN1296">
            <v>70</v>
          </cell>
          <cell r="AO1296">
            <v>70</v>
          </cell>
          <cell r="AP1296">
            <v>70</v>
          </cell>
          <cell r="AQ1296">
            <v>0</v>
          </cell>
          <cell r="AS1296">
            <v>70</v>
          </cell>
        </row>
        <row r="1297">
          <cell r="B1297" t="str">
            <v>SPC</v>
          </cell>
          <cell r="C1297" t="str">
            <v>IMP</v>
          </cell>
          <cell r="D1297" t="str">
            <v>BT</v>
          </cell>
          <cell r="E1297" t="str">
            <v>08</v>
          </cell>
          <cell r="F1297">
            <v>39924</v>
          </cell>
          <cell r="G1297">
            <v>39924</v>
          </cell>
          <cell r="H1297" t="str">
            <v>A0VW234</v>
          </cell>
          <cell r="I1297" t="str">
            <v>STKMA0VW234YE_</v>
          </cell>
          <cell r="K1297" t="str">
            <v>TN-614Y Toner Y (C65hc:26K)</v>
          </cell>
          <cell r="L1297">
            <v>136</v>
          </cell>
          <cell r="M1297">
            <v>24.31</v>
          </cell>
          <cell r="N1297">
            <v>25.282399999999999</v>
          </cell>
          <cell r="O1297">
            <v>0.38033333333333341</v>
          </cell>
          <cell r="P1297">
            <v>40.800000000000004</v>
          </cell>
          <cell r="Q1297">
            <v>25.77</v>
          </cell>
          <cell r="R1297">
            <v>29.12</v>
          </cell>
          <cell r="S1297">
            <v>51</v>
          </cell>
          <cell r="T1297">
            <v>0.50426666666666664</v>
          </cell>
          <cell r="W1297">
            <v>40.800000000000004</v>
          </cell>
          <cell r="X1297">
            <v>0.8</v>
          </cell>
          <cell r="Y1297" t="str">
            <v>Act freight</v>
          </cell>
          <cell r="AA1297">
            <v>70</v>
          </cell>
          <cell r="AB1297">
            <v>48</v>
          </cell>
          <cell r="AC1297">
            <v>51</v>
          </cell>
          <cell r="AD1297">
            <v>62</v>
          </cell>
          <cell r="AE1297">
            <v>71.58</v>
          </cell>
          <cell r="AF1297">
            <v>0.43000838222967303</v>
          </cell>
          <cell r="AG1297">
            <v>0.64679519418832077</v>
          </cell>
          <cell r="AH1297">
            <v>88</v>
          </cell>
          <cell r="AI1297">
            <v>104</v>
          </cell>
          <cell r="AJ1297">
            <v>0.60769230769230764</v>
          </cell>
          <cell r="AK1297">
            <v>120</v>
          </cell>
          <cell r="AL1297">
            <v>136</v>
          </cell>
          <cell r="AM1297">
            <v>0.7</v>
          </cell>
          <cell r="AN1297">
            <v>136</v>
          </cell>
          <cell r="AO1297">
            <v>136</v>
          </cell>
          <cell r="AP1297">
            <v>136</v>
          </cell>
          <cell r="AQ1297">
            <v>0</v>
          </cell>
          <cell r="AS1297">
            <v>136</v>
          </cell>
        </row>
        <row r="1298">
          <cell r="B1298" t="str">
            <v>SPC</v>
          </cell>
          <cell r="C1298" t="str">
            <v>IMP</v>
          </cell>
          <cell r="D1298" t="str">
            <v>BT</v>
          </cell>
          <cell r="E1298" t="str">
            <v>08</v>
          </cell>
          <cell r="F1298">
            <v>39924</v>
          </cell>
          <cell r="G1298">
            <v>39924</v>
          </cell>
          <cell r="H1298" t="str">
            <v>A0VW334</v>
          </cell>
          <cell r="I1298" t="str">
            <v>STKMA0VW334MA</v>
          </cell>
          <cell r="K1298" t="str">
            <v>TN-614M Toner M (C65hc:26K)</v>
          </cell>
          <cell r="L1298">
            <v>136</v>
          </cell>
          <cell r="M1298">
            <v>34.03</v>
          </cell>
          <cell r="N1298">
            <v>35.391200000000005</v>
          </cell>
          <cell r="O1298">
            <v>0.13256862745098036</v>
          </cell>
          <cell r="P1298">
            <v>40.800000000000004</v>
          </cell>
          <cell r="Q1298">
            <v>36.07</v>
          </cell>
          <cell r="R1298">
            <v>40.76</v>
          </cell>
          <cell r="S1298">
            <v>51</v>
          </cell>
          <cell r="T1298">
            <v>0.30605490196078422</v>
          </cell>
          <cell r="U1298">
            <v>8952</v>
          </cell>
          <cell r="V1298">
            <v>0.24869526362823946</v>
          </cell>
          <cell r="W1298">
            <v>40.800000000000004</v>
          </cell>
          <cell r="X1298">
            <v>0.8</v>
          </cell>
          <cell r="Y1298" t="str">
            <v>Act freight</v>
          </cell>
          <cell r="Z1298">
            <v>300</v>
          </cell>
          <cell r="AA1298">
            <v>70</v>
          </cell>
          <cell r="AB1298">
            <v>48</v>
          </cell>
          <cell r="AC1298">
            <v>51</v>
          </cell>
          <cell r="AD1298">
            <v>62</v>
          </cell>
          <cell r="AE1298">
            <v>71.58</v>
          </cell>
          <cell r="AF1298">
            <v>0.43000838222967303</v>
          </cell>
          <cell r="AG1298">
            <v>0.50557138865604911</v>
          </cell>
          <cell r="AH1298">
            <v>88</v>
          </cell>
          <cell r="AI1298">
            <v>104</v>
          </cell>
          <cell r="AJ1298">
            <v>0.60769230769230764</v>
          </cell>
          <cell r="AK1298">
            <v>120</v>
          </cell>
          <cell r="AL1298">
            <v>136</v>
          </cell>
          <cell r="AM1298">
            <v>0.7</v>
          </cell>
          <cell r="AN1298">
            <v>136</v>
          </cell>
          <cell r="AO1298">
            <v>136</v>
          </cell>
          <cell r="AP1298">
            <v>136</v>
          </cell>
          <cell r="AQ1298">
            <v>0</v>
          </cell>
          <cell r="AR1298">
            <v>503</v>
          </cell>
          <cell r="AS1298">
            <v>136</v>
          </cell>
        </row>
        <row r="1299">
          <cell r="B1299" t="str">
            <v>SPC</v>
          </cell>
          <cell r="C1299" t="str">
            <v>IMP</v>
          </cell>
          <cell r="D1299" t="str">
            <v>BT</v>
          </cell>
          <cell r="E1299" t="str">
            <v>08</v>
          </cell>
          <cell r="F1299">
            <v>39924</v>
          </cell>
          <cell r="G1299">
            <v>39924</v>
          </cell>
          <cell r="H1299" t="str">
            <v>A0VW434</v>
          </cell>
          <cell r="I1299" t="str">
            <v>STKMA0VW434CY</v>
          </cell>
          <cell r="K1299" t="str">
            <v>TN-614C Toner C (C65hc:26K)</v>
          </cell>
          <cell r="L1299">
            <v>136</v>
          </cell>
          <cell r="M1299">
            <v>34.03</v>
          </cell>
          <cell r="N1299">
            <v>35.391200000000005</v>
          </cell>
          <cell r="O1299">
            <v>0.13256862745098036</v>
          </cell>
          <cell r="P1299">
            <v>40.800000000000004</v>
          </cell>
          <cell r="Q1299">
            <v>36.07</v>
          </cell>
          <cell r="R1299">
            <v>40.76</v>
          </cell>
          <cell r="S1299">
            <v>51</v>
          </cell>
          <cell r="T1299">
            <v>0.30605490196078422</v>
          </cell>
          <cell r="U1299">
            <v>9653</v>
          </cell>
          <cell r="V1299">
            <v>0.22445810417340661</v>
          </cell>
          <cell r="W1299">
            <v>40.800000000000004</v>
          </cell>
          <cell r="X1299">
            <v>0.8</v>
          </cell>
          <cell r="Y1299" t="str">
            <v>Act freight</v>
          </cell>
          <cell r="Z1299">
            <v>300</v>
          </cell>
          <cell r="AA1299">
            <v>70</v>
          </cell>
          <cell r="AB1299">
            <v>48</v>
          </cell>
          <cell r="AC1299">
            <v>51</v>
          </cell>
          <cell r="AD1299">
            <v>62</v>
          </cell>
          <cell r="AE1299">
            <v>71.58</v>
          </cell>
          <cell r="AF1299">
            <v>0.43000838222967303</v>
          </cell>
          <cell r="AG1299">
            <v>0.50557138865604911</v>
          </cell>
          <cell r="AH1299">
            <v>88</v>
          </cell>
          <cell r="AI1299">
            <v>104</v>
          </cell>
          <cell r="AJ1299">
            <v>0.60769230769230764</v>
          </cell>
          <cell r="AK1299">
            <v>120</v>
          </cell>
          <cell r="AL1299">
            <v>136</v>
          </cell>
          <cell r="AM1299">
            <v>0.7</v>
          </cell>
          <cell r="AN1299">
            <v>136</v>
          </cell>
          <cell r="AO1299">
            <v>136</v>
          </cell>
          <cell r="AP1299">
            <v>136</v>
          </cell>
          <cell r="AQ1299">
            <v>0</v>
          </cell>
          <cell r="AR1299">
            <v>503</v>
          </cell>
          <cell r="AS1299">
            <v>136</v>
          </cell>
        </row>
        <row r="1300">
          <cell r="B1300" t="str">
            <v>SPC</v>
          </cell>
          <cell r="C1300" t="str">
            <v>IMP</v>
          </cell>
          <cell r="D1300" t="str">
            <v>BT</v>
          </cell>
          <cell r="E1300" t="str">
            <v>08</v>
          </cell>
          <cell r="F1300">
            <v>39924</v>
          </cell>
          <cell r="G1300">
            <v>39925</v>
          </cell>
          <cell r="H1300" t="str">
            <v>A0XN012</v>
          </cell>
          <cell r="I1300" t="str">
            <v>SBKMA0XN012</v>
          </cell>
          <cell r="K1300" t="str">
            <v>Staple Cartridge (5,000 staples x 3 per box)</v>
          </cell>
          <cell r="L1300">
            <v>121</v>
          </cell>
          <cell r="M1300">
            <v>46.47115384615384</v>
          </cell>
          <cell r="N1300">
            <v>48.33</v>
          </cell>
          <cell r="O1300">
            <v>0</v>
          </cell>
          <cell r="P1300">
            <v>48.33</v>
          </cell>
          <cell r="Q1300">
            <v>49.26</v>
          </cell>
          <cell r="R1300">
            <v>55.66</v>
          </cell>
          <cell r="S1300">
            <v>60.4</v>
          </cell>
          <cell r="T1300">
            <v>0.19983443708609272</v>
          </cell>
          <cell r="U1300">
            <v>7365</v>
          </cell>
          <cell r="V1300">
            <v>0.22730753564154785</v>
          </cell>
          <cell r="W1300">
            <v>48.33</v>
          </cell>
          <cell r="X1300">
            <v>0.80016556291390728</v>
          </cell>
          <cell r="Y1300" t="str">
            <v>Act freight</v>
          </cell>
          <cell r="Z1300">
            <v>300</v>
          </cell>
          <cell r="AA1300">
            <v>83</v>
          </cell>
          <cell r="AB1300">
            <v>57</v>
          </cell>
          <cell r="AC1300">
            <v>61</v>
          </cell>
          <cell r="AD1300">
            <v>73</v>
          </cell>
          <cell r="AE1300">
            <v>84.79</v>
          </cell>
          <cell r="AF1300">
            <v>0.43000353815308417</v>
          </cell>
          <cell r="AG1300">
            <v>0.43000353815308417</v>
          </cell>
          <cell r="AH1300">
            <v>94</v>
          </cell>
          <cell r="AI1300">
            <v>103</v>
          </cell>
          <cell r="AJ1300">
            <v>0.53077669902912628</v>
          </cell>
          <cell r="AK1300">
            <v>112</v>
          </cell>
          <cell r="AL1300">
            <v>121</v>
          </cell>
          <cell r="AM1300">
            <v>0.60057851239669424</v>
          </cell>
          <cell r="AN1300">
            <v>121</v>
          </cell>
          <cell r="AO1300">
            <v>121</v>
          </cell>
          <cell r="AP1300">
            <v>121</v>
          </cell>
          <cell r="AQ1300">
            <v>0</v>
          </cell>
          <cell r="AR1300">
            <v>503</v>
          </cell>
          <cell r="AS1300">
            <v>121</v>
          </cell>
        </row>
        <row r="1301">
          <cell r="B1301" t="str">
            <v>SPC</v>
          </cell>
          <cell r="C1301" t="str">
            <v>IMP</v>
          </cell>
          <cell r="D1301" t="str">
            <v>BT</v>
          </cell>
          <cell r="E1301" t="str">
            <v>08</v>
          </cell>
          <cell r="F1301">
            <v>39924</v>
          </cell>
          <cell r="G1301">
            <v>39924</v>
          </cell>
          <cell r="H1301" t="str">
            <v>A0YP030</v>
          </cell>
          <cell r="I1301" t="str">
            <v>STKMA0YP030</v>
          </cell>
          <cell r="K1301" t="str">
            <v>TN-911 Toner (950:80K)</v>
          </cell>
          <cell r="L1301">
            <v>98</v>
          </cell>
          <cell r="M1301">
            <v>32.4</v>
          </cell>
          <cell r="N1301">
            <v>33.695999999999998</v>
          </cell>
          <cell r="O1301">
            <v>0.30928173171531653</v>
          </cell>
          <cell r="P1301">
            <v>48.783999999999999</v>
          </cell>
          <cell r="Q1301">
            <v>34.340000000000003</v>
          </cell>
          <cell r="R1301">
            <v>38.799999999999997</v>
          </cell>
          <cell r="S1301">
            <v>60.98</v>
          </cell>
          <cell r="T1301">
            <v>0.44742538537225318</v>
          </cell>
          <cell r="U1301">
            <v>7365</v>
          </cell>
          <cell r="V1301">
            <v>0.22730753564154785</v>
          </cell>
          <cell r="W1301">
            <v>48.783999999999999</v>
          </cell>
          <cell r="X1301">
            <v>0.8</v>
          </cell>
          <cell r="Y1301" t="str">
            <v>Act freight</v>
          </cell>
          <cell r="Z1301">
            <v>300</v>
          </cell>
          <cell r="AA1301">
            <v>84</v>
          </cell>
          <cell r="AB1301">
            <v>58</v>
          </cell>
          <cell r="AC1301">
            <v>61</v>
          </cell>
          <cell r="AD1301">
            <v>74</v>
          </cell>
          <cell r="AE1301">
            <v>85.59</v>
          </cell>
          <cell r="AF1301">
            <v>0.43002687229816572</v>
          </cell>
          <cell r="AG1301">
            <v>0.60630914826498428</v>
          </cell>
          <cell r="AH1301">
            <v>89</v>
          </cell>
          <cell r="AI1301">
            <v>92</v>
          </cell>
          <cell r="AJ1301">
            <v>0.4697391304347826</v>
          </cell>
          <cell r="AK1301">
            <v>95</v>
          </cell>
          <cell r="AL1301">
            <v>98</v>
          </cell>
          <cell r="AM1301">
            <v>0.50220408163265307</v>
          </cell>
          <cell r="AN1301">
            <v>98</v>
          </cell>
          <cell r="AO1301">
            <v>98</v>
          </cell>
          <cell r="AP1301">
            <v>98</v>
          </cell>
          <cell r="AQ1301">
            <v>0</v>
          </cell>
          <cell r="AR1301">
            <v>503</v>
          </cell>
          <cell r="AS1301">
            <v>98</v>
          </cell>
        </row>
        <row r="1302">
          <cell r="B1302" t="str">
            <v>SPC</v>
          </cell>
          <cell r="C1302" t="str">
            <v>IMP</v>
          </cell>
          <cell r="D1302" t="str">
            <v>BT</v>
          </cell>
          <cell r="E1302" t="str">
            <v>08</v>
          </cell>
          <cell r="F1302">
            <v>40038</v>
          </cell>
          <cell r="G1302">
            <v>40038</v>
          </cell>
          <cell r="H1302" t="str">
            <v>A080WY1</v>
          </cell>
          <cell r="I1302" t="str">
            <v>SAKMA080WY1</v>
          </cell>
          <cell r="K1302" t="str">
            <v>GC-501 Glue Chips (for PB-501, PB-502, PB-503)</v>
          </cell>
          <cell r="L1302">
            <v>40</v>
          </cell>
          <cell r="M1302">
            <v>14.3</v>
          </cell>
          <cell r="N1302">
            <v>14.872000000000002</v>
          </cell>
          <cell r="O1302">
            <v>0.20214592274678106</v>
          </cell>
          <cell r="P1302">
            <v>18.64</v>
          </cell>
          <cell r="Q1302">
            <v>15.16</v>
          </cell>
          <cell r="R1302">
            <v>17.13</v>
          </cell>
          <cell r="S1302">
            <v>23.3</v>
          </cell>
          <cell r="T1302">
            <v>0.36171673819742484</v>
          </cell>
          <cell r="U1302">
            <v>6667</v>
          </cell>
          <cell r="V1302">
            <v>0.1535863206839658</v>
          </cell>
          <cell r="W1302">
            <v>18.64</v>
          </cell>
          <cell r="X1302">
            <v>0.8</v>
          </cell>
          <cell r="Y1302">
            <v>150</v>
          </cell>
          <cell r="Z1302">
            <v>300</v>
          </cell>
          <cell r="AA1302">
            <v>32</v>
          </cell>
          <cell r="AB1302">
            <v>22</v>
          </cell>
          <cell r="AC1302">
            <v>24</v>
          </cell>
          <cell r="AD1302">
            <v>29</v>
          </cell>
          <cell r="AE1302">
            <v>32.700000000000003</v>
          </cell>
          <cell r="AF1302">
            <v>0.42996941896024465</v>
          </cell>
          <cell r="AG1302">
            <v>0.54519877675840978</v>
          </cell>
          <cell r="AH1302">
            <v>35</v>
          </cell>
          <cell r="AI1302">
            <v>37</v>
          </cell>
          <cell r="AJ1302">
            <v>0.4962162162162162</v>
          </cell>
          <cell r="AK1302">
            <v>38.5</v>
          </cell>
          <cell r="AL1302">
            <v>40</v>
          </cell>
          <cell r="AM1302">
            <v>0.53400000000000003</v>
          </cell>
          <cell r="AN1302">
            <v>40</v>
          </cell>
          <cell r="AO1302">
            <v>40</v>
          </cell>
          <cell r="AP1302">
            <v>40</v>
          </cell>
          <cell r="AQ1302">
            <v>0</v>
          </cell>
          <cell r="AR1302">
            <v>295</v>
          </cell>
          <cell r="AS1302">
            <v>40</v>
          </cell>
        </row>
        <row r="1303">
          <cell r="B1303" t="str">
            <v>SPC</v>
          </cell>
          <cell r="C1303" t="str">
            <v>IMP</v>
          </cell>
          <cell r="D1303" t="str">
            <v>BT</v>
          </cell>
          <cell r="E1303" t="str">
            <v>08</v>
          </cell>
          <cell r="F1303">
            <v>40038</v>
          </cell>
          <cell r="G1303">
            <v>40038</v>
          </cell>
          <cell r="H1303" t="str">
            <v>A0TH030</v>
          </cell>
          <cell r="I1303" t="str">
            <v>STKMA0TH030</v>
          </cell>
          <cell r="K1303" t="str">
            <v>TN-011 Toner 1200/1051</v>
          </cell>
          <cell r="L1303">
            <v>111</v>
          </cell>
          <cell r="M1303">
            <v>44</v>
          </cell>
          <cell r="N1303">
            <v>45.760000000000005</v>
          </cell>
          <cell r="O1303">
            <v>0.26250000000000001</v>
          </cell>
          <cell r="P1303">
            <v>62.047457627118654</v>
          </cell>
          <cell r="Q1303">
            <v>46.64</v>
          </cell>
          <cell r="R1303">
            <v>52.7</v>
          </cell>
          <cell r="S1303">
            <v>77.559322033898312</v>
          </cell>
          <cell r="T1303">
            <v>0.41</v>
          </cell>
          <cell r="U1303">
            <v>190.8896</v>
          </cell>
          <cell r="V1303">
            <v>0.16642918210316326</v>
          </cell>
          <cell r="W1303">
            <v>62.047457627118654</v>
          </cell>
          <cell r="X1303">
            <v>0.8</v>
          </cell>
          <cell r="Y1303">
            <v>0</v>
          </cell>
          <cell r="Z1303">
            <v>0</v>
          </cell>
          <cell r="AA1303">
            <v>107</v>
          </cell>
          <cell r="AB1303">
            <v>73</v>
          </cell>
          <cell r="AC1303">
            <v>78</v>
          </cell>
          <cell r="AD1303">
            <v>94</v>
          </cell>
          <cell r="AE1303">
            <v>108.86</v>
          </cell>
          <cell r="AF1303">
            <v>0.43002519174059661</v>
          </cell>
          <cell r="AG1303">
            <v>0.57964357890869</v>
          </cell>
          <cell r="AH1303">
            <v>110</v>
          </cell>
          <cell r="AI1303">
            <v>110</v>
          </cell>
          <cell r="AJ1303">
            <v>0.43593220338983041</v>
          </cell>
          <cell r="AK1303">
            <v>110.5</v>
          </cell>
          <cell r="AL1303">
            <v>111</v>
          </cell>
          <cell r="AM1303">
            <v>0.44101389525118329</v>
          </cell>
          <cell r="AN1303">
            <v>111</v>
          </cell>
          <cell r="AO1303">
            <v>111</v>
          </cell>
          <cell r="AP1303">
            <v>111</v>
          </cell>
          <cell r="AQ1303">
            <v>0</v>
          </cell>
          <cell r="AR1303">
            <v>0</v>
          </cell>
          <cell r="AS1303">
            <v>111</v>
          </cell>
        </row>
        <row r="1304">
          <cell r="B1304" t="str">
            <v>SPC</v>
          </cell>
          <cell r="C1304" t="str">
            <v>IMP</v>
          </cell>
          <cell r="D1304" t="str">
            <v>BT</v>
          </cell>
          <cell r="E1304" t="str">
            <v>08</v>
          </cell>
          <cell r="F1304">
            <v>40038</v>
          </cell>
          <cell r="G1304">
            <v>40038</v>
          </cell>
          <cell r="H1304" t="str">
            <v>A0TH500</v>
          </cell>
          <cell r="I1304" t="e">
            <v>#N/A</v>
          </cell>
          <cell r="K1304" t="str">
            <v>DV-011 Developer 1200/1051</v>
          </cell>
          <cell r="L1304">
            <v>360</v>
          </cell>
          <cell r="M1304">
            <v>78</v>
          </cell>
          <cell r="N1304">
            <v>81.12</v>
          </cell>
          <cell r="O1304">
            <v>0.24999999999999994</v>
          </cell>
          <cell r="P1304">
            <v>108.16</v>
          </cell>
          <cell r="Q1304">
            <v>82.68</v>
          </cell>
          <cell r="R1304">
            <v>93.43</v>
          </cell>
          <cell r="S1304">
            <v>135.19999999999999</v>
          </cell>
          <cell r="T1304">
            <v>0.39999999999999991</v>
          </cell>
          <cell r="U1304">
            <v>0</v>
          </cell>
          <cell r="V1304">
            <v>0</v>
          </cell>
          <cell r="W1304">
            <v>108.16</v>
          </cell>
          <cell r="X1304">
            <v>0.8</v>
          </cell>
          <cell r="Y1304" t="str">
            <v>Act freight</v>
          </cell>
          <cell r="AA1304">
            <v>186</v>
          </cell>
          <cell r="AB1304">
            <v>128</v>
          </cell>
          <cell r="AC1304">
            <v>136</v>
          </cell>
          <cell r="AD1304">
            <v>163</v>
          </cell>
          <cell r="AE1304">
            <v>189.75</v>
          </cell>
          <cell r="AF1304">
            <v>0.42998682476943351</v>
          </cell>
          <cell r="AG1304">
            <v>0.5724901185770751</v>
          </cell>
          <cell r="AH1304">
            <v>233</v>
          </cell>
          <cell r="AI1304">
            <v>275</v>
          </cell>
          <cell r="AJ1304">
            <v>0.60669090909090906</v>
          </cell>
          <cell r="AK1304">
            <v>317.5</v>
          </cell>
          <cell r="AL1304">
            <v>360</v>
          </cell>
          <cell r="AM1304">
            <v>0.6995555555555556</v>
          </cell>
          <cell r="AN1304">
            <v>360</v>
          </cell>
          <cell r="AO1304">
            <v>360</v>
          </cell>
          <cell r="AP1304">
            <v>360</v>
          </cell>
          <cell r="AQ1304">
            <v>0</v>
          </cell>
          <cell r="AS1304">
            <v>360</v>
          </cell>
        </row>
        <row r="1305">
          <cell r="B1305" t="str">
            <v>SPC</v>
          </cell>
          <cell r="C1305" t="str">
            <v>IMP</v>
          </cell>
          <cell r="D1305" t="str">
            <v>BT</v>
          </cell>
          <cell r="E1305" t="str">
            <v>08</v>
          </cell>
          <cell r="F1305">
            <v>40038</v>
          </cell>
          <cell r="G1305">
            <v>40038</v>
          </cell>
          <cell r="H1305" t="str">
            <v>A0THP10</v>
          </cell>
          <cell r="I1305" t="e">
            <v>#N/A</v>
          </cell>
          <cell r="K1305" t="str">
            <v>DR-011 Drum 1200/1051</v>
          </cell>
          <cell r="L1305">
            <v>341</v>
          </cell>
          <cell r="M1305">
            <v>105</v>
          </cell>
          <cell r="N1305">
            <v>109.2</v>
          </cell>
          <cell r="O1305">
            <v>0.24999999999999994</v>
          </cell>
          <cell r="P1305">
            <v>145.6</v>
          </cell>
          <cell r="Q1305">
            <v>111.3</v>
          </cell>
          <cell r="R1305">
            <v>125.77</v>
          </cell>
          <cell r="S1305">
            <v>182</v>
          </cell>
          <cell r="T1305">
            <v>0.39999999999999997</v>
          </cell>
          <cell r="W1305">
            <v>145.6</v>
          </cell>
          <cell r="X1305">
            <v>0.79999999999999993</v>
          </cell>
          <cell r="Y1305" t="str">
            <v>Act freight</v>
          </cell>
          <cell r="AA1305">
            <v>250</v>
          </cell>
          <cell r="AB1305">
            <v>172</v>
          </cell>
          <cell r="AC1305">
            <v>182</v>
          </cell>
          <cell r="AD1305">
            <v>219</v>
          </cell>
          <cell r="AE1305">
            <v>255.44</v>
          </cell>
          <cell r="AF1305">
            <v>0.43000313185092393</v>
          </cell>
          <cell r="AG1305">
            <v>0.57250234888819296</v>
          </cell>
          <cell r="AH1305">
            <v>278</v>
          </cell>
          <cell r="AI1305">
            <v>299</v>
          </cell>
          <cell r="AJ1305">
            <v>0.5130434782608696</v>
          </cell>
          <cell r="AK1305">
            <v>320</v>
          </cell>
          <cell r="AL1305">
            <v>341</v>
          </cell>
          <cell r="AM1305">
            <v>0.57302052785923752</v>
          </cell>
          <cell r="AN1305">
            <v>341</v>
          </cell>
          <cell r="AO1305">
            <v>341</v>
          </cell>
          <cell r="AP1305">
            <v>341</v>
          </cell>
          <cell r="AQ1305">
            <v>0</v>
          </cell>
          <cell r="AS1305">
            <v>341</v>
          </cell>
        </row>
        <row r="1306">
          <cell r="B1306" t="str">
            <v>SPC</v>
          </cell>
          <cell r="C1306" t="str">
            <v>IMP</v>
          </cell>
          <cell r="D1306" t="str">
            <v>BT</v>
          </cell>
          <cell r="E1306" t="str">
            <v>08</v>
          </cell>
          <cell r="F1306">
            <v>40056</v>
          </cell>
          <cell r="G1306">
            <v>40056</v>
          </cell>
          <cell r="H1306" t="str">
            <v>A0XV0RD</v>
          </cell>
          <cell r="I1306">
            <v>0</v>
          </cell>
          <cell r="K1306" t="str">
            <v>Drum Unit - Black</v>
          </cell>
          <cell r="L1306">
            <v>158</v>
          </cell>
          <cell r="M1306">
            <v>53</v>
          </cell>
          <cell r="N1306">
            <v>55.120000000000005</v>
          </cell>
          <cell r="O1306">
            <v>0.15975609756097564</v>
          </cell>
          <cell r="P1306">
            <v>65.600000000000009</v>
          </cell>
          <cell r="Q1306">
            <v>56.18</v>
          </cell>
          <cell r="R1306">
            <v>63.48</v>
          </cell>
          <cell r="S1306">
            <v>82</v>
          </cell>
          <cell r="T1306">
            <v>0.32780487804878045</v>
          </cell>
          <cell r="U1306">
            <v>8012</v>
          </cell>
          <cell r="V1306">
            <v>0.17861986437973668</v>
          </cell>
          <cell r="W1306">
            <v>65.600000000000009</v>
          </cell>
          <cell r="X1306">
            <v>0.80000000000000016</v>
          </cell>
          <cell r="Y1306">
            <v>250</v>
          </cell>
          <cell r="Z1306">
            <v>300</v>
          </cell>
          <cell r="AA1306">
            <v>113</v>
          </cell>
          <cell r="AB1306">
            <v>78</v>
          </cell>
          <cell r="AC1306">
            <v>82</v>
          </cell>
          <cell r="AD1306">
            <v>99</v>
          </cell>
          <cell r="AE1306">
            <v>115.09</v>
          </cell>
          <cell r="AF1306">
            <v>0.43001129550786338</v>
          </cell>
          <cell r="AG1306">
            <v>0.52107046659136325</v>
          </cell>
          <cell r="AH1306">
            <v>127</v>
          </cell>
          <cell r="AI1306">
            <v>137</v>
          </cell>
          <cell r="AJ1306">
            <v>0.52116788321167873</v>
          </cell>
          <cell r="AK1306">
            <v>147.5</v>
          </cell>
          <cell r="AL1306">
            <v>158</v>
          </cell>
          <cell r="AM1306">
            <v>0.58481012658227838</v>
          </cell>
          <cell r="AN1306">
            <v>158</v>
          </cell>
          <cell r="AO1306">
            <v>158</v>
          </cell>
          <cell r="AP1306">
            <v>158</v>
          </cell>
          <cell r="AQ1306">
            <v>0</v>
          </cell>
          <cell r="AR1306">
            <v>503</v>
          </cell>
          <cell r="AS1306">
            <v>158</v>
          </cell>
        </row>
        <row r="1307">
          <cell r="B1307" t="str">
            <v>SPC</v>
          </cell>
          <cell r="C1307" t="str">
            <v>IMP</v>
          </cell>
          <cell r="D1307" t="str">
            <v>BT</v>
          </cell>
          <cell r="E1307" t="str">
            <v>08</v>
          </cell>
          <cell r="F1307">
            <v>40056</v>
          </cell>
          <cell r="G1307">
            <v>40056</v>
          </cell>
          <cell r="H1307" t="str">
            <v>A0XV0TD</v>
          </cell>
          <cell r="I1307">
            <v>0</v>
          </cell>
          <cell r="J1307" t="str">
            <v>KHB694069M00</v>
          </cell>
          <cell r="K1307" t="str">
            <v>Drum Unit - CMY</v>
          </cell>
          <cell r="L1307">
            <v>436</v>
          </cell>
          <cell r="M1307">
            <v>110</v>
          </cell>
          <cell r="N1307">
            <v>114.4</v>
          </cell>
          <cell r="O1307">
            <v>0.28499999999999998</v>
          </cell>
          <cell r="P1307">
            <v>160</v>
          </cell>
          <cell r="Q1307">
            <v>116.6</v>
          </cell>
          <cell r="R1307">
            <v>131.76</v>
          </cell>
          <cell r="S1307">
            <v>200</v>
          </cell>
          <cell r="T1307">
            <v>0.42799999999999999</v>
          </cell>
          <cell r="U1307">
            <v>6020</v>
          </cell>
          <cell r="V1307">
            <v>0.16385382059800657</v>
          </cell>
          <cell r="W1307">
            <v>160</v>
          </cell>
          <cell r="X1307">
            <v>0.8</v>
          </cell>
          <cell r="Y1307">
            <v>150</v>
          </cell>
          <cell r="Z1307">
            <v>300</v>
          </cell>
          <cell r="AA1307">
            <v>275</v>
          </cell>
          <cell r="AB1307">
            <v>189</v>
          </cell>
          <cell r="AC1307">
            <v>200</v>
          </cell>
          <cell r="AD1307">
            <v>241</v>
          </cell>
          <cell r="AE1307">
            <v>280.7</v>
          </cell>
          <cell r="AF1307">
            <v>0.42999643747773419</v>
          </cell>
          <cell r="AG1307">
            <v>0.59244745279657995</v>
          </cell>
          <cell r="AH1307">
            <v>320</v>
          </cell>
          <cell r="AI1307">
            <v>359</v>
          </cell>
          <cell r="AJ1307">
            <v>0.55431754874651806</v>
          </cell>
          <cell r="AK1307">
            <v>397.5</v>
          </cell>
          <cell r="AL1307">
            <v>436</v>
          </cell>
          <cell r="AM1307">
            <v>0.6330275229357798</v>
          </cell>
          <cell r="AN1307">
            <v>436</v>
          </cell>
          <cell r="AO1307">
            <v>436</v>
          </cell>
          <cell r="AP1307">
            <v>436</v>
          </cell>
          <cell r="AQ1307">
            <v>0</v>
          </cell>
          <cell r="AR1307">
            <v>503</v>
          </cell>
          <cell r="AS1307">
            <v>436</v>
          </cell>
        </row>
        <row r="1308">
          <cell r="B1308" t="str">
            <v>SPC</v>
          </cell>
          <cell r="C1308" t="str">
            <v>IMP</v>
          </cell>
          <cell r="D1308" t="str">
            <v>BT</v>
          </cell>
          <cell r="E1308" t="str">
            <v>08</v>
          </cell>
          <cell r="F1308">
            <v>40056</v>
          </cell>
          <cell r="G1308">
            <v>40056</v>
          </cell>
          <cell r="H1308" t="str">
            <v>A11G130</v>
          </cell>
          <cell r="I1308" t="str">
            <v>STKMA11G130</v>
          </cell>
          <cell r="J1308">
            <v>0</v>
          </cell>
          <cell r="K1308" t="str">
            <v>TN319K - C360 Toner - Black</v>
          </cell>
          <cell r="L1308">
            <v>60</v>
          </cell>
          <cell r="M1308">
            <v>14.5</v>
          </cell>
          <cell r="N1308">
            <v>15.08</v>
          </cell>
          <cell r="O1308">
            <v>0.27500000000000002</v>
          </cell>
          <cell r="P1308">
            <v>20.8</v>
          </cell>
          <cell r="Q1308">
            <v>15.37</v>
          </cell>
          <cell r="R1308">
            <v>17.37</v>
          </cell>
          <cell r="S1308">
            <v>26</v>
          </cell>
          <cell r="T1308">
            <v>0.42</v>
          </cell>
          <cell r="U1308">
            <v>6667</v>
          </cell>
          <cell r="V1308">
            <v>0.12358625059401232</v>
          </cell>
          <cell r="W1308">
            <v>20.8</v>
          </cell>
          <cell r="X1308">
            <v>0.8</v>
          </cell>
          <cell r="Y1308">
            <v>150</v>
          </cell>
          <cell r="Z1308">
            <v>300</v>
          </cell>
          <cell r="AA1308">
            <v>36</v>
          </cell>
          <cell r="AB1308">
            <v>25</v>
          </cell>
          <cell r="AC1308">
            <v>26</v>
          </cell>
          <cell r="AD1308">
            <v>32</v>
          </cell>
          <cell r="AE1308">
            <v>36.49</v>
          </cell>
          <cell r="AF1308">
            <v>0.4299808166620992</v>
          </cell>
          <cell r="AG1308">
            <v>0.58673609208002198</v>
          </cell>
          <cell r="AH1308">
            <v>43</v>
          </cell>
          <cell r="AI1308">
            <v>49</v>
          </cell>
          <cell r="AJ1308">
            <v>0.57551020408163267</v>
          </cell>
          <cell r="AK1308">
            <v>54.5</v>
          </cell>
          <cell r="AL1308">
            <v>60</v>
          </cell>
          <cell r="AM1308">
            <v>0.65333333333333343</v>
          </cell>
          <cell r="AN1308">
            <v>60</v>
          </cell>
          <cell r="AO1308">
            <v>60</v>
          </cell>
          <cell r="AP1308">
            <v>60</v>
          </cell>
          <cell r="AQ1308">
            <v>0</v>
          </cell>
          <cell r="AR1308">
            <v>503</v>
          </cell>
          <cell r="AS1308">
            <v>60</v>
          </cell>
        </row>
        <row r="1309">
          <cell r="B1309" t="str">
            <v>SPC</v>
          </cell>
          <cell r="C1309" t="str">
            <v>IMP</v>
          </cell>
          <cell r="D1309" t="str">
            <v>BT</v>
          </cell>
          <cell r="E1309" t="str">
            <v>08</v>
          </cell>
          <cell r="F1309">
            <v>40056</v>
          </cell>
          <cell r="G1309">
            <v>40056</v>
          </cell>
          <cell r="H1309" t="str">
            <v>A11G430</v>
          </cell>
          <cell r="I1309" t="str">
            <v>STKMA11G430CY</v>
          </cell>
          <cell r="K1309" t="str">
            <v>TN319C - C360 Toner - Cyan</v>
          </cell>
          <cell r="L1309">
            <v>180</v>
          </cell>
          <cell r="M1309">
            <v>41</v>
          </cell>
          <cell r="N1309">
            <v>42.64</v>
          </cell>
          <cell r="O1309">
            <v>0.43894736842105264</v>
          </cell>
          <cell r="P1309">
            <v>76</v>
          </cell>
          <cell r="Q1309">
            <v>43.46</v>
          </cell>
          <cell r="R1309">
            <v>49.11</v>
          </cell>
          <cell r="S1309">
            <v>95</v>
          </cell>
          <cell r="T1309">
            <v>0.55115789473684207</v>
          </cell>
          <cell r="U1309">
            <v>12870</v>
          </cell>
          <cell r="V1309">
            <v>0</v>
          </cell>
          <cell r="W1309">
            <v>76</v>
          </cell>
          <cell r="X1309">
            <v>0.8</v>
          </cell>
          <cell r="Y1309">
            <v>400</v>
          </cell>
          <cell r="Z1309">
            <v>200</v>
          </cell>
          <cell r="AA1309">
            <v>131</v>
          </cell>
          <cell r="AB1309">
            <v>90</v>
          </cell>
          <cell r="AC1309">
            <v>95</v>
          </cell>
          <cell r="AD1309">
            <v>115</v>
          </cell>
          <cell r="AE1309">
            <v>133.33000000000001</v>
          </cell>
          <cell r="AF1309">
            <v>0.42998574964374114</v>
          </cell>
          <cell r="AG1309">
            <v>0.68019200480011999</v>
          </cell>
          <cell r="AH1309">
            <v>146</v>
          </cell>
          <cell r="AI1309">
            <v>157</v>
          </cell>
          <cell r="AJ1309">
            <v>0.51592356687898089</v>
          </cell>
          <cell r="AK1309">
            <v>168.5</v>
          </cell>
          <cell r="AL1309">
            <v>180</v>
          </cell>
          <cell r="AM1309">
            <v>0.57777777777777772</v>
          </cell>
          <cell r="AN1309">
            <v>180</v>
          </cell>
          <cell r="AO1309">
            <v>180</v>
          </cell>
          <cell r="AP1309">
            <v>180</v>
          </cell>
          <cell r="AQ1309">
            <v>0</v>
          </cell>
          <cell r="AS1309">
            <v>180</v>
          </cell>
        </row>
        <row r="1310">
          <cell r="B1310" t="str">
            <v>SPC</v>
          </cell>
          <cell r="C1310" t="str">
            <v>IMP</v>
          </cell>
          <cell r="D1310" t="str">
            <v>BT</v>
          </cell>
          <cell r="E1310" t="str">
            <v>08</v>
          </cell>
          <cell r="F1310">
            <v>40056</v>
          </cell>
          <cell r="G1310">
            <v>40056</v>
          </cell>
          <cell r="H1310" t="str">
            <v>A11G330</v>
          </cell>
          <cell r="I1310" t="str">
            <v>STKMA11G330MA</v>
          </cell>
          <cell r="K1310" t="str">
            <v>TN319M - C360 Toner - Magenta</v>
          </cell>
          <cell r="L1310">
            <v>180</v>
          </cell>
          <cell r="M1310">
            <v>41</v>
          </cell>
          <cell r="N1310">
            <v>42.64</v>
          </cell>
          <cell r="O1310">
            <v>0.43894736842105264</v>
          </cell>
          <cell r="P1310">
            <v>76</v>
          </cell>
          <cell r="Q1310">
            <v>43.46</v>
          </cell>
          <cell r="R1310">
            <v>49.11</v>
          </cell>
          <cell r="S1310">
            <v>95</v>
          </cell>
          <cell r="T1310">
            <v>0.55115789473684207</v>
          </cell>
          <cell r="U1310">
            <v>348.48</v>
          </cell>
          <cell r="V1310">
            <v>0.10468319559228655</v>
          </cell>
          <cell r="W1310">
            <v>76</v>
          </cell>
          <cell r="X1310">
            <v>0.8</v>
          </cell>
          <cell r="Y1310">
            <v>0</v>
          </cell>
          <cell r="Z1310">
            <v>0</v>
          </cell>
          <cell r="AA1310">
            <v>131</v>
          </cell>
          <cell r="AB1310">
            <v>90</v>
          </cell>
          <cell r="AC1310">
            <v>95</v>
          </cell>
          <cell r="AD1310">
            <v>115</v>
          </cell>
          <cell r="AE1310">
            <v>133.33000000000001</v>
          </cell>
          <cell r="AF1310">
            <v>0.42998574964374114</v>
          </cell>
          <cell r="AG1310">
            <v>0.68019200480011999</v>
          </cell>
          <cell r="AH1310">
            <v>146</v>
          </cell>
          <cell r="AI1310">
            <v>157</v>
          </cell>
          <cell r="AJ1310">
            <v>0.51592356687898089</v>
          </cell>
          <cell r="AK1310">
            <v>168.5</v>
          </cell>
          <cell r="AL1310">
            <v>180</v>
          </cell>
          <cell r="AM1310">
            <v>0.57777777777777772</v>
          </cell>
          <cell r="AN1310">
            <v>180</v>
          </cell>
          <cell r="AO1310">
            <v>180</v>
          </cell>
          <cell r="AP1310">
            <v>180</v>
          </cell>
          <cell r="AQ1310">
            <v>0</v>
          </cell>
          <cell r="AS1310">
            <v>180</v>
          </cell>
        </row>
        <row r="1311">
          <cell r="B1311" t="str">
            <v>SPC</v>
          </cell>
          <cell r="C1311" t="str">
            <v>IMP</v>
          </cell>
          <cell r="D1311" t="str">
            <v>BT</v>
          </cell>
          <cell r="E1311" t="str">
            <v>08</v>
          </cell>
          <cell r="F1311">
            <v>40056</v>
          </cell>
          <cell r="G1311">
            <v>40056</v>
          </cell>
          <cell r="H1311" t="str">
            <v>A11G230</v>
          </cell>
          <cell r="I1311" t="str">
            <v>STKMA11G230YE</v>
          </cell>
          <cell r="J1311" t="str">
            <v>x</v>
          </cell>
          <cell r="K1311" t="str">
            <v>TN319Y - C360 Toner - Yellow</v>
          </cell>
          <cell r="L1311">
            <v>180</v>
          </cell>
          <cell r="M1311">
            <v>41</v>
          </cell>
          <cell r="N1311">
            <v>42.64</v>
          </cell>
          <cell r="O1311">
            <v>0.43894736842105264</v>
          </cell>
          <cell r="P1311">
            <v>76</v>
          </cell>
          <cell r="Q1311">
            <v>43.46</v>
          </cell>
          <cell r="R1311">
            <v>49.11</v>
          </cell>
          <cell r="S1311">
            <v>95</v>
          </cell>
          <cell r="T1311">
            <v>0.55115789473684207</v>
          </cell>
          <cell r="U1311">
            <v>8985.6</v>
          </cell>
          <cell r="V1311">
            <v>0</v>
          </cell>
          <cell r="W1311">
            <v>76</v>
          </cell>
          <cell r="X1311">
            <v>0.8</v>
          </cell>
          <cell r="Y1311">
            <v>0</v>
          </cell>
          <cell r="Z1311">
            <v>0</v>
          </cell>
          <cell r="AA1311">
            <v>131</v>
          </cell>
          <cell r="AB1311">
            <v>90</v>
          </cell>
          <cell r="AC1311">
            <v>95</v>
          </cell>
          <cell r="AD1311">
            <v>115</v>
          </cell>
          <cell r="AE1311">
            <v>133.33000000000001</v>
          </cell>
          <cell r="AF1311">
            <v>0.42998574964374114</v>
          </cell>
          <cell r="AG1311">
            <v>0.68019200480011999</v>
          </cell>
          <cell r="AH1311">
            <v>146</v>
          </cell>
          <cell r="AI1311">
            <v>157</v>
          </cell>
          <cell r="AJ1311">
            <v>0.51592356687898089</v>
          </cell>
          <cell r="AK1311">
            <v>168.5</v>
          </cell>
          <cell r="AL1311">
            <v>180</v>
          </cell>
          <cell r="AM1311">
            <v>0.57777777777777772</v>
          </cell>
          <cell r="AN1311">
            <v>180</v>
          </cell>
          <cell r="AO1311">
            <v>180</v>
          </cell>
          <cell r="AP1311">
            <v>180</v>
          </cell>
          <cell r="AQ1311">
            <v>0</v>
          </cell>
          <cell r="AR1311">
            <v>460</v>
          </cell>
          <cell r="AS1311">
            <v>180</v>
          </cell>
        </row>
        <row r="1312">
          <cell r="B1312" t="str">
            <v>SPC</v>
          </cell>
          <cell r="C1312" t="str">
            <v>IMP</v>
          </cell>
          <cell r="D1312" t="str">
            <v>BT</v>
          </cell>
          <cell r="E1312" t="str">
            <v>08</v>
          </cell>
          <cell r="F1312">
            <v>40056</v>
          </cell>
          <cell r="G1312">
            <v>40056</v>
          </cell>
          <cell r="H1312" t="str">
            <v>A11G131</v>
          </cell>
          <cell r="I1312" t="str">
            <v>STKMA11G131</v>
          </cell>
          <cell r="J1312" t="str">
            <v>x</v>
          </cell>
          <cell r="K1312" t="str">
            <v>TN216K - C280/C220 Toner - Black</v>
          </cell>
          <cell r="L1312">
            <v>68</v>
          </cell>
          <cell r="M1312">
            <v>16.5</v>
          </cell>
          <cell r="N1312">
            <v>17.16</v>
          </cell>
          <cell r="O1312">
            <v>0.28499999999999998</v>
          </cell>
          <cell r="P1312">
            <v>24</v>
          </cell>
          <cell r="Q1312">
            <v>17.489999999999998</v>
          </cell>
          <cell r="R1312">
            <v>19.760000000000002</v>
          </cell>
          <cell r="S1312">
            <v>30</v>
          </cell>
          <cell r="T1312">
            <v>0.42799999999999999</v>
          </cell>
          <cell r="U1312">
            <v>7300.8</v>
          </cell>
          <cell r="V1312">
            <v>0</v>
          </cell>
          <cell r="W1312">
            <v>24</v>
          </cell>
          <cell r="X1312">
            <v>0.8</v>
          </cell>
          <cell r="Y1312">
            <v>150</v>
          </cell>
          <cell r="Z1312">
            <v>300</v>
          </cell>
          <cell r="AA1312">
            <v>41</v>
          </cell>
          <cell r="AB1312">
            <v>29</v>
          </cell>
          <cell r="AC1312">
            <v>30</v>
          </cell>
          <cell r="AD1312">
            <v>37</v>
          </cell>
          <cell r="AE1312">
            <v>42.11</v>
          </cell>
          <cell r="AF1312">
            <v>0.43006411778674897</v>
          </cell>
          <cell r="AG1312">
            <v>0.59249584421752555</v>
          </cell>
          <cell r="AH1312">
            <v>50</v>
          </cell>
          <cell r="AI1312">
            <v>56</v>
          </cell>
          <cell r="AJ1312">
            <v>0.5714285714285714</v>
          </cell>
          <cell r="AK1312">
            <v>62</v>
          </cell>
          <cell r="AL1312">
            <v>68</v>
          </cell>
          <cell r="AM1312">
            <v>0.6470588235294118</v>
          </cell>
          <cell r="AN1312">
            <v>68</v>
          </cell>
          <cell r="AO1312">
            <v>68</v>
          </cell>
          <cell r="AP1312">
            <v>68</v>
          </cell>
          <cell r="AQ1312">
            <v>0</v>
          </cell>
          <cell r="AR1312">
            <v>460</v>
          </cell>
          <cell r="AS1312">
            <v>68</v>
          </cell>
        </row>
        <row r="1313">
          <cell r="B1313" t="str">
            <v>SPC</v>
          </cell>
          <cell r="C1313" t="str">
            <v>IMP</v>
          </cell>
          <cell r="D1313" t="str">
            <v>BT</v>
          </cell>
          <cell r="E1313" t="str">
            <v>08</v>
          </cell>
          <cell r="F1313">
            <v>40056</v>
          </cell>
          <cell r="G1313">
            <v>40056</v>
          </cell>
          <cell r="H1313" t="str">
            <v>A11G431</v>
          </cell>
          <cell r="I1313" t="str">
            <v>STKMA11G431CY</v>
          </cell>
          <cell r="J1313" t="str">
            <v>x</v>
          </cell>
          <cell r="K1313" t="str">
            <v>TN216C - C280/C220 Toner - Cyan</v>
          </cell>
          <cell r="L1313">
            <v>210</v>
          </cell>
          <cell r="M1313">
            <v>42</v>
          </cell>
          <cell r="N1313">
            <v>43.68</v>
          </cell>
          <cell r="O1313">
            <v>0.49908256880733948</v>
          </cell>
          <cell r="P1313">
            <v>87.2</v>
          </cell>
          <cell r="Q1313">
            <v>44.52</v>
          </cell>
          <cell r="R1313">
            <v>50.31</v>
          </cell>
          <cell r="S1313">
            <v>109</v>
          </cell>
          <cell r="T1313">
            <v>0.59926605504587149</v>
          </cell>
          <cell r="U1313">
            <v>7300.8</v>
          </cell>
          <cell r="V1313">
            <v>0</v>
          </cell>
          <cell r="W1313">
            <v>87.2</v>
          </cell>
          <cell r="X1313">
            <v>0.8</v>
          </cell>
          <cell r="Y1313">
            <v>150</v>
          </cell>
          <cell r="Z1313">
            <v>300</v>
          </cell>
          <cell r="AA1313">
            <v>150</v>
          </cell>
          <cell r="AB1313">
            <v>103</v>
          </cell>
          <cell r="AC1313">
            <v>109</v>
          </cell>
          <cell r="AD1313">
            <v>131</v>
          </cell>
          <cell r="AE1313">
            <v>152.97999999999999</v>
          </cell>
          <cell r="AF1313">
            <v>0.42999084847692504</v>
          </cell>
          <cell r="AG1313">
            <v>0.71447248006275321</v>
          </cell>
          <cell r="AH1313">
            <v>168</v>
          </cell>
          <cell r="AI1313">
            <v>182</v>
          </cell>
          <cell r="AJ1313">
            <v>0.52087912087912092</v>
          </cell>
          <cell r="AK1313">
            <v>196</v>
          </cell>
          <cell r="AL1313">
            <v>210</v>
          </cell>
          <cell r="AM1313">
            <v>0.58476190476190471</v>
          </cell>
          <cell r="AN1313">
            <v>210</v>
          </cell>
          <cell r="AO1313">
            <v>210</v>
          </cell>
          <cell r="AP1313">
            <v>210</v>
          </cell>
          <cell r="AQ1313">
            <v>0</v>
          </cell>
          <cell r="AR1313">
            <v>425</v>
          </cell>
          <cell r="AS1313">
            <v>210</v>
          </cell>
        </row>
        <row r="1314">
          <cell r="B1314" t="str">
            <v>SPC</v>
          </cell>
          <cell r="C1314" t="str">
            <v>IMP</v>
          </cell>
          <cell r="D1314" t="str">
            <v>BT</v>
          </cell>
          <cell r="E1314" t="str">
            <v>08</v>
          </cell>
          <cell r="F1314">
            <v>40056</v>
          </cell>
          <cell r="G1314">
            <v>40056</v>
          </cell>
          <cell r="H1314" t="str">
            <v>A11G331</v>
          </cell>
          <cell r="I1314" t="str">
            <v>STKMA11G331MA</v>
          </cell>
          <cell r="J1314" t="str">
            <v>NLA</v>
          </cell>
          <cell r="K1314" t="str">
            <v>TN216M - C280/C220 Toner - Magenta</v>
          </cell>
          <cell r="L1314">
            <v>210</v>
          </cell>
          <cell r="M1314">
            <v>42</v>
          </cell>
          <cell r="N1314">
            <v>43.68</v>
          </cell>
          <cell r="O1314">
            <v>0.49908256880733948</v>
          </cell>
          <cell r="P1314">
            <v>87.2</v>
          </cell>
          <cell r="Q1314">
            <v>44.52</v>
          </cell>
          <cell r="R1314">
            <v>50.31</v>
          </cell>
          <cell r="S1314">
            <v>109</v>
          </cell>
          <cell r="T1314">
            <v>0.59926605504587149</v>
          </cell>
          <cell r="U1314">
            <v>39669.375200000002</v>
          </cell>
          <cell r="V1314">
            <v>0</v>
          </cell>
          <cell r="W1314">
            <v>87.2</v>
          </cell>
          <cell r="X1314">
            <v>0.8</v>
          </cell>
          <cell r="Y1314">
            <v>400</v>
          </cell>
          <cell r="Z1314">
            <v>200</v>
          </cell>
          <cell r="AA1314">
            <v>150</v>
          </cell>
          <cell r="AB1314">
            <v>103</v>
          </cell>
          <cell r="AC1314">
            <v>109</v>
          </cell>
          <cell r="AD1314">
            <v>131</v>
          </cell>
          <cell r="AE1314">
            <v>152.97999999999999</v>
          </cell>
          <cell r="AF1314">
            <v>0.42999084847692504</v>
          </cell>
          <cell r="AG1314">
            <v>0.71447248006275321</v>
          </cell>
          <cell r="AH1314">
            <v>168</v>
          </cell>
          <cell r="AI1314">
            <v>182</v>
          </cell>
          <cell r="AJ1314">
            <v>0.52087912087912092</v>
          </cell>
          <cell r="AK1314">
            <v>196</v>
          </cell>
          <cell r="AL1314">
            <v>210</v>
          </cell>
          <cell r="AM1314">
            <v>0.58476190476190471</v>
          </cell>
          <cell r="AN1314">
            <v>210</v>
          </cell>
          <cell r="AO1314">
            <v>210</v>
          </cell>
          <cell r="AP1314">
            <v>210</v>
          </cell>
          <cell r="AQ1314">
            <v>0</v>
          </cell>
          <cell r="AR1314">
            <v>460</v>
          </cell>
          <cell r="AS1314">
            <v>210</v>
          </cell>
        </row>
        <row r="1315">
          <cell r="B1315" t="str">
            <v>SPC</v>
          </cell>
          <cell r="C1315" t="str">
            <v>IMP</v>
          </cell>
          <cell r="D1315" t="str">
            <v>BT</v>
          </cell>
          <cell r="E1315" t="str">
            <v>08</v>
          </cell>
          <cell r="F1315">
            <v>40056</v>
          </cell>
          <cell r="G1315">
            <v>40056</v>
          </cell>
          <cell r="H1315" t="str">
            <v>A11G231</v>
          </cell>
          <cell r="I1315" t="str">
            <v>STKMA11G231YE</v>
          </cell>
          <cell r="K1315" t="str">
            <v>TN216Y - C280/C220 Toner - Yellow</v>
          </cell>
          <cell r="L1315">
            <v>210</v>
          </cell>
          <cell r="M1315">
            <v>42</v>
          </cell>
          <cell r="N1315">
            <v>43.68</v>
          </cell>
          <cell r="O1315">
            <v>0.49908256880733948</v>
          </cell>
          <cell r="P1315">
            <v>87.2</v>
          </cell>
          <cell r="Q1315">
            <v>44.52</v>
          </cell>
          <cell r="R1315">
            <v>50.31</v>
          </cell>
          <cell r="S1315">
            <v>109</v>
          </cell>
          <cell r="T1315">
            <v>0.59926605504587149</v>
          </cell>
          <cell r="U1315">
            <v>2016.5808</v>
          </cell>
          <cell r="V1315">
            <v>0</v>
          </cell>
          <cell r="W1315">
            <v>87.2</v>
          </cell>
          <cell r="X1315">
            <v>0.8</v>
          </cell>
          <cell r="Y1315">
            <v>0</v>
          </cell>
          <cell r="Z1315">
            <v>0</v>
          </cell>
          <cell r="AA1315">
            <v>150</v>
          </cell>
          <cell r="AB1315">
            <v>103</v>
          </cell>
          <cell r="AC1315">
            <v>109</v>
          </cell>
          <cell r="AD1315">
            <v>131</v>
          </cell>
          <cell r="AE1315">
            <v>152.97999999999999</v>
          </cell>
          <cell r="AF1315">
            <v>0.42999084847692504</v>
          </cell>
          <cell r="AG1315">
            <v>0.71447248006275321</v>
          </cell>
          <cell r="AH1315">
            <v>168</v>
          </cell>
          <cell r="AI1315">
            <v>182</v>
          </cell>
          <cell r="AJ1315">
            <v>0.52087912087912092</v>
          </cell>
          <cell r="AK1315">
            <v>196</v>
          </cell>
          <cell r="AL1315">
            <v>210</v>
          </cell>
          <cell r="AM1315">
            <v>0.58476190476190471</v>
          </cell>
          <cell r="AN1315">
            <v>210</v>
          </cell>
          <cell r="AO1315">
            <v>210</v>
          </cell>
          <cell r="AP1315">
            <v>210</v>
          </cell>
          <cell r="AQ1315">
            <v>0</v>
          </cell>
          <cell r="AR1315">
            <v>460</v>
          </cell>
          <cell r="AS1315">
            <v>210</v>
          </cell>
        </row>
        <row r="1316">
          <cell r="B1316" t="str">
            <v>SPC</v>
          </cell>
          <cell r="C1316" t="str">
            <v>IMP</v>
          </cell>
          <cell r="D1316" t="str">
            <v>BT</v>
          </cell>
          <cell r="E1316" t="str">
            <v>08</v>
          </cell>
          <cell r="F1316">
            <v>40064</v>
          </cell>
          <cell r="G1316">
            <v>40070</v>
          </cell>
          <cell r="H1316" t="str">
            <v>A0TM131</v>
          </cell>
          <cell r="I1316" t="str">
            <v>STKMA0TM131 </v>
          </cell>
          <cell r="K1316" t="str">
            <v>TN413K Toner - Black (45K)</v>
          </cell>
          <cell r="L1316">
            <v>100</v>
          </cell>
          <cell r="M1316">
            <v>25</v>
          </cell>
          <cell r="N1316">
            <v>26</v>
          </cell>
          <cell r="O1316">
            <v>0.27777777777777779</v>
          </cell>
          <cell r="P1316">
            <v>36</v>
          </cell>
          <cell r="Q1316">
            <v>26.5</v>
          </cell>
          <cell r="R1316">
            <v>29.95</v>
          </cell>
          <cell r="S1316">
            <v>45</v>
          </cell>
          <cell r="T1316">
            <v>0.42222222222222222</v>
          </cell>
          <cell r="U1316">
            <v>7922.0336000000007</v>
          </cell>
          <cell r="V1316">
            <v>0</v>
          </cell>
          <cell r="W1316">
            <v>36</v>
          </cell>
          <cell r="X1316">
            <v>0.8</v>
          </cell>
          <cell r="Y1316">
            <v>0</v>
          </cell>
          <cell r="Z1316">
            <v>0</v>
          </cell>
          <cell r="AA1316">
            <v>62</v>
          </cell>
          <cell r="AB1316">
            <v>43</v>
          </cell>
          <cell r="AC1316">
            <v>45</v>
          </cell>
          <cell r="AD1316">
            <v>55</v>
          </cell>
          <cell r="AE1316">
            <v>63.16</v>
          </cell>
          <cell r="AF1316">
            <v>0.43001899936668775</v>
          </cell>
          <cell r="AG1316">
            <v>0.58834705509816332</v>
          </cell>
          <cell r="AH1316">
            <v>73</v>
          </cell>
          <cell r="AI1316">
            <v>82</v>
          </cell>
          <cell r="AJ1316">
            <v>0.56097560975609762</v>
          </cell>
          <cell r="AK1316">
            <v>91</v>
          </cell>
          <cell r="AL1316">
            <v>100</v>
          </cell>
          <cell r="AM1316">
            <v>0.64</v>
          </cell>
          <cell r="AN1316">
            <v>100</v>
          </cell>
          <cell r="AO1316">
            <v>100</v>
          </cell>
          <cell r="AP1316">
            <v>100</v>
          </cell>
          <cell r="AQ1316">
            <v>0</v>
          </cell>
          <cell r="AR1316">
            <v>460</v>
          </cell>
          <cell r="AS1316">
            <v>100</v>
          </cell>
        </row>
        <row r="1317">
          <cell r="B1317" t="str">
            <v>AC</v>
          </cell>
          <cell r="C1317" t="str">
            <v>IMP</v>
          </cell>
          <cell r="D1317" t="str">
            <v>Oce</v>
          </cell>
          <cell r="E1317" t="str">
            <v>08</v>
          </cell>
          <cell r="F1317" t="str">
            <v>10/7/09</v>
          </cell>
          <cell r="G1317" t="str">
            <v>10/7/09</v>
          </cell>
          <cell r="H1317" t="str">
            <v>A1H60Y1</v>
          </cell>
          <cell r="I1317" t="str">
            <v>A02ER71300</v>
          </cell>
          <cell r="K1317" t="str">
            <v>Print Makeready Base Licence V4</v>
          </cell>
          <cell r="L1317">
            <v>8900</v>
          </cell>
          <cell r="M1317">
            <v>6075</v>
          </cell>
          <cell r="N1317">
            <v>6318</v>
          </cell>
          <cell r="O1317">
            <v>0</v>
          </cell>
          <cell r="P1317">
            <v>6318</v>
          </cell>
          <cell r="Q1317">
            <v>6502.02</v>
          </cell>
          <cell r="R1317">
            <v>7347.28</v>
          </cell>
          <cell r="S1317">
            <v>6750</v>
          </cell>
          <cell r="T1317">
            <v>6.4000000000000001E-2</v>
          </cell>
          <cell r="U1317">
            <v>6318</v>
          </cell>
          <cell r="V1317">
            <v>0</v>
          </cell>
          <cell r="W1317">
            <v>6318</v>
          </cell>
          <cell r="X1317">
            <v>0.93600000000000005</v>
          </cell>
          <cell r="Y1317">
            <v>50</v>
          </cell>
          <cell r="Z1317">
            <v>30</v>
          </cell>
          <cell r="AA1317">
            <v>17500</v>
          </cell>
          <cell r="AB1317">
            <v>6318</v>
          </cell>
          <cell r="AC1317">
            <v>7704.88</v>
          </cell>
          <cell r="AD1317">
            <v>12780.94</v>
          </cell>
          <cell r="AE1317">
            <v>17857</v>
          </cell>
          <cell r="AF1317">
            <v>0.64618916951335614</v>
          </cell>
          <cell r="AG1317">
            <v>0.64618916951335614</v>
          </cell>
          <cell r="AH1317">
            <v>16081.5</v>
          </cell>
          <cell r="AI1317">
            <v>14306</v>
          </cell>
          <cell r="AJ1317">
            <v>0.55836711869145816</v>
          </cell>
          <cell r="AK1317">
            <v>12530.5</v>
          </cell>
          <cell r="AL1317">
            <v>10755</v>
          </cell>
          <cell r="AM1317">
            <v>0.41255230125523012</v>
          </cell>
          <cell r="AN1317">
            <v>8980</v>
          </cell>
          <cell r="AO1317" t="str">
            <v>n/a</v>
          </cell>
          <cell r="AP1317" t="str">
            <v>n/a</v>
          </cell>
          <cell r="AQ1317">
            <v>0</v>
          </cell>
          <cell r="AS1317">
            <v>8980</v>
          </cell>
        </row>
        <row r="1318">
          <cell r="B1318" t="str">
            <v>TR</v>
          </cell>
          <cell r="C1318" t="str">
            <v>TR</v>
          </cell>
          <cell r="D1318" t="str">
            <v>KMBS</v>
          </cell>
          <cell r="E1318" t="str">
            <v>21</v>
          </cell>
          <cell r="F1318">
            <v>39924</v>
          </cell>
          <cell r="G1318">
            <v>39925</v>
          </cell>
          <cell r="H1318" t="str">
            <v>7640002939</v>
          </cell>
          <cell r="I1318" t="str">
            <v>KMBHP1050A/T_</v>
          </cell>
          <cell r="K1318" t="str">
            <v>Additional 1050 End-User Training (1 HR)</v>
          </cell>
          <cell r="L1318">
            <v>200</v>
          </cell>
          <cell r="M1318">
            <v>975</v>
          </cell>
          <cell r="N1318">
            <v>0</v>
          </cell>
          <cell r="O1318">
            <v>0.11633986928104575</v>
          </cell>
          <cell r="P1318" t="str">
            <v>N/A</v>
          </cell>
          <cell r="Q1318" t="str">
            <v>N/A</v>
          </cell>
          <cell r="R1318">
            <v>1179.19</v>
          </cell>
          <cell r="S1318" t="str">
            <v>N/A</v>
          </cell>
          <cell r="T1318">
            <v>0.24888888888888888</v>
          </cell>
          <cell r="U1318">
            <v>1161</v>
          </cell>
          <cell r="V1318">
            <v>0.12661498708010335</v>
          </cell>
          <cell r="W1318">
            <v>1147.5</v>
          </cell>
          <cell r="X1318">
            <v>0.85</v>
          </cell>
          <cell r="Y1318">
            <v>0</v>
          </cell>
          <cell r="Z1318">
            <v>0</v>
          </cell>
          <cell r="AA1318">
            <v>200</v>
          </cell>
          <cell r="AB1318">
            <v>200</v>
          </cell>
          <cell r="AC1318">
            <v>200</v>
          </cell>
          <cell r="AD1318">
            <v>200</v>
          </cell>
          <cell r="AE1318">
            <v>200</v>
          </cell>
          <cell r="AF1318">
            <v>0.93573948591588729</v>
          </cell>
          <cell r="AG1318">
            <v>0.94321554572436583</v>
          </cell>
          <cell r="AH1318">
            <v>200</v>
          </cell>
          <cell r="AI1318">
            <v>200</v>
          </cell>
          <cell r="AJ1318">
            <v>0.89957115350953964</v>
          </cell>
          <cell r="AK1318">
            <v>200</v>
          </cell>
          <cell r="AL1318">
            <v>200</v>
          </cell>
          <cell r="AM1318">
            <v>0.77027027027027029</v>
          </cell>
          <cell r="AN1318">
            <v>200</v>
          </cell>
          <cell r="AO1318">
            <v>200</v>
          </cell>
          <cell r="AP1318">
            <v>200</v>
          </cell>
          <cell r="AQ1318">
            <v>0.5</v>
          </cell>
          <cell r="AS1318">
            <v>200</v>
          </cell>
        </row>
        <row r="1319">
          <cell r="B1319" t="str">
            <v>TR</v>
          </cell>
          <cell r="C1319" t="str">
            <v>TR</v>
          </cell>
          <cell r="D1319" t="str">
            <v>KMBS</v>
          </cell>
          <cell r="E1319" t="str">
            <v>21</v>
          </cell>
          <cell r="F1319">
            <v>39924</v>
          </cell>
          <cell r="G1319">
            <v>39925</v>
          </cell>
          <cell r="H1319" t="str">
            <v>7640002940</v>
          </cell>
          <cell r="I1319" t="str">
            <v>3KMB7640002940</v>
          </cell>
          <cell r="K1319" t="str">
            <v>Additional C5500/C5501/C6500/C6501 End-User Training (1 HR)</v>
          </cell>
          <cell r="L1319">
            <v>200</v>
          </cell>
          <cell r="M1319">
            <v>1</v>
          </cell>
          <cell r="N1319">
            <v>0</v>
          </cell>
          <cell r="O1319">
            <v>0.87764705882352945</v>
          </cell>
          <cell r="P1319" t="str">
            <v>N/A</v>
          </cell>
          <cell r="Q1319" t="str">
            <v>N/A</v>
          </cell>
          <cell r="R1319">
            <v>1.21</v>
          </cell>
          <cell r="S1319" t="str">
            <v>N/A</v>
          </cell>
          <cell r="T1319">
            <v>0.89600000000000013</v>
          </cell>
          <cell r="U1319">
            <v>7.7439999999999998</v>
          </cell>
          <cell r="V1319">
            <v>0.86570247933884292</v>
          </cell>
          <cell r="W1319">
            <v>8.5</v>
          </cell>
          <cell r="X1319">
            <v>0.85</v>
          </cell>
          <cell r="Y1319">
            <v>0</v>
          </cell>
          <cell r="Z1319">
            <v>0</v>
          </cell>
          <cell r="AA1319">
            <v>200</v>
          </cell>
          <cell r="AB1319">
            <v>200</v>
          </cell>
          <cell r="AC1319">
            <v>200</v>
          </cell>
          <cell r="AD1319">
            <v>200</v>
          </cell>
          <cell r="AE1319">
            <v>200</v>
          </cell>
          <cell r="AF1319">
            <v>0.99952399619196952</v>
          </cell>
          <cell r="AG1319">
            <v>0.99994175953407627</v>
          </cell>
          <cell r="AH1319">
            <v>200</v>
          </cell>
          <cell r="AI1319">
            <v>200</v>
          </cell>
          <cell r="AJ1319">
            <v>0.99920712653327737</v>
          </cell>
          <cell r="AK1319">
            <v>200</v>
          </cell>
          <cell r="AL1319">
            <v>200</v>
          </cell>
          <cell r="AM1319">
            <v>0.9976283482142857</v>
          </cell>
          <cell r="AN1319">
            <v>200</v>
          </cell>
          <cell r="AO1319">
            <v>200</v>
          </cell>
          <cell r="AP1319">
            <v>200</v>
          </cell>
          <cell r="AQ1319">
            <v>0.5</v>
          </cell>
          <cell r="AS1319">
            <v>200</v>
          </cell>
        </row>
        <row r="1320">
          <cell r="B1320" t="str">
            <v>AC</v>
          </cell>
          <cell r="C1320" t="str">
            <v>IMP</v>
          </cell>
          <cell r="D1320" t="str">
            <v>Oce</v>
          </cell>
          <cell r="E1320" t="str">
            <v>08</v>
          </cell>
          <cell r="F1320" t="str">
            <v>10/7/09</v>
          </cell>
          <cell r="G1320" t="str">
            <v>10/7/09</v>
          </cell>
          <cell r="H1320" t="str">
            <v>A1H70Y1</v>
          </cell>
          <cell r="I1320" t="str">
            <v>9KMBHC200_N</v>
          </cell>
          <cell r="K1320" t="str">
            <v>Dongle for Dpconvert</v>
          </cell>
          <cell r="L1320">
            <v>8900</v>
          </cell>
          <cell r="M1320">
            <v>112</v>
          </cell>
          <cell r="N1320">
            <v>116.48</v>
          </cell>
          <cell r="O1320">
            <v>0.4031563845050215</v>
          </cell>
          <cell r="P1320">
            <v>195.16</v>
          </cell>
          <cell r="Q1320">
            <v>119.87</v>
          </cell>
          <cell r="R1320">
            <v>135.44999999999999</v>
          </cell>
          <cell r="S1320">
            <v>229.6</v>
          </cell>
          <cell r="T1320">
            <v>0.49268292682926829</v>
          </cell>
          <cell r="U1320">
            <v>177.80223999999998</v>
          </cell>
          <cell r="V1320">
            <v>0.34489014311630711</v>
          </cell>
          <cell r="W1320">
            <v>195.16</v>
          </cell>
          <cell r="X1320">
            <v>0.85</v>
          </cell>
          <cell r="Y1320">
            <v>150</v>
          </cell>
          <cell r="Z1320">
            <v>175</v>
          </cell>
          <cell r="AA1320">
            <v>17500</v>
          </cell>
          <cell r="AB1320">
            <v>195.16</v>
          </cell>
          <cell r="AC1320">
            <v>238</v>
          </cell>
          <cell r="AD1320">
            <v>9047.5</v>
          </cell>
          <cell r="AE1320">
            <v>17857</v>
          </cell>
          <cell r="AF1320">
            <v>0.98907095256762056</v>
          </cell>
          <cell r="AG1320">
            <v>0.99347706781654255</v>
          </cell>
          <cell r="AH1320">
            <v>16065.5</v>
          </cell>
          <cell r="AI1320">
            <v>14274</v>
          </cell>
          <cell r="AJ1320">
            <v>0.98632758862267056</v>
          </cell>
          <cell r="AK1320">
            <v>12482.5</v>
          </cell>
          <cell r="AL1320">
            <v>10691</v>
          </cell>
          <cell r="AM1320">
            <v>0.98174539332148536</v>
          </cell>
          <cell r="AN1320">
            <v>8900</v>
          </cell>
          <cell r="AO1320" t="str">
            <v>n/a</v>
          </cell>
          <cell r="AP1320" t="str">
            <v>n/a</v>
          </cell>
          <cell r="AQ1320">
            <v>0</v>
          </cell>
          <cell r="AR1320">
            <v>400</v>
          </cell>
          <cell r="AS1320">
            <v>8900</v>
          </cell>
        </row>
        <row r="1321">
          <cell r="B1321" t="str">
            <v>TR</v>
          </cell>
          <cell r="C1321" t="str">
            <v>TR</v>
          </cell>
          <cell r="D1321" t="str">
            <v>KMBS</v>
          </cell>
          <cell r="E1321" t="str">
            <v>08</v>
          </cell>
          <cell r="F1321">
            <v>39924</v>
          </cell>
          <cell r="G1321">
            <v>39924</v>
          </cell>
          <cell r="H1321" t="str">
            <v>7640006601</v>
          </cell>
          <cell r="I1321" t="str">
            <v>KM BHP 2500 SERIES O/T</v>
          </cell>
          <cell r="K1321" t="str">
            <v>Operator Training</v>
          </cell>
          <cell r="L1321">
            <v>3350</v>
          </cell>
          <cell r="M1321">
            <v>7190</v>
          </cell>
          <cell r="N1321">
            <v>0</v>
          </cell>
          <cell r="O1321">
            <v>1</v>
          </cell>
          <cell r="P1321">
            <v>2256.75</v>
          </cell>
          <cell r="Q1321">
            <v>7695.39</v>
          </cell>
          <cell r="R1321">
            <v>8695.7900000000009</v>
          </cell>
          <cell r="S1321">
            <v>2655</v>
          </cell>
          <cell r="T1321">
            <v>1</v>
          </cell>
          <cell r="U1321">
            <v>8231.232</v>
          </cell>
          <cell r="V1321">
            <v>9.1557618592210691E-2</v>
          </cell>
          <cell r="W1321">
            <v>2256.75</v>
          </cell>
          <cell r="X1321">
            <v>0.85</v>
          </cell>
          <cell r="Y1321">
            <v>50</v>
          </cell>
          <cell r="Z1321">
            <v>30</v>
          </cell>
          <cell r="AA1321">
            <v>2752</v>
          </cell>
          <cell r="AB1321">
            <v>2508</v>
          </cell>
          <cell r="AC1321">
            <v>2655</v>
          </cell>
          <cell r="AD1321">
            <v>2732</v>
          </cell>
          <cell r="AE1321">
            <v>2808</v>
          </cell>
          <cell r="AF1321">
            <v>0.19631410256410256</v>
          </cell>
          <cell r="AG1321">
            <v>1</v>
          </cell>
          <cell r="AH1321">
            <v>2944</v>
          </cell>
          <cell r="AI1321">
            <v>3079</v>
          </cell>
          <cell r="AJ1321">
            <v>0.26705099058135756</v>
          </cell>
          <cell r="AK1321">
            <v>3214.5</v>
          </cell>
          <cell r="AL1321">
            <v>3350</v>
          </cell>
          <cell r="AM1321">
            <v>0.32634328358208953</v>
          </cell>
          <cell r="AN1321">
            <v>3350</v>
          </cell>
          <cell r="AO1321">
            <v>3350</v>
          </cell>
          <cell r="AP1321">
            <v>3350</v>
          </cell>
          <cell r="AQ1321">
            <v>0</v>
          </cell>
          <cell r="AS1321">
            <v>3350</v>
          </cell>
        </row>
        <row r="1322">
          <cell r="B1322" t="str">
            <v>TR</v>
          </cell>
          <cell r="C1322" t="str">
            <v>TR</v>
          </cell>
          <cell r="D1322" t="str">
            <v>KMBS</v>
          </cell>
          <cell r="E1322" t="str">
            <v>08</v>
          </cell>
          <cell r="F1322">
            <v>39924</v>
          </cell>
          <cell r="G1322">
            <v>39924</v>
          </cell>
          <cell r="H1322" t="str">
            <v>7640006602</v>
          </cell>
          <cell r="I1322" t="str">
            <v>KM BHP 2500 SERIES S/I</v>
          </cell>
          <cell r="K1322" t="str">
            <v>System Integration (2 days)</v>
          </cell>
          <cell r="L1322">
            <v>3350</v>
          </cell>
          <cell r="M1322">
            <v>9430</v>
          </cell>
          <cell r="N1322">
            <v>0</v>
          </cell>
          <cell r="O1322">
            <v>1</v>
          </cell>
          <cell r="P1322">
            <v>2256.75</v>
          </cell>
          <cell r="Q1322">
            <v>10092.85</v>
          </cell>
          <cell r="R1322">
            <v>11404.92</v>
          </cell>
          <cell r="S1322">
            <v>2655</v>
          </cell>
          <cell r="T1322">
            <v>1</v>
          </cell>
          <cell r="U1322">
            <v>10376.959999999999</v>
          </cell>
          <cell r="V1322">
            <v>5.4906253854693325E-2</v>
          </cell>
          <cell r="W1322">
            <v>2256.75</v>
          </cell>
          <cell r="X1322">
            <v>0.85</v>
          </cell>
          <cell r="Y1322">
            <v>50</v>
          </cell>
          <cell r="Z1322">
            <v>30</v>
          </cell>
          <cell r="AA1322">
            <v>2752</v>
          </cell>
          <cell r="AB1322">
            <v>2508</v>
          </cell>
          <cell r="AC1322">
            <v>2655</v>
          </cell>
          <cell r="AD1322">
            <v>2732</v>
          </cell>
          <cell r="AE1322">
            <v>2808</v>
          </cell>
          <cell r="AF1322">
            <v>0.19631410256410256</v>
          </cell>
          <cell r="AG1322">
            <v>1</v>
          </cell>
          <cell r="AH1322">
            <v>2944</v>
          </cell>
          <cell r="AI1322">
            <v>3079</v>
          </cell>
          <cell r="AJ1322">
            <v>0.26705099058135756</v>
          </cell>
          <cell r="AK1322">
            <v>3214.5</v>
          </cell>
          <cell r="AL1322">
            <v>3350</v>
          </cell>
          <cell r="AM1322">
            <v>0.32634328358208953</v>
          </cell>
          <cell r="AN1322">
            <v>3350</v>
          </cell>
          <cell r="AO1322">
            <v>3350</v>
          </cell>
          <cell r="AP1322">
            <v>3350</v>
          </cell>
          <cell r="AQ1322">
            <v>0</v>
          </cell>
          <cell r="AS1322">
            <v>3350</v>
          </cell>
        </row>
        <row r="1323">
          <cell r="B1323" t="str">
            <v>TR</v>
          </cell>
          <cell r="C1323" t="str">
            <v>TR</v>
          </cell>
          <cell r="D1323" t="str">
            <v>KMBS</v>
          </cell>
          <cell r="E1323" t="str">
            <v>08</v>
          </cell>
          <cell r="F1323">
            <v>39924</v>
          </cell>
          <cell r="G1323">
            <v>39924</v>
          </cell>
          <cell r="H1323" t="str">
            <v>7640006603</v>
          </cell>
          <cell r="I1323" t="str">
            <v>KM BHP 2500 SERIES A/T</v>
          </cell>
          <cell r="K1323" t="str">
            <v>Additional Training (Half day = 4 hours)</v>
          </cell>
          <cell r="L1323">
            <v>980</v>
          </cell>
          <cell r="M1323">
            <v>11080</v>
          </cell>
          <cell r="N1323">
            <v>0</v>
          </cell>
          <cell r="O1323">
            <v>1</v>
          </cell>
          <cell r="P1323">
            <v>650.25</v>
          </cell>
          <cell r="Q1323">
            <v>11858.83</v>
          </cell>
          <cell r="R1323">
            <v>13400.48</v>
          </cell>
          <cell r="S1323">
            <v>765</v>
          </cell>
          <cell r="T1323">
            <v>1</v>
          </cell>
          <cell r="U1323">
            <v>14823.87456</v>
          </cell>
          <cell r="V1323">
            <v>0.22265936929245031</v>
          </cell>
          <cell r="W1323">
            <v>650.25</v>
          </cell>
          <cell r="X1323">
            <v>0.85</v>
          </cell>
          <cell r="Y1323">
            <v>50</v>
          </cell>
          <cell r="Z1323">
            <v>30</v>
          </cell>
          <cell r="AA1323">
            <v>793</v>
          </cell>
          <cell r="AB1323">
            <v>723</v>
          </cell>
          <cell r="AC1323">
            <v>765</v>
          </cell>
          <cell r="AD1323">
            <v>787</v>
          </cell>
          <cell r="AE1323">
            <v>809</v>
          </cell>
          <cell r="AF1323">
            <v>0.19622991347342397</v>
          </cell>
          <cell r="AG1323">
            <v>1</v>
          </cell>
          <cell r="AH1323">
            <v>852</v>
          </cell>
          <cell r="AI1323">
            <v>895</v>
          </cell>
          <cell r="AJ1323">
            <v>0.27346368715083796</v>
          </cell>
          <cell r="AK1323">
            <v>937.5</v>
          </cell>
          <cell r="AL1323">
            <v>980</v>
          </cell>
          <cell r="AM1323">
            <v>0.3364795918367347</v>
          </cell>
          <cell r="AN1323">
            <v>980</v>
          </cell>
          <cell r="AO1323">
            <v>980</v>
          </cell>
          <cell r="AP1323">
            <v>980</v>
          </cell>
          <cell r="AQ1323">
            <v>0</v>
          </cell>
          <cell r="AR1323">
            <v>671</v>
          </cell>
          <cell r="AS1323">
            <v>980</v>
          </cell>
        </row>
        <row r="1324">
          <cell r="B1324" t="str">
            <v>AC</v>
          </cell>
          <cell r="C1324" t="str">
            <v>IMP</v>
          </cell>
          <cell r="D1324" t="str">
            <v>Oce</v>
          </cell>
          <cell r="E1324" t="str">
            <v>08</v>
          </cell>
          <cell r="F1324" t="str">
            <v>10/7/09</v>
          </cell>
          <cell r="G1324" t="str">
            <v>10/7/09</v>
          </cell>
          <cell r="H1324" t="str">
            <v>A1H70Y5</v>
          </cell>
          <cell r="K1324" t="str">
            <v>Dpconvert Licence V2 Demo</v>
          </cell>
          <cell r="L1324">
            <v>253</v>
          </cell>
          <cell r="M1324">
            <v>87.5</v>
          </cell>
          <cell r="N1324">
            <v>91</v>
          </cell>
          <cell r="O1324">
            <v>0.32241250930752052</v>
          </cell>
          <cell r="P1324">
            <v>134.30000000000001</v>
          </cell>
          <cell r="Q1324">
            <v>93.65</v>
          </cell>
          <cell r="R1324">
            <v>105.82</v>
          </cell>
          <cell r="S1324">
            <v>158</v>
          </cell>
          <cell r="T1324">
            <v>0.42405063291139239</v>
          </cell>
          <cell r="U1324">
            <v>122.3552</v>
          </cell>
          <cell r="V1324">
            <v>0.2562637305157443</v>
          </cell>
          <cell r="W1324">
            <v>134.30000000000001</v>
          </cell>
          <cell r="X1324">
            <v>0.85000000000000009</v>
          </cell>
          <cell r="Y1324">
            <v>0</v>
          </cell>
          <cell r="Z1324">
            <v>0</v>
          </cell>
          <cell r="AA1324">
            <v>17500</v>
          </cell>
          <cell r="AB1324">
            <v>134.30000000000001</v>
          </cell>
          <cell r="AC1324">
            <v>163.78</v>
          </cell>
          <cell r="AD1324">
            <v>9010.39</v>
          </cell>
          <cell r="AE1324">
            <v>17857</v>
          </cell>
          <cell r="AF1324">
            <v>0.99247913983311875</v>
          </cell>
          <cell r="AG1324">
            <v>0.99490395923167385</v>
          </cell>
          <cell r="AH1324">
            <v>14336.25</v>
          </cell>
          <cell r="AI1324">
            <v>10815.5</v>
          </cell>
          <cell r="AJ1324">
            <v>0.98758263603162133</v>
          </cell>
          <cell r="AK1324">
            <v>7294.75</v>
          </cell>
          <cell r="AL1324">
            <v>3774</v>
          </cell>
          <cell r="AM1324">
            <v>0.96441441441441433</v>
          </cell>
          <cell r="AN1324">
            <v>253</v>
          </cell>
          <cell r="AO1324" t="str">
            <v>n/a</v>
          </cell>
          <cell r="AP1324" t="str">
            <v>n/a</v>
          </cell>
          <cell r="AQ1324">
            <v>0</v>
          </cell>
          <cell r="AR1324">
            <v>671</v>
          </cell>
          <cell r="AS1324">
            <v>253</v>
          </cell>
        </row>
        <row r="1325">
          <cell r="B1325" t="str">
            <v>TR</v>
          </cell>
          <cell r="C1325" t="str">
            <v>TR</v>
          </cell>
          <cell r="D1325" t="str">
            <v>KMBS</v>
          </cell>
          <cell r="E1325" t="str">
            <v>21</v>
          </cell>
          <cell r="F1325">
            <v>40259</v>
          </cell>
          <cell r="G1325">
            <v>40259</v>
          </cell>
          <cell r="H1325" t="str">
            <v>7640012598</v>
          </cell>
          <cell r="I1325" t="str">
            <v>KMBHP1050A/T_</v>
          </cell>
          <cell r="K1325" t="str">
            <v>Prof Svc Unit - Kodak Digimaster</v>
          </cell>
          <cell r="L1325">
            <v>200</v>
          </cell>
          <cell r="M1325">
            <v>3500</v>
          </cell>
          <cell r="N1325">
            <v>0</v>
          </cell>
          <cell r="O1325">
            <v>0.3202614379084967</v>
          </cell>
          <cell r="P1325" t="str">
            <v>N/A</v>
          </cell>
          <cell r="Q1325" t="str">
            <v>N/A</v>
          </cell>
          <cell r="R1325">
            <v>4233</v>
          </cell>
          <cell r="S1325" t="str">
            <v>N/A</v>
          </cell>
          <cell r="T1325">
            <v>0.42222222222222222</v>
          </cell>
          <cell r="U1325">
            <v>4878.72</v>
          </cell>
          <cell r="V1325">
            <v>0.25390266299357211</v>
          </cell>
          <cell r="W1325">
            <v>5355</v>
          </cell>
          <cell r="X1325">
            <v>0.85</v>
          </cell>
          <cell r="Y1325">
            <v>50</v>
          </cell>
          <cell r="Z1325">
            <v>30</v>
          </cell>
          <cell r="AA1325">
            <v>200</v>
          </cell>
          <cell r="AB1325">
            <v>200</v>
          </cell>
          <cell r="AC1325">
            <v>200</v>
          </cell>
          <cell r="AD1325">
            <v>200</v>
          </cell>
          <cell r="AE1325">
            <v>200</v>
          </cell>
          <cell r="AF1325">
            <v>0.70011760094080755</v>
          </cell>
          <cell r="AG1325">
            <v>0.79615836926695416</v>
          </cell>
          <cell r="AH1325">
            <v>200</v>
          </cell>
          <cell r="AI1325">
            <v>200</v>
          </cell>
          <cell r="AJ1325">
            <v>0.62568153222424161</v>
          </cell>
          <cell r="AK1325">
            <v>200</v>
          </cell>
          <cell r="AL1325">
            <v>200</v>
          </cell>
          <cell r="AM1325">
            <v>0.502092050209205</v>
          </cell>
          <cell r="AN1325">
            <v>200</v>
          </cell>
          <cell r="AO1325">
            <v>200</v>
          </cell>
          <cell r="AP1325">
            <v>200</v>
          </cell>
          <cell r="AQ1325">
            <v>0.5</v>
          </cell>
          <cell r="AR1325">
            <v>671</v>
          </cell>
          <cell r="AS1325">
            <v>200</v>
          </cell>
        </row>
        <row r="1326">
          <cell r="B1326" t="str">
            <v>TR</v>
          </cell>
          <cell r="C1326" t="str">
            <v>TR</v>
          </cell>
          <cell r="D1326" t="str">
            <v>KMBS</v>
          </cell>
          <cell r="E1326" t="str">
            <v>21</v>
          </cell>
          <cell r="F1326">
            <v>40259</v>
          </cell>
          <cell r="G1326">
            <v>40259</v>
          </cell>
          <cell r="H1326" t="str">
            <v>7640012599</v>
          </cell>
          <cell r="I1326" t="str">
            <v>KMBHP1050A/T_</v>
          </cell>
          <cell r="K1326" t="str">
            <v>Prof Svc Unit - 2500P-2000P-1600P</v>
          </cell>
          <cell r="L1326">
            <v>200</v>
          </cell>
          <cell r="M1326">
            <v>1</v>
          </cell>
          <cell r="N1326">
            <v>0</v>
          </cell>
          <cell r="O1326">
            <v>0.87764705882352945</v>
          </cell>
          <cell r="P1326" t="str">
            <v>N/A</v>
          </cell>
          <cell r="Q1326" t="str">
            <v>N/A</v>
          </cell>
          <cell r="R1326">
            <v>1.21</v>
          </cell>
          <cell r="S1326" t="str">
            <v>N/A</v>
          </cell>
          <cell r="T1326">
            <v>0.89600000000000013</v>
          </cell>
          <cell r="U1326">
            <v>7.7439999999999998</v>
          </cell>
          <cell r="V1326">
            <v>0.86570247933884292</v>
          </cell>
          <cell r="W1326">
            <v>8.5</v>
          </cell>
          <cell r="X1326">
            <v>0.85</v>
          </cell>
          <cell r="Y1326">
            <v>0</v>
          </cell>
          <cell r="Z1326">
            <v>0</v>
          </cell>
          <cell r="AA1326">
            <v>200</v>
          </cell>
          <cell r="AB1326">
            <v>200</v>
          </cell>
          <cell r="AC1326">
            <v>200</v>
          </cell>
          <cell r="AD1326">
            <v>200</v>
          </cell>
          <cell r="AE1326">
            <v>200</v>
          </cell>
          <cell r="AF1326">
            <v>0.99952399619196952</v>
          </cell>
          <cell r="AG1326">
            <v>0.99994175953407627</v>
          </cell>
          <cell r="AH1326">
            <v>200</v>
          </cell>
          <cell r="AI1326">
            <v>200</v>
          </cell>
          <cell r="AJ1326">
            <v>0.9992251595259799</v>
          </cell>
          <cell r="AK1326">
            <v>200</v>
          </cell>
          <cell r="AL1326">
            <v>200</v>
          </cell>
          <cell r="AM1326">
            <v>0.99791819740386967</v>
          </cell>
          <cell r="AN1326">
            <v>200</v>
          </cell>
          <cell r="AO1326">
            <v>200</v>
          </cell>
          <cell r="AP1326">
            <v>200</v>
          </cell>
          <cell r="AQ1326">
            <v>0.5</v>
          </cell>
          <cell r="AS1326">
            <v>200</v>
          </cell>
        </row>
        <row r="1327">
          <cell r="B1327" t="str">
            <v>TR</v>
          </cell>
          <cell r="C1327" t="str">
            <v>TR</v>
          </cell>
          <cell r="D1327" t="str">
            <v>KMBS</v>
          </cell>
          <cell r="E1327" t="str">
            <v>21</v>
          </cell>
          <cell r="F1327">
            <v>40259</v>
          </cell>
          <cell r="G1327">
            <v>40259</v>
          </cell>
          <cell r="H1327" t="str">
            <v>7640012600</v>
          </cell>
          <cell r="I1327" t="str">
            <v>KMBHP1050A/T_</v>
          </cell>
          <cell r="K1327" t="str">
            <v>Prof Svc Unit - 1200-1051</v>
          </cell>
          <cell r="L1327">
            <v>200</v>
          </cell>
          <cell r="M1327">
            <v>525</v>
          </cell>
          <cell r="N1327">
            <v>0</v>
          </cell>
          <cell r="O1327">
            <v>0.49019607843137253</v>
          </cell>
          <cell r="P1327" t="str">
            <v>N/A</v>
          </cell>
          <cell r="Q1327" t="str">
            <v>N/A</v>
          </cell>
          <cell r="R1327">
            <v>634.95000000000005</v>
          </cell>
          <cell r="S1327" t="str">
            <v>N/A</v>
          </cell>
          <cell r="T1327">
            <v>0.56666666666666665</v>
          </cell>
          <cell r="U1327">
            <v>975.74399999999991</v>
          </cell>
          <cell r="V1327">
            <v>0.44042699724517903</v>
          </cell>
          <cell r="W1327">
            <v>1071</v>
          </cell>
          <cell r="X1327">
            <v>0.85</v>
          </cell>
          <cell r="Y1327">
            <v>0</v>
          </cell>
          <cell r="Z1327">
            <v>0</v>
          </cell>
          <cell r="AA1327">
            <v>200</v>
          </cell>
          <cell r="AB1327">
            <v>200</v>
          </cell>
          <cell r="AC1327">
            <v>200</v>
          </cell>
          <cell r="AD1327">
            <v>200</v>
          </cell>
          <cell r="AE1327">
            <v>200</v>
          </cell>
          <cell r="AF1327">
            <v>0.94002352018816149</v>
          </cell>
          <cell r="AG1327">
            <v>0.96942375539004311</v>
          </cell>
          <cell r="AH1327">
            <v>200</v>
          </cell>
          <cell r="AI1327">
            <v>200</v>
          </cell>
          <cell r="AJ1327">
            <v>0.90626640994223695</v>
          </cell>
          <cell r="AK1327">
            <v>200</v>
          </cell>
          <cell r="AL1327">
            <v>200</v>
          </cell>
          <cell r="AM1327">
            <v>0.78558558558558556</v>
          </cell>
          <cell r="AN1327">
            <v>200</v>
          </cell>
          <cell r="AO1327">
            <v>200</v>
          </cell>
          <cell r="AP1327">
            <v>200</v>
          </cell>
          <cell r="AQ1327">
            <v>0.5</v>
          </cell>
          <cell r="AS1327">
            <v>200</v>
          </cell>
        </row>
        <row r="1328">
          <cell r="B1328" t="str">
            <v>TR</v>
          </cell>
          <cell r="C1328" t="str">
            <v>TR</v>
          </cell>
          <cell r="D1328" t="str">
            <v>KMBS</v>
          </cell>
          <cell r="E1328" t="str">
            <v>21</v>
          </cell>
          <cell r="F1328">
            <v>40259</v>
          </cell>
          <cell r="G1328">
            <v>40259</v>
          </cell>
          <cell r="H1328" t="str">
            <v>7640012601</v>
          </cell>
          <cell r="I1328" t="str">
            <v>KMBHP1050A/T_</v>
          </cell>
          <cell r="K1328" t="str">
            <v>Prof Svc Unit - 950</v>
          </cell>
          <cell r="L1328">
            <v>200</v>
          </cell>
          <cell r="M1328">
            <v>0</v>
          </cell>
          <cell r="N1328">
            <v>0</v>
          </cell>
          <cell r="O1328">
            <v>0</v>
          </cell>
          <cell r="P1328" t="str">
            <v>N/A</v>
          </cell>
          <cell r="Q1328" t="str">
            <v>N/A</v>
          </cell>
          <cell r="R1328">
            <v>0</v>
          </cell>
          <cell r="S1328" t="str">
            <v>N/A</v>
          </cell>
          <cell r="T1328">
            <v>0</v>
          </cell>
          <cell r="U1328">
            <v>0</v>
          </cell>
          <cell r="V1328">
            <v>0</v>
          </cell>
          <cell r="W1328">
            <v>0</v>
          </cell>
          <cell r="X1328">
            <v>0</v>
          </cell>
          <cell r="Y1328" t="str">
            <v>Act freight</v>
          </cell>
          <cell r="AA1328">
            <v>200</v>
          </cell>
          <cell r="AB1328">
            <v>200</v>
          </cell>
          <cell r="AC1328">
            <v>200</v>
          </cell>
          <cell r="AD1328">
            <v>200</v>
          </cell>
          <cell r="AE1328">
            <v>200</v>
          </cell>
          <cell r="AF1328">
            <v>0</v>
          </cell>
          <cell r="AG1328">
            <v>0</v>
          </cell>
          <cell r="AH1328">
            <v>200</v>
          </cell>
          <cell r="AI1328">
            <v>200</v>
          </cell>
          <cell r="AJ1328">
            <v>0</v>
          </cell>
          <cell r="AK1328">
            <v>200</v>
          </cell>
          <cell r="AL1328">
            <v>200</v>
          </cell>
          <cell r="AM1328">
            <v>0</v>
          </cell>
          <cell r="AN1328">
            <v>200</v>
          </cell>
          <cell r="AO1328">
            <v>200</v>
          </cell>
          <cell r="AP1328">
            <v>200</v>
          </cell>
          <cell r="AQ1328">
            <v>0.5</v>
          </cell>
          <cell r="AS1328">
            <v>200</v>
          </cell>
        </row>
        <row r="1329">
          <cell r="B1329" t="str">
            <v>TR</v>
          </cell>
          <cell r="C1329" t="str">
            <v>TR</v>
          </cell>
          <cell r="D1329" t="str">
            <v>KMBS</v>
          </cell>
          <cell r="E1329" t="str">
            <v>21</v>
          </cell>
          <cell r="F1329">
            <v>40259</v>
          </cell>
          <cell r="G1329">
            <v>40259</v>
          </cell>
          <cell r="H1329" t="str">
            <v>7640012602</v>
          </cell>
          <cell r="I1329" t="str">
            <v>KMBHP1050A/T_</v>
          </cell>
          <cell r="K1329" t="str">
            <v>Prof Svc Unit - C6501-C65Hc-C5501</v>
          </cell>
          <cell r="L1329">
            <v>200</v>
          </cell>
          <cell r="M1329">
            <v>2495</v>
          </cell>
          <cell r="N1329">
            <v>0</v>
          </cell>
          <cell r="O1329">
            <v>0.10769097222222225</v>
          </cell>
          <cell r="P1329" t="str">
            <v>N/A</v>
          </cell>
          <cell r="Q1329" t="str">
            <v>N/A</v>
          </cell>
          <cell r="R1329">
            <v>2988.51</v>
          </cell>
          <cell r="S1329" t="str">
            <v>N/A</v>
          </cell>
          <cell r="T1329">
            <v>0.28615277777777781</v>
          </cell>
          <cell r="U1329">
            <v>2787.84</v>
          </cell>
          <cell r="V1329">
            <v>7.8193153122130474E-2</v>
          </cell>
          <cell r="W1329">
            <v>2880</v>
          </cell>
          <cell r="X1329">
            <v>0.8</v>
          </cell>
          <cell r="Y1329" t="str">
            <v>Act freight</v>
          </cell>
          <cell r="AA1329">
            <v>200</v>
          </cell>
          <cell r="AB1329">
            <v>200</v>
          </cell>
          <cell r="AC1329">
            <v>200</v>
          </cell>
          <cell r="AD1329">
            <v>200</v>
          </cell>
          <cell r="AE1329">
            <v>200</v>
          </cell>
          <cell r="AF1329">
            <v>0.19000101249873436</v>
          </cell>
          <cell r="AG1329">
            <v>0.27723059096176134</v>
          </cell>
          <cell r="AH1329">
            <v>200</v>
          </cell>
          <cell r="AI1329">
            <v>200</v>
          </cell>
          <cell r="AJ1329">
            <v>0.33781077483037147</v>
          </cell>
          <cell r="AK1329">
            <v>200</v>
          </cell>
          <cell r="AL1329">
            <v>200</v>
          </cell>
          <cell r="AM1329">
            <v>0.44000031111093824</v>
          </cell>
          <cell r="AN1329">
            <v>200</v>
          </cell>
          <cell r="AO1329">
            <v>200</v>
          </cell>
          <cell r="AP1329">
            <v>200</v>
          </cell>
          <cell r="AQ1329">
            <v>0.5</v>
          </cell>
          <cell r="AS1329">
            <v>200</v>
          </cell>
        </row>
        <row r="1330">
          <cell r="B1330" t="str">
            <v>AC</v>
          </cell>
          <cell r="C1330" t="str">
            <v>DOM</v>
          </cell>
          <cell r="D1330" t="str">
            <v>DOM</v>
          </cell>
          <cell r="E1330" t="str">
            <v>08</v>
          </cell>
          <cell r="F1330">
            <v>40098</v>
          </cell>
          <cell r="G1330">
            <v>40098</v>
          </cell>
          <cell r="H1330" t="str">
            <v>7640008387</v>
          </cell>
          <cell r="I1330" t="str">
            <v>3KMH7640008387</v>
          </cell>
          <cell r="K1330" t="str">
            <v>ESP PT80-120TM-L630 Power Filter</v>
          </cell>
          <cell r="L1330">
            <v>2295</v>
          </cell>
          <cell r="M1330">
            <v>1450</v>
          </cell>
          <cell r="N1330">
            <v>1493.5</v>
          </cell>
          <cell r="O1330">
            <v>0</v>
          </cell>
          <cell r="P1330">
            <v>1493.5</v>
          </cell>
          <cell r="Q1330">
            <v>1537</v>
          </cell>
          <cell r="R1330">
            <v>1736.81</v>
          </cell>
          <cell r="S1330">
            <v>1850</v>
          </cell>
          <cell r="T1330">
            <v>0.19270270270270271</v>
          </cell>
          <cell r="U1330">
            <v>1591</v>
          </cell>
          <cell r="V1330">
            <v>6.1282212445003141E-2</v>
          </cell>
          <cell r="W1330">
            <v>1493.5</v>
          </cell>
          <cell r="X1330">
            <v>0.80729729729729727</v>
          </cell>
          <cell r="Y1330" t="str">
            <v>Act freight</v>
          </cell>
          <cell r="AA1330">
            <v>1807</v>
          </cell>
          <cell r="AB1330">
            <v>1493.5</v>
          </cell>
          <cell r="AC1330">
            <v>1659.44</v>
          </cell>
          <cell r="AD1330">
            <v>1751.64</v>
          </cell>
          <cell r="AE1330">
            <v>1843.83</v>
          </cell>
          <cell r="AF1330">
            <v>0.19000124740350247</v>
          </cell>
          <cell r="AG1330">
            <v>0.19000124740350247</v>
          </cell>
          <cell r="AH1330">
            <v>2049.62</v>
          </cell>
          <cell r="AI1330">
            <v>2255.4</v>
          </cell>
          <cell r="AJ1330">
            <v>0.33781147468298311</v>
          </cell>
          <cell r="AK1330">
            <v>2461.1799999999998</v>
          </cell>
          <cell r="AL1330">
            <v>2666.96</v>
          </cell>
          <cell r="AM1330">
            <v>0.43999910009898913</v>
          </cell>
          <cell r="AN1330">
            <v>2573.9699999999998</v>
          </cell>
          <cell r="AO1330">
            <v>2480.98</v>
          </cell>
          <cell r="AP1330">
            <v>2387.9899999999998</v>
          </cell>
          <cell r="AQ1330">
            <v>0</v>
          </cell>
          <cell r="AS1330">
            <v>2295</v>
          </cell>
        </row>
        <row r="1331">
          <cell r="B1331" t="str">
            <v>AC</v>
          </cell>
          <cell r="C1331" t="str">
            <v>DOM</v>
          </cell>
          <cell r="D1331" t="str">
            <v>BT</v>
          </cell>
          <cell r="E1331" t="str">
            <v>08</v>
          </cell>
          <cell r="F1331">
            <v>40266</v>
          </cell>
          <cell r="G1331">
            <v>40266</v>
          </cell>
          <cell r="H1331" t="str">
            <v>7640009476</v>
          </cell>
          <cell r="I1331">
            <v>0</v>
          </cell>
          <cell r="J1331">
            <v>45086307</v>
          </cell>
          <cell r="K1331" t="str">
            <v>EFI Fiery SeeQuence Impose</v>
          </cell>
          <cell r="L1331">
            <v>2500</v>
          </cell>
          <cell r="M1331">
            <v>1250</v>
          </cell>
          <cell r="N1331">
            <v>1287.5</v>
          </cell>
          <cell r="O1331">
            <v>9.6153846153846159E-3</v>
          </cell>
          <cell r="P1331">
            <v>1300</v>
          </cell>
          <cell r="Q1331">
            <v>1325</v>
          </cell>
          <cell r="R1331">
            <v>1497.25</v>
          </cell>
          <cell r="S1331">
            <v>1625</v>
          </cell>
          <cell r="T1331">
            <v>0</v>
          </cell>
          <cell r="U1331">
            <v>0</v>
          </cell>
          <cell r="V1331">
            <v>0</v>
          </cell>
          <cell r="W1331">
            <v>1300</v>
          </cell>
          <cell r="X1331">
            <v>0.8</v>
          </cell>
          <cell r="AA1331">
            <v>1573</v>
          </cell>
          <cell r="AB1331">
            <v>1300</v>
          </cell>
          <cell r="AC1331">
            <v>1445</v>
          </cell>
          <cell r="AD1331">
            <v>1525</v>
          </cell>
          <cell r="AE1331">
            <v>1604.94</v>
          </cell>
          <cell r="AF1331">
            <v>0.19000087230675292</v>
          </cell>
          <cell r="AG1331">
            <v>0.19778932545764955</v>
          </cell>
          <cell r="AH1331">
            <v>1785</v>
          </cell>
          <cell r="AI1331">
            <v>1964</v>
          </cell>
          <cell r="AJ1331">
            <v>0.3380855397148676</v>
          </cell>
          <cell r="AK1331">
            <v>2143</v>
          </cell>
          <cell r="AL1331">
            <v>2322</v>
          </cell>
          <cell r="AM1331">
            <v>0.44013781223083548</v>
          </cell>
          <cell r="AN1331">
            <v>2366.5</v>
          </cell>
          <cell r="AO1331">
            <v>2411</v>
          </cell>
          <cell r="AP1331">
            <v>2455.5</v>
          </cell>
          <cell r="AQ1331">
            <v>0</v>
          </cell>
          <cell r="AS1331">
            <v>2500</v>
          </cell>
        </row>
        <row r="1332">
          <cell r="B1332" t="str">
            <v>AC</v>
          </cell>
          <cell r="C1332" t="str">
            <v>DOM</v>
          </cell>
          <cell r="D1332" t="str">
            <v>BT</v>
          </cell>
          <cell r="E1332" t="str">
            <v>08</v>
          </cell>
          <cell r="F1332">
            <v>40266</v>
          </cell>
          <cell r="G1332">
            <v>40266</v>
          </cell>
          <cell r="H1332" t="str">
            <v>7640009477</v>
          </cell>
          <cell r="I1332">
            <v>0</v>
          </cell>
          <cell r="J1332">
            <v>45086308</v>
          </cell>
          <cell r="K1332" t="str">
            <v>EFI Fiery SeeQuence Compose</v>
          </cell>
          <cell r="L1332">
            <v>1100</v>
          </cell>
          <cell r="M1332">
            <v>550</v>
          </cell>
          <cell r="N1332">
            <v>566.5</v>
          </cell>
          <cell r="O1332">
            <v>5.5833333333333332E-2</v>
          </cell>
          <cell r="P1332">
            <v>600</v>
          </cell>
          <cell r="Q1332">
            <v>583</v>
          </cell>
          <cell r="R1332">
            <v>658.79</v>
          </cell>
          <cell r="S1332">
            <v>750</v>
          </cell>
          <cell r="T1332" t="e">
            <v>#DIV/0!</v>
          </cell>
          <cell r="U1332">
            <v>2028</v>
          </cell>
          <cell r="V1332">
            <v>0</v>
          </cell>
          <cell r="W1332">
            <v>600</v>
          </cell>
          <cell r="X1332">
            <v>0.8</v>
          </cell>
          <cell r="AA1332">
            <v>726</v>
          </cell>
          <cell r="AB1332">
            <v>600</v>
          </cell>
          <cell r="AC1332">
            <v>667</v>
          </cell>
          <cell r="AD1332">
            <v>704</v>
          </cell>
          <cell r="AE1332">
            <v>740.74</v>
          </cell>
          <cell r="AF1332">
            <v>0.18999918999919002</v>
          </cell>
          <cell r="AG1332">
            <v>0.23522423522423525</v>
          </cell>
          <cell r="AH1332">
            <v>824</v>
          </cell>
          <cell r="AI1332">
            <v>907</v>
          </cell>
          <cell r="AJ1332">
            <v>0.33847850055126794</v>
          </cell>
          <cell r="AK1332">
            <v>989.5</v>
          </cell>
          <cell r="AL1332">
            <v>1072</v>
          </cell>
          <cell r="AM1332">
            <v>0.44029850746268656</v>
          </cell>
          <cell r="AN1332">
            <v>1079</v>
          </cell>
          <cell r="AO1332">
            <v>1086</v>
          </cell>
          <cell r="AP1332">
            <v>1093</v>
          </cell>
          <cell r="AQ1332">
            <v>0</v>
          </cell>
          <cell r="AS1332">
            <v>1100</v>
          </cell>
        </row>
        <row r="1333">
          <cell r="B1333" t="str">
            <v>AC</v>
          </cell>
          <cell r="C1333" t="str">
            <v>DOM</v>
          </cell>
          <cell r="D1333" t="str">
            <v>BT</v>
          </cell>
          <cell r="E1333" t="str">
            <v>08</v>
          </cell>
          <cell r="F1333">
            <v>40266</v>
          </cell>
          <cell r="G1333">
            <v>40266</v>
          </cell>
          <cell r="H1333" t="str">
            <v>7640009478</v>
          </cell>
          <cell r="I1333" t="str">
            <v>6KMRU503RBPU_N</v>
          </cell>
          <cell r="J1333">
            <v>45086309</v>
          </cell>
          <cell r="K1333" t="str">
            <v>EFI Fiery SeeQuence Impose+Compose Suite</v>
          </cell>
          <cell r="L1333">
            <v>2999</v>
          </cell>
          <cell r="M1333">
            <v>1550</v>
          </cell>
          <cell r="N1333">
            <v>1596.5</v>
          </cell>
          <cell r="O1333">
            <v>2.1875000000000002E-3</v>
          </cell>
          <cell r="P1333">
            <v>1600</v>
          </cell>
          <cell r="Q1333">
            <v>1643</v>
          </cell>
          <cell r="R1333">
            <v>1856.59</v>
          </cell>
          <cell r="S1333">
            <v>2000</v>
          </cell>
          <cell r="T1333">
            <v>0</v>
          </cell>
          <cell r="U1333">
            <v>0</v>
          </cell>
          <cell r="V1333">
            <v>0</v>
          </cell>
          <cell r="W1333">
            <v>1600</v>
          </cell>
          <cell r="X1333">
            <v>0.8</v>
          </cell>
          <cell r="AA1333">
            <v>1936</v>
          </cell>
          <cell r="AB1333">
            <v>1600</v>
          </cell>
          <cell r="AC1333">
            <v>1778</v>
          </cell>
          <cell r="AD1333">
            <v>1877</v>
          </cell>
          <cell r="AE1333">
            <v>1975.31</v>
          </cell>
          <cell r="AF1333">
            <v>0.19000055687461712</v>
          </cell>
          <cell r="AG1333">
            <v>0.19177243065645391</v>
          </cell>
          <cell r="AH1333">
            <v>2197</v>
          </cell>
          <cell r="AI1333">
            <v>2417</v>
          </cell>
          <cell r="AJ1333">
            <v>0.33802234174596607</v>
          </cell>
          <cell r="AK1333">
            <v>2637.5</v>
          </cell>
          <cell r="AL1333">
            <v>2858</v>
          </cell>
          <cell r="AM1333">
            <v>0.44016794961511546</v>
          </cell>
          <cell r="AN1333">
            <v>2893.25</v>
          </cell>
          <cell r="AO1333">
            <v>2928.5</v>
          </cell>
          <cell r="AP1333">
            <v>2963.75</v>
          </cell>
          <cell r="AQ1333">
            <v>0</v>
          </cell>
          <cell r="AS1333">
            <v>2999</v>
          </cell>
        </row>
        <row r="1334">
          <cell r="B1334" t="str">
            <v>AC</v>
          </cell>
          <cell r="C1334" t="str">
            <v>DOM</v>
          </cell>
          <cell r="D1334" t="str">
            <v>BT</v>
          </cell>
          <cell r="E1334" t="str">
            <v>08</v>
          </cell>
          <cell r="F1334">
            <v>40266</v>
          </cell>
          <cell r="G1334">
            <v>40266</v>
          </cell>
          <cell r="H1334" t="str">
            <v>7640012503</v>
          </cell>
          <cell r="I1334" t="str">
            <v>6KMRU504PRBPU_N</v>
          </cell>
          <cell r="J1334">
            <v>45086653</v>
          </cell>
          <cell r="K1334" t="str">
            <v>Fiery Gr Arts Pkg W/Fiery Opt Util Dvd</v>
          </cell>
          <cell r="L1334">
            <v>3200</v>
          </cell>
          <cell r="M1334">
            <v>1500</v>
          </cell>
          <cell r="N1334">
            <v>1545</v>
          </cell>
          <cell r="O1334">
            <v>2.264676113360321E-2</v>
          </cell>
          <cell r="P1334">
            <v>1580.8</v>
          </cell>
          <cell r="Q1334">
            <v>1590</v>
          </cell>
          <cell r="R1334">
            <v>1796.7</v>
          </cell>
          <cell r="S1334">
            <v>1976</v>
          </cell>
          <cell r="T1334">
            <v>0</v>
          </cell>
          <cell r="U1334">
            <v>0</v>
          </cell>
          <cell r="V1334">
            <v>0</v>
          </cell>
          <cell r="W1334">
            <v>1580.8</v>
          </cell>
          <cell r="X1334">
            <v>0.79999999999999993</v>
          </cell>
          <cell r="AA1334">
            <v>1913</v>
          </cell>
          <cell r="AB1334">
            <v>1581</v>
          </cell>
          <cell r="AC1334">
            <v>1757</v>
          </cell>
          <cell r="AD1334">
            <v>1855</v>
          </cell>
          <cell r="AE1334">
            <v>1951.6</v>
          </cell>
          <cell r="AF1334">
            <v>0.18999795039967204</v>
          </cell>
          <cell r="AG1334">
            <v>0.2083418733346997</v>
          </cell>
          <cell r="AH1334">
            <v>2170</v>
          </cell>
          <cell r="AI1334">
            <v>2388</v>
          </cell>
          <cell r="AJ1334">
            <v>0.33802345058626465</v>
          </cell>
          <cell r="AK1334">
            <v>2605.5</v>
          </cell>
          <cell r="AL1334">
            <v>2823</v>
          </cell>
          <cell r="AM1334">
            <v>0.44002833864682961</v>
          </cell>
          <cell r="AN1334">
            <v>2917.25</v>
          </cell>
          <cell r="AO1334">
            <v>3011.5</v>
          </cell>
          <cell r="AP1334">
            <v>3105.75</v>
          </cell>
          <cell r="AQ1334">
            <v>0</v>
          </cell>
          <cell r="AS1334">
            <v>3200</v>
          </cell>
        </row>
        <row r="1335">
          <cell r="B1335" t="str">
            <v>AC</v>
          </cell>
          <cell r="C1335" t="str">
            <v>DOM</v>
          </cell>
          <cell r="D1335" t="str">
            <v>BT</v>
          </cell>
          <cell r="E1335" t="str">
            <v>08</v>
          </cell>
          <cell r="F1335">
            <v>40266</v>
          </cell>
          <cell r="G1335">
            <v>40266</v>
          </cell>
          <cell r="H1335" t="str">
            <v>7640012504</v>
          </cell>
          <cell r="I1335" t="str">
            <v>STKMA04P130</v>
          </cell>
          <cell r="J1335">
            <v>45086654</v>
          </cell>
          <cell r="K1335" t="str">
            <v>Fiery Gr Arts Pkg Prem W/Opt Util Dvd</v>
          </cell>
          <cell r="L1335">
            <v>7200</v>
          </cell>
          <cell r="M1335">
            <v>3500</v>
          </cell>
          <cell r="N1335">
            <v>3605</v>
          </cell>
          <cell r="O1335">
            <v>7.3464622433694155E-3</v>
          </cell>
          <cell r="P1335">
            <v>3631.68</v>
          </cell>
          <cell r="Q1335">
            <v>3710</v>
          </cell>
          <cell r="R1335">
            <v>4192.3</v>
          </cell>
          <cell r="S1335">
            <v>4539.6000000000004</v>
          </cell>
          <cell r="T1335">
            <v>0</v>
          </cell>
          <cell r="U1335">
            <v>0</v>
          </cell>
          <cell r="V1335">
            <v>0</v>
          </cell>
          <cell r="W1335">
            <v>3631.68</v>
          </cell>
          <cell r="X1335">
            <v>0.79999999999999993</v>
          </cell>
          <cell r="Y1335" t="str">
            <v>Act freight</v>
          </cell>
          <cell r="AA1335">
            <v>4394</v>
          </cell>
          <cell r="AB1335">
            <v>3632</v>
          </cell>
          <cell r="AC1335">
            <v>4036</v>
          </cell>
          <cell r="AD1335">
            <v>4260</v>
          </cell>
          <cell r="AE1335">
            <v>4483.5600000000004</v>
          </cell>
          <cell r="AF1335">
            <v>0.19000080293338339</v>
          </cell>
          <cell r="AG1335">
            <v>0.19595143145179283</v>
          </cell>
          <cell r="AH1335">
            <v>4985</v>
          </cell>
          <cell r="AI1335">
            <v>5485</v>
          </cell>
          <cell r="AJ1335">
            <v>0.33788878760255242</v>
          </cell>
          <cell r="AK1335">
            <v>5985.5</v>
          </cell>
          <cell r="AL1335">
            <v>6486</v>
          </cell>
          <cell r="AM1335">
            <v>0.44007400555041631</v>
          </cell>
          <cell r="AN1335">
            <v>6664.5</v>
          </cell>
          <cell r="AO1335">
            <v>6843</v>
          </cell>
          <cell r="AP1335">
            <v>7021.5</v>
          </cell>
          <cell r="AQ1335">
            <v>0</v>
          </cell>
          <cell r="AS1335">
            <v>7200</v>
          </cell>
        </row>
        <row r="1336">
          <cell r="B1336" t="str">
            <v>AC</v>
          </cell>
          <cell r="C1336" t="str">
            <v>DOM</v>
          </cell>
          <cell r="D1336" t="str">
            <v>BT</v>
          </cell>
          <cell r="E1336" t="str">
            <v>08</v>
          </cell>
          <cell r="F1336">
            <v>40266</v>
          </cell>
          <cell r="G1336">
            <v>40266</v>
          </cell>
          <cell r="H1336" t="str">
            <v>7640012505</v>
          </cell>
          <cell r="I1336" t="str">
            <v>3KMH7640008394</v>
          </cell>
          <cell r="J1336">
            <v>45086655</v>
          </cell>
          <cell r="K1336" t="str">
            <v>Fiery Gr Arts Pkg Prem Upgr W/Util Dvd</v>
          </cell>
          <cell r="L1336">
            <v>4800</v>
          </cell>
          <cell r="M1336">
            <v>2300</v>
          </cell>
          <cell r="N1336">
            <v>2369</v>
          </cell>
          <cell r="O1336">
            <v>2.1527227068464137E-2</v>
          </cell>
          <cell r="P1336">
            <v>2421.12</v>
          </cell>
          <cell r="Q1336">
            <v>2438</v>
          </cell>
          <cell r="R1336">
            <v>2754.94</v>
          </cell>
          <cell r="S1336">
            <v>3026.4</v>
          </cell>
          <cell r="T1336">
            <v>0.46201039999999988</v>
          </cell>
          <cell r="U1336">
            <v>193.6</v>
          </cell>
          <cell r="V1336">
            <v>0.30528202479338828</v>
          </cell>
          <cell r="W1336">
            <v>2421.12</v>
          </cell>
          <cell r="X1336">
            <v>0.79999999999999993</v>
          </cell>
          <cell r="AA1336">
            <v>2929</v>
          </cell>
          <cell r="AB1336">
            <v>2422</v>
          </cell>
          <cell r="AC1336">
            <v>2691</v>
          </cell>
          <cell r="AD1336">
            <v>2841</v>
          </cell>
          <cell r="AE1336">
            <v>2989.04</v>
          </cell>
          <cell r="AF1336">
            <v>0.19000080293338331</v>
          </cell>
          <cell r="AG1336">
            <v>0.20743783957391002</v>
          </cell>
          <cell r="AH1336">
            <v>3324</v>
          </cell>
          <cell r="AI1336">
            <v>3657</v>
          </cell>
          <cell r="AJ1336">
            <v>0.33794913863822806</v>
          </cell>
          <cell r="AK1336">
            <v>3990.5</v>
          </cell>
          <cell r="AL1336">
            <v>4324</v>
          </cell>
          <cell r="AM1336">
            <v>0.44007400555041631</v>
          </cell>
          <cell r="AN1336">
            <v>4443</v>
          </cell>
          <cell r="AO1336">
            <v>4562</v>
          </cell>
          <cell r="AP1336">
            <v>4681</v>
          </cell>
          <cell r="AQ1336">
            <v>0</v>
          </cell>
          <cell r="AS1336">
            <v>4800</v>
          </cell>
        </row>
        <row r="1337">
          <cell r="B1337" t="str">
            <v>AC</v>
          </cell>
          <cell r="C1337" t="str">
            <v>DOM</v>
          </cell>
          <cell r="D1337" t="str">
            <v>BT</v>
          </cell>
          <cell r="E1337" t="str">
            <v>08</v>
          </cell>
          <cell r="F1337">
            <v>40266</v>
          </cell>
          <cell r="G1337">
            <v>40266</v>
          </cell>
          <cell r="H1337" t="str">
            <v>7640012506</v>
          </cell>
          <cell r="I1337" t="str">
            <v>3KMKMK724</v>
          </cell>
          <cell r="J1337">
            <v>45087374</v>
          </cell>
          <cell r="K1337" t="str">
            <v>Fiery Option Bundle (FACI+GAP+SQS+CPS)</v>
          </cell>
          <cell r="L1337">
            <v>11625</v>
          </cell>
          <cell r="M1337">
            <v>5643</v>
          </cell>
          <cell r="N1337">
            <v>5812.29</v>
          </cell>
          <cell r="O1337">
            <v>8.7737407101606498E-5</v>
          </cell>
          <cell r="P1337">
            <v>5812.8</v>
          </cell>
          <cell r="Q1337">
            <v>5981.58</v>
          </cell>
          <cell r="R1337">
            <v>6759.19</v>
          </cell>
          <cell r="S1337">
            <v>7266</v>
          </cell>
          <cell r="T1337">
            <v>0.3001869158878504</v>
          </cell>
          <cell r="U1337">
            <v>414.30399999999997</v>
          </cell>
          <cell r="V1337">
            <v>9.6315748822120809E-2</v>
          </cell>
          <cell r="W1337">
            <v>5812.8</v>
          </cell>
          <cell r="X1337">
            <v>0.8</v>
          </cell>
          <cell r="Y1337">
            <v>0</v>
          </cell>
          <cell r="Z1337">
            <v>0</v>
          </cell>
          <cell r="AA1337">
            <v>7033</v>
          </cell>
          <cell r="AB1337">
            <v>5813</v>
          </cell>
          <cell r="AC1337">
            <v>6459</v>
          </cell>
          <cell r="AD1337">
            <v>6818</v>
          </cell>
          <cell r="AE1337">
            <v>7176.3</v>
          </cell>
          <cell r="AF1337">
            <v>0.19000041804272397</v>
          </cell>
          <cell r="AG1337">
            <v>0.19007148530579829</v>
          </cell>
          <cell r="AH1337">
            <v>7978</v>
          </cell>
          <cell r="AI1337">
            <v>8779</v>
          </cell>
          <cell r="AJ1337">
            <v>0.33787447317462121</v>
          </cell>
          <cell r="AK1337">
            <v>9579.5</v>
          </cell>
          <cell r="AL1337">
            <v>10380</v>
          </cell>
          <cell r="AM1337">
            <v>0.44</v>
          </cell>
          <cell r="AN1337">
            <v>10691.25</v>
          </cell>
          <cell r="AO1337">
            <v>11002.5</v>
          </cell>
          <cell r="AP1337">
            <v>11313.75</v>
          </cell>
          <cell r="AQ1337">
            <v>0</v>
          </cell>
          <cell r="AR1337">
            <v>0</v>
          </cell>
          <cell r="AS1337">
            <v>11625</v>
          </cell>
        </row>
        <row r="1338">
          <cell r="B1338" t="str">
            <v>AC</v>
          </cell>
          <cell r="C1338" t="str">
            <v>DOM</v>
          </cell>
          <cell r="D1338" t="str">
            <v>DOM</v>
          </cell>
          <cell r="E1338" t="str">
            <v>08</v>
          </cell>
          <cell r="F1338">
            <v>40093</v>
          </cell>
          <cell r="G1338">
            <v>40093</v>
          </cell>
          <cell r="H1338" t="str">
            <v>7640008435</v>
          </cell>
          <cell r="I1338">
            <v>0</v>
          </cell>
          <cell r="J1338">
            <v>0</v>
          </cell>
          <cell r="K1338" t="str">
            <v>HD-509 Hard Disk Kit (MXI-120GB)</v>
          </cell>
          <cell r="L1338">
            <v>893</v>
          </cell>
          <cell r="M1338">
            <v>141</v>
          </cell>
          <cell r="N1338">
            <v>145.22999999999999</v>
          </cell>
          <cell r="O1338">
            <v>0.64320459905660388</v>
          </cell>
          <cell r="P1338">
            <v>407.04</v>
          </cell>
          <cell r="Q1338">
            <v>149.46</v>
          </cell>
          <cell r="R1338">
            <v>168.89</v>
          </cell>
          <cell r="S1338">
            <v>508.8</v>
          </cell>
          <cell r="T1338">
            <v>0.71456367924528308</v>
          </cell>
          <cell r="U1338">
            <v>394.01472000000001</v>
          </cell>
          <cell r="V1338">
            <v>0.63140970976921884</v>
          </cell>
          <cell r="W1338">
            <v>407.04</v>
          </cell>
          <cell r="X1338">
            <v>0.8</v>
          </cell>
          <cell r="Y1338">
            <v>0</v>
          </cell>
          <cell r="Z1338">
            <v>0</v>
          </cell>
          <cell r="AA1338">
            <v>492</v>
          </cell>
          <cell r="AB1338">
            <v>407.04</v>
          </cell>
          <cell r="AC1338">
            <v>452.27</v>
          </cell>
          <cell r="AD1338">
            <v>477.4</v>
          </cell>
          <cell r="AE1338">
            <v>502.52</v>
          </cell>
          <cell r="AF1338">
            <v>0.19000238796465804</v>
          </cell>
          <cell r="AG1338">
            <v>0.71099657725065668</v>
          </cell>
          <cell r="AH1338">
            <v>558.61</v>
          </cell>
          <cell r="AI1338">
            <v>614.69000000000005</v>
          </cell>
          <cell r="AJ1338">
            <v>0.33781255592249754</v>
          </cell>
          <cell r="AK1338">
            <v>670.78</v>
          </cell>
          <cell r="AL1338">
            <v>726.86</v>
          </cell>
          <cell r="AM1338">
            <v>0.44000220124920891</v>
          </cell>
          <cell r="AN1338">
            <v>768.4</v>
          </cell>
          <cell r="AO1338">
            <v>809.94</v>
          </cell>
          <cell r="AP1338">
            <v>851.48</v>
          </cell>
          <cell r="AQ1338">
            <v>0</v>
          </cell>
          <cell r="AR1338">
            <v>0</v>
          </cell>
          <cell r="AS1338">
            <v>449</v>
          </cell>
        </row>
        <row r="1339">
          <cell r="B1339" t="str">
            <v>AC</v>
          </cell>
          <cell r="C1339" t="str">
            <v>IMP</v>
          </cell>
          <cell r="D1339" t="str">
            <v>BT</v>
          </cell>
          <cell r="E1339" t="str">
            <v>08</v>
          </cell>
          <cell r="F1339">
            <v>40122</v>
          </cell>
          <cell r="G1339">
            <v>40122</v>
          </cell>
          <cell r="H1339">
            <v>0</v>
          </cell>
          <cell r="I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t="str">
            <v>Act freight</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S1339">
            <v>1100</v>
          </cell>
        </row>
        <row r="1340">
          <cell r="B1340" t="str">
            <v>AC</v>
          </cell>
          <cell r="C1340" t="str">
            <v>DOM</v>
          </cell>
          <cell r="D1340" t="str">
            <v>DOM</v>
          </cell>
          <cell r="E1340" t="str">
            <v>08</v>
          </cell>
          <cell r="F1340">
            <v>40135</v>
          </cell>
          <cell r="G1340">
            <v>40135</v>
          </cell>
          <cell r="H1340">
            <v>0</v>
          </cell>
          <cell r="I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S1340">
            <v>893</v>
          </cell>
        </row>
        <row r="1341">
          <cell r="B1341" t="str">
            <v>AC</v>
          </cell>
          <cell r="C1341" t="str">
            <v>DOM</v>
          </cell>
          <cell r="D1341" t="str">
            <v>BT</v>
          </cell>
          <cell r="E1341" t="str">
            <v>08</v>
          </cell>
          <cell r="F1341">
            <v>40140</v>
          </cell>
          <cell r="G1341">
            <v>40140</v>
          </cell>
          <cell r="H1341">
            <v>0</v>
          </cell>
          <cell r="I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S1341">
            <v>24150</v>
          </cell>
        </row>
        <row r="1342">
          <cell r="B1342" t="str">
            <v>AC</v>
          </cell>
          <cell r="C1342" t="str">
            <v>DOM</v>
          </cell>
          <cell r="D1342" t="str">
            <v>BT</v>
          </cell>
          <cell r="E1342" t="str">
            <v>08</v>
          </cell>
          <cell r="F1342">
            <v>40140</v>
          </cell>
          <cell r="G1342">
            <v>40140</v>
          </cell>
          <cell r="H1342">
            <v>0</v>
          </cell>
          <cell r="I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S1342">
            <v>24150</v>
          </cell>
        </row>
        <row r="1343">
          <cell r="B1343" t="str">
            <v>AC</v>
          </cell>
          <cell r="C1343" t="str">
            <v>IMP</v>
          </cell>
          <cell r="D1343" t="str">
            <v>BT</v>
          </cell>
          <cell r="E1343" t="str">
            <v>P3</v>
          </cell>
          <cell r="F1343">
            <v>40199</v>
          </cell>
          <cell r="G1343">
            <v>40199</v>
          </cell>
          <cell r="H1343">
            <v>0</v>
          </cell>
          <cell r="I1343" t="str">
            <v>A04P600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t="str">
            <v>Act freight</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S1343">
            <v>2200</v>
          </cell>
        </row>
        <row r="1344">
          <cell r="B1344" t="str">
            <v>AC</v>
          </cell>
          <cell r="C1344" t="str">
            <v>IMP</v>
          </cell>
          <cell r="D1344" t="str">
            <v>BT</v>
          </cell>
          <cell r="E1344" t="str">
            <v>P3</v>
          </cell>
          <cell r="F1344">
            <v>40199</v>
          </cell>
          <cell r="G1344">
            <v>40199</v>
          </cell>
          <cell r="H1344">
            <v>0</v>
          </cell>
          <cell r="I1344" t="str">
            <v>A04P700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t="str">
            <v>Act freight</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S1344">
            <v>2200</v>
          </cell>
        </row>
        <row r="1345">
          <cell r="B1345" t="str">
            <v>AC</v>
          </cell>
          <cell r="C1345" t="str">
            <v>IMP</v>
          </cell>
          <cell r="D1345" t="str">
            <v>BT</v>
          </cell>
          <cell r="E1345" t="str">
            <v>08</v>
          </cell>
          <cell r="F1345">
            <v>40200</v>
          </cell>
          <cell r="G1345">
            <v>40200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t="str">
            <v>Act freight</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S1345">
            <v>3950</v>
          </cell>
        </row>
        <row r="1346">
          <cell r="B1346" t="str">
            <v>AC</v>
          </cell>
          <cell r="C1346" t="str">
            <v>IMP</v>
          </cell>
          <cell r="D1346" t="str">
            <v>BT</v>
          </cell>
          <cell r="E1346" t="str">
            <v>08</v>
          </cell>
          <cell r="F1346">
            <v>40200</v>
          </cell>
          <cell r="G1346">
            <v>40200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t="str">
            <v>Act freight</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S1346">
            <v>3950</v>
          </cell>
        </row>
        <row r="1347">
          <cell r="B1347" t="str">
            <v>AC</v>
          </cell>
          <cell r="C1347" t="str">
            <v>IMP</v>
          </cell>
          <cell r="D1347" t="str">
            <v>BT</v>
          </cell>
          <cell r="E1347" t="str">
            <v>P3</v>
          </cell>
          <cell r="F1347">
            <v>39924</v>
          </cell>
          <cell r="G1347">
            <v>40001</v>
          </cell>
          <cell r="H1347" t="str">
            <v>A0520Y0</v>
          </cell>
          <cell r="I1347" t="str">
            <v>7KMDF609RADF_N</v>
          </cell>
          <cell r="K1347" t="str">
            <v>DF-609 Document Feeder</v>
          </cell>
          <cell r="L1347">
            <v>1890</v>
          </cell>
          <cell r="M1347">
            <v>559</v>
          </cell>
          <cell r="N1347">
            <v>581.36</v>
          </cell>
          <cell r="O1347">
            <v>-0.17647058823529413</v>
          </cell>
          <cell r="P1347">
            <v>494.15600000000001</v>
          </cell>
          <cell r="Q1347">
            <v>592.54</v>
          </cell>
          <cell r="R1347">
            <v>639.94000000000005</v>
          </cell>
          <cell r="S1347">
            <v>877.8</v>
          </cell>
          <cell r="T1347">
            <v>0.33770790612895873</v>
          </cell>
          <cell r="U1347">
            <v>679.7683199999999</v>
          </cell>
          <cell r="V1347">
            <v>0.14476744076570075</v>
          </cell>
          <cell r="W1347">
            <v>494.15600000000001</v>
          </cell>
          <cell r="X1347">
            <v>0.56294827979038509</v>
          </cell>
          <cell r="AA1347">
            <v>598</v>
          </cell>
          <cell r="AB1347">
            <v>495</v>
          </cell>
          <cell r="AC1347">
            <v>550</v>
          </cell>
          <cell r="AD1347">
            <v>581</v>
          </cell>
          <cell r="AE1347">
            <v>610.07000000000005</v>
          </cell>
          <cell r="AF1347">
            <v>0.19000114740931373</v>
          </cell>
          <cell r="AG1347">
            <v>4.7060173422722042E-2</v>
          </cell>
          <cell r="AH1347">
            <v>623</v>
          </cell>
          <cell r="AI1347">
            <v>635</v>
          </cell>
          <cell r="AJ1347">
            <v>0.2218015748031496</v>
          </cell>
          <cell r="AK1347">
            <v>647</v>
          </cell>
          <cell r="AL1347">
            <v>659</v>
          </cell>
          <cell r="AM1347">
            <v>0.25014264036418815</v>
          </cell>
          <cell r="AN1347">
            <v>751.62</v>
          </cell>
          <cell r="AO1347">
            <v>844.24</v>
          </cell>
          <cell r="AP1347">
            <v>936.86</v>
          </cell>
          <cell r="AQ1347">
            <v>0</v>
          </cell>
          <cell r="AS1347">
            <v>1890</v>
          </cell>
        </row>
        <row r="1348">
          <cell r="B1348" t="str">
            <v>MB</v>
          </cell>
          <cell r="C1348" t="str">
            <v>IMP</v>
          </cell>
          <cell r="D1348" t="str">
            <v>BT</v>
          </cell>
          <cell r="E1348" t="str">
            <v>08</v>
          </cell>
          <cell r="F1348" t="str">
            <v>2/25/10</v>
          </cell>
          <cell r="G1348" t="str">
            <v>2/25/10</v>
          </cell>
          <cell r="H1348">
            <v>0</v>
          </cell>
          <cell r="I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S1348">
            <v>32950</v>
          </cell>
        </row>
        <row r="1349">
          <cell r="B1349" t="str">
            <v>MB</v>
          </cell>
          <cell r="C1349" t="str">
            <v>IMP</v>
          </cell>
          <cell r="D1349" t="str">
            <v>BT</v>
          </cell>
          <cell r="E1349" t="str">
            <v>08</v>
          </cell>
          <cell r="F1349" t="str">
            <v>2/25/10</v>
          </cell>
          <cell r="G1349" t="str">
            <v>2/25/10</v>
          </cell>
          <cell r="H1349">
            <v>0</v>
          </cell>
          <cell r="I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S1349">
            <v>26695</v>
          </cell>
        </row>
        <row r="1350">
          <cell r="B1350" t="str">
            <v>AC</v>
          </cell>
          <cell r="C1350" t="str">
            <v>IMP</v>
          </cell>
          <cell r="D1350" t="str">
            <v>BT</v>
          </cell>
          <cell r="E1350" t="str">
            <v>08</v>
          </cell>
          <cell r="F1350" t="str">
            <v>2/25/10</v>
          </cell>
          <cell r="G1350" t="str">
            <v>2/25/10</v>
          </cell>
          <cell r="H1350">
            <v>0</v>
          </cell>
          <cell r="I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t="str">
            <v>Act freight</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S1350">
            <v>420</v>
          </cell>
        </row>
        <row r="1351">
          <cell r="B1351" t="str">
            <v>SP</v>
          </cell>
          <cell r="C1351" t="str">
            <v>IMP</v>
          </cell>
          <cell r="D1351" t="str">
            <v>BT</v>
          </cell>
          <cell r="E1351" t="str">
            <v>08</v>
          </cell>
          <cell r="F1351">
            <v>39924</v>
          </cell>
          <cell r="G1351">
            <v>39924</v>
          </cell>
          <cell r="H1351" t="str">
            <v>A0600JF</v>
          </cell>
          <cell r="I1351" t="str">
            <v>A0600JF</v>
          </cell>
          <cell r="K1351" t="str">
            <v/>
          </cell>
          <cell r="L1351">
            <v>860</v>
          </cell>
          <cell r="M1351">
            <v>183</v>
          </cell>
          <cell r="N1351">
            <v>190.32</v>
          </cell>
          <cell r="O1351">
            <v>0.35702702702702704</v>
          </cell>
          <cell r="P1351">
            <v>296</v>
          </cell>
          <cell r="Q1351">
            <v>193.98</v>
          </cell>
          <cell r="R1351">
            <v>209.5</v>
          </cell>
          <cell r="S1351">
            <v>370</v>
          </cell>
          <cell r="T1351">
            <v>0.48562162162162165</v>
          </cell>
          <cell r="W1351">
            <v>296</v>
          </cell>
          <cell r="X1351">
            <v>0.8</v>
          </cell>
          <cell r="Y1351" t="str">
            <v>Act freight</v>
          </cell>
          <cell r="AA1351">
            <v>580</v>
          </cell>
          <cell r="AB1351">
            <v>423</v>
          </cell>
          <cell r="AC1351">
            <v>494</v>
          </cell>
          <cell r="AD1351">
            <v>543</v>
          </cell>
          <cell r="AE1351">
            <v>592</v>
          </cell>
          <cell r="AF1351">
            <v>0.5</v>
          </cell>
          <cell r="AG1351">
            <v>0.67851351351351352</v>
          </cell>
          <cell r="AH1351">
            <v>659</v>
          </cell>
          <cell r="AI1351">
            <v>726</v>
          </cell>
          <cell r="AJ1351">
            <v>0.59228650137741046</v>
          </cell>
          <cell r="AK1351">
            <v>793</v>
          </cell>
          <cell r="AL1351">
            <v>860</v>
          </cell>
          <cell r="AM1351">
            <v>0.65581395348837213</v>
          </cell>
          <cell r="AN1351">
            <v>860</v>
          </cell>
          <cell r="AO1351">
            <v>860</v>
          </cell>
          <cell r="AP1351">
            <v>860</v>
          </cell>
          <cell r="AQ1351">
            <v>0</v>
          </cell>
          <cell r="AS1351">
            <v>860</v>
          </cell>
        </row>
        <row r="1352">
          <cell r="B1352" t="str">
            <v>AC</v>
          </cell>
          <cell r="C1352" t="str">
            <v>DOM</v>
          </cell>
          <cell r="D1352" t="str">
            <v>DOM</v>
          </cell>
          <cell r="E1352" t="str">
            <v>21</v>
          </cell>
          <cell r="F1352" t="str">
            <v>2/25/10</v>
          </cell>
          <cell r="G1352" t="str">
            <v>2/25/10</v>
          </cell>
          <cell r="H1352">
            <v>0</v>
          </cell>
          <cell r="K1352">
            <v>0</v>
          </cell>
          <cell r="L1352">
            <v>0</v>
          </cell>
          <cell r="M1352">
            <v>0</v>
          </cell>
          <cell r="N1352">
            <v>0</v>
          </cell>
          <cell r="O1352">
            <v>0</v>
          </cell>
          <cell r="P1352">
            <v>0</v>
          </cell>
          <cell r="Q1352">
            <v>0</v>
          </cell>
          <cell r="R1352">
            <v>0</v>
          </cell>
          <cell r="S1352">
            <v>0</v>
          </cell>
          <cell r="T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S1352">
            <v>63525</v>
          </cell>
        </row>
        <row r="1353">
          <cell r="B1353" t="str">
            <v>AC</v>
          </cell>
          <cell r="C1353" t="str">
            <v>DOM</v>
          </cell>
          <cell r="D1353" t="str">
            <v>DOM</v>
          </cell>
          <cell r="E1353" t="str">
            <v>21</v>
          </cell>
          <cell r="F1353" t="str">
            <v>2/25/10</v>
          </cell>
          <cell r="G1353" t="str">
            <v>2/25/10</v>
          </cell>
          <cell r="H1353">
            <v>0</v>
          </cell>
          <cell r="I1353" t="str">
            <v>STKMA070130</v>
          </cell>
          <cell r="K1353">
            <v>0</v>
          </cell>
          <cell r="L1353">
            <v>0</v>
          </cell>
          <cell r="M1353">
            <v>0</v>
          </cell>
          <cell r="N1353">
            <v>0</v>
          </cell>
          <cell r="O1353">
            <v>0</v>
          </cell>
          <cell r="P1353">
            <v>0</v>
          </cell>
          <cell r="Q1353">
            <v>0</v>
          </cell>
          <cell r="R1353">
            <v>0</v>
          </cell>
          <cell r="S1353">
            <v>0</v>
          </cell>
          <cell r="T1353">
            <v>0</v>
          </cell>
          <cell r="W1353">
            <v>0</v>
          </cell>
          <cell r="X1353">
            <v>0</v>
          </cell>
          <cell r="Y1353" t="str">
            <v>Act freight</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S1353">
            <v>12150</v>
          </cell>
        </row>
        <row r="1354">
          <cell r="B1354" t="str">
            <v>AC</v>
          </cell>
          <cell r="C1354" t="str">
            <v>DOM</v>
          </cell>
          <cell r="D1354" t="str">
            <v>DOM</v>
          </cell>
          <cell r="E1354" t="str">
            <v>21</v>
          </cell>
          <cell r="F1354" t="str">
            <v>2/25/10</v>
          </cell>
          <cell r="G1354" t="str">
            <v>2/25/10</v>
          </cell>
          <cell r="H1354">
            <v>0</v>
          </cell>
          <cell r="I1354" t="str">
            <v>STKMA070131</v>
          </cell>
          <cell r="K1354">
            <v>0</v>
          </cell>
          <cell r="L1354">
            <v>0</v>
          </cell>
          <cell r="M1354">
            <v>0</v>
          </cell>
          <cell r="N1354">
            <v>0</v>
          </cell>
          <cell r="O1354">
            <v>0</v>
          </cell>
          <cell r="P1354">
            <v>0</v>
          </cell>
          <cell r="Q1354">
            <v>0</v>
          </cell>
          <cell r="R1354">
            <v>0</v>
          </cell>
          <cell r="S1354">
            <v>0</v>
          </cell>
          <cell r="T1354">
            <v>0</v>
          </cell>
          <cell r="W1354">
            <v>0</v>
          </cell>
          <cell r="X1354">
            <v>0</v>
          </cell>
          <cell r="Y1354" t="str">
            <v>Act freight</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S1354">
            <v>5615</v>
          </cell>
        </row>
        <row r="1355">
          <cell r="B1355" t="str">
            <v>AC</v>
          </cell>
          <cell r="C1355" t="str">
            <v>DOM</v>
          </cell>
          <cell r="D1355" t="str">
            <v>DOM</v>
          </cell>
          <cell r="E1355" t="str">
            <v>21</v>
          </cell>
          <cell r="F1355" t="str">
            <v>2/25/10</v>
          </cell>
          <cell r="G1355" t="str">
            <v>2/25/10</v>
          </cell>
          <cell r="H1355">
            <v>0</v>
          </cell>
          <cell r="I1355" t="str">
            <v>STKMA070230YE</v>
          </cell>
          <cell r="K1355">
            <v>0</v>
          </cell>
          <cell r="L1355">
            <v>0</v>
          </cell>
          <cell r="M1355">
            <v>0</v>
          </cell>
          <cell r="N1355">
            <v>0</v>
          </cell>
          <cell r="O1355">
            <v>0</v>
          </cell>
          <cell r="P1355">
            <v>0</v>
          </cell>
          <cell r="Q1355">
            <v>0</v>
          </cell>
          <cell r="R1355">
            <v>0</v>
          </cell>
          <cell r="S1355">
            <v>0</v>
          </cell>
          <cell r="T1355">
            <v>0</v>
          </cell>
          <cell r="W1355">
            <v>0</v>
          </cell>
          <cell r="X1355">
            <v>0</v>
          </cell>
          <cell r="Y1355" t="str">
            <v>Act freight</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S1355">
            <v>2800</v>
          </cell>
        </row>
        <row r="1356">
          <cell r="B1356" t="str">
            <v>SPC</v>
          </cell>
          <cell r="C1356" t="str">
            <v>IMP</v>
          </cell>
          <cell r="D1356" t="str">
            <v>BT</v>
          </cell>
          <cell r="E1356" t="str">
            <v>08</v>
          </cell>
          <cell r="F1356">
            <v>39924</v>
          </cell>
          <cell r="G1356">
            <v>39924</v>
          </cell>
          <cell r="H1356" t="str">
            <v>A070330</v>
          </cell>
          <cell r="I1356" t="str">
            <v>STKMA070330MA</v>
          </cell>
          <cell r="K1356" t="str">
            <v>TN-611M Toner M (27K)</v>
          </cell>
          <cell r="L1356">
            <v>162</v>
          </cell>
          <cell r="M1356">
            <v>47</v>
          </cell>
          <cell r="N1356">
            <v>48.88</v>
          </cell>
          <cell r="O1356">
            <v>0.26385542168674703</v>
          </cell>
          <cell r="P1356">
            <v>66.400000000000006</v>
          </cell>
          <cell r="Q1356">
            <v>49.82</v>
          </cell>
          <cell r="R1356">
            <v>53.81</v>
          </cell>
          <cell r="S1356">
            <v>83</v>
          </cell>
          <cell r="T1356">
            <v>0.41108433734939753</v>
          </cell>
          <cell r="W1356">
            <v>66.400000000000006</v>
          </cell>
          <cell r="X1356">
            <v>0.8</v>
          </cell>
          <cell r="Y1356" t="str">
            <v>Act freight</v>
          </cell>
          <cell r="AA1356">
            <v>114</v>
          </cell>
          <cell r="AB1356">
            <v>79</v>
          </cell>
          <cell r="AC1356">
            <v>83</v>
          </cell>
          <cell r="AD1356">
            <v>100</v>
          </cell>
          <cell r="AE1356">
            <v>116.49</v>
          </cell>
          <cell r="AF1356">
            <v>0.42999399090050638</v>
          </cell>
          <cell r="AG1356">
            <v>0.58039316679543296</v>
          </cell>
          <cell r="AH1356">
            <v>129</v>
          </cell>
          <cell r="AI1356">
            <v>140</v>
          </cell>
          <cell r="AJ1356">
            <v>0.52571428571428569</v>
          </cell>
          <cell r="AK1356">
            <v>151</v>
          </cell>
          <cell r="AL1356">
            <v>162</v>
          </cell>
          <cell r="AM1356">
            <v>0.59012345679012346</v>
          </cell>
          <cell r="AN1356">
            <v>162</v>
          </cell>
          <cell r="AO1356">
            <v>162</v>
          </cell>
          <cell r="AP1356">
            <v>162</v>
          </cell>
          <cell r="AQ1356">
            <v>0</v>
          </cell>
          <cell r="AS1356">
            <v>162</v>
          </cell>
        </row>
        <row r="1357">
          <cell r="B1357" t="str">
            <v>SPC</v>
          </cell>
          <cell r="C1357" t="str">
            <v>IMP</v>
          </cell>
          <cell r="D1357" t="str">
            <v>BT</v>
          </cell>
          <cell r="E1357" t="str">
            <v>08</v>
          </cell>
          <cell r="F1357">
            <v>39924</v>
          </cell>
          <cell r="G1357">
            <v>39924</v>
          </cell>
          <cell r="H1357" t="str">
            <v>A070430</v>
          </cell>
          <cell r="I1357" t="str">
            <v>STKMA070430CY</v>
          </cell>
          <cell r="K1357" t="str">
            <v>TN-611C Toner C (27K)</v>
          </cell>
          <cell r="L1357">
            <v>162</v>
          </cell>
          <cell r="M1357">
            <v>47</v>
          </cell>
          <cell r="N1357">
            <v>48.88</v>
          </cell>
          <cell r="O1357">
            <v>0.26385542168674703</v>
          </cell>
          <cell r="P1357">
            <v>66.400000000000006</v>
          </cell>
          <cell r="Q1357">
            <v>49.82</v>
          </cell>
          <cell r="R1357">
            <v>53.81</v>
          </cell>
          <cell r="S1357">
            <v>83</v>
          </cell>
          <cell r="T1357">
            <v>0.41108433734939753</v>
          </cell>
          <cell r="W1357">
            <v>66.400000000000006</v>
          </cell>
          <cell r="X1357">
            <v>0.8</v>
          </cell>
          <cell r="Y1357" t="str">
            <v>Act freight</v>
          </cell>
          <cell r="AA1357">
            <v>114</v>
          </cell>
          <cell r="AB1357">
            <v>79</v>
          </cell>
          <cell r="AC1357">
            <v>83</v>
          </cell>
          <cell r="AD1357">
            <v>100</v>
          </cell>
          <cell r="AE1357">
            <v>116.49</v>
          </cell>
          <cell r="AF1357">
            <v>0.42999399090050638</v>
          </cell>
          <cell r="AG1357">
            <v>0.58039316679543296</v>
          </cell>
          <cell r="AH1357">
            <v>129</v>
          </cell>
          <cell r="AI1357">
            <v>140</v>
          </cell>
          <cell r="AJ1357">
            <v>0.52571428571428569</v>
          </cell>
          <cell r="AK1357">
            <v>151</v>
          </cell>
          <cell r="AL1357">
            <v>162</v>
          </cell>
          <cell r="AM1357">
            <v>0.59012345679012346</v>
          </cell>
          <cell r="AN1357">
            <v>162</v>
          </cell>
          <cell r="AO1357">
            <v>162</v>
          </cell>
          <cell r="AP1357">
            <v>162</v>
          </cell>
          <cell r="AQ1357">
            <v>0</v>
          </cell>
          <cell r="AS1357">
            <v>162</v>
          </cell>
        </row>
        <row r="1358">
          <cell r="B1358" t="str">
            <v>AC</v>
          </cell>
          <cell r="C1358" t="str">
            <v>IMP</v>
          </cell>
          <cell r="D1358" t="str">
            <v>BT</v>
          </cell>
          <cell r="E1358" t="str">
            <v>P3</v>
          </cell>
          <cell r="F1358">
            <v>39924</v>
          </cell>
          <cell r="G1358">
            <v>40009</v>
          </cell>
          <cell r="H1358" t="str">
            <v>A0730Y0</v>
          </cell>
          <cell r="I1358" t="str">
            <v>4KMIC304ECC_N</v>
          </cell>
          <cell r="K1358" t="str">
            <v>IC-304 Creo</v>
          </cell>
          <cell r="L1358">
            <v>27825</v>
          </cell>
          <cell r="M1358">
            <v>10710</v>
          </cell>
          <cell r="N1358">
            <v>11138.4</v>
          </cell>
          <cell r="O1358">
            <v>-0.17647058823529416</v>
          </cell>
          <cell r="P1358">
            <v>9467.64</v>
          </cell>
          <cell r="Q1358">
            <v>11352.6</v>
          </cell>
          <cell r="R1358">
            <v>12260.81</v>
          </cell>
          <cell r="S1358">
            <v>15384.5</v>
          </cell>
          <cell r="T1358">
            <v>0.27599856998927497</v>
          </cell>
          <cell r="U1358">
            <v>11913.756799999999</v>
          </cell>
          <cell r="V1358">
            <v>6.5080798023340519E-2</v>
          </cell>
          <cell r="W1358">
            <v>9467.64</v>
          </cell>
          <cell r="X1358">
            <v>0.61540121550911631</v>
          </cell>
          <cell r="Y1358">
            <v>0</v>
          </cell>
          <cell r="Z1358">
            <v>0</v>
          </cell>
          <cell r="AA1358">
            <v>11455</v>
          </cell>
          <cell r="AB1358">
            <v>9468</v>
          </cell>
          <cell r="AC1358">
            <v>10520</v>
          </cell>
          <cell r="AD1358">
            <v>11105</v>
          </cell>
          <cell r="AE1358">
            <v>11688.44</v>
          </cell>
          <cell r="AF1358">
            <v>0.18999969200338121</v>
          </cell>
          <cell r="AG1358">
            <v>4.7058461180448451E-2</v>
          </cell>
          <cell r="AH1358">
            <v>11923</v>
          </cell>
          <cell r="AI1358">
            <v>12157</v>
          </cell>
          <cell r="AJ1358">
            <v>0.22121905075265283</v>
          </cell>
          <cell r="AK1358">
            <v>12390.5</v>
          </cell>
          <cell r="AL1358">
            <v>12624</v>
          </cell>
          <cell r="AM1358">
            <v>0.25002851711026619</v>
          </cell>
          <cell r="AN1358">
            <v>14399.06</v>
          </cell>
          <cell r="AO1358">
            <v>16174.12</v>
          </cell>
          <cell r="AP1358">
            <v>17949.18</v>
          </cell>
          <cell r="AQ1358">
            <v>0</v>
          </cell>
          <cell r="AS1358">
            <v>27825</v>
          </cell>
        </row>
        <row r="1359">
          <cell r="B1359" t="str">
            <v>AC</v>
          </cell>
          <cell r="C1359" t="str">
            <v>IMP</v>
          </cell>
          <cell r="D1359" t="str">
            <v>BT</v>
          </cell>
          <cell r="E1359" t="str">
            <v>08</v>
          </cell>
          <cell r="F1359">
            <v>39924</v>
          </cell>
          <cell r="G1359">
            <v>40009</v>
          </cell>
          <cell r="H1359" t="str">
            <v>A073WW0</v>
          </cell>
          <cell r="I1359" t="str">
            <v>4KMIC304ECC_N</v>
          </cell>
          <cell r="K1359" t="str">
            <v>IC-304 Creo</v>
          </cell>
          <cell r="L1359">
            <v>27825</v>
          </cell>
          <cell r="M1359">
            <v>10710</v>
          </cell>
          <cell r="N1359">
            <v>11138.4</v>
          </cell>
          <cell r="O1359">
            <v>9.4998212486593708E-2</v>
          </cell>
          <cell r="P1359">
            <v>12307.6</v>
          </cell>
          <cell r="Q1359">
            <v>11352.6</v>
          </cell>
          <cell r="R1359">
            <v>12260.81</v>
          </cell>
          <cell r="S1359">
            <v>15384.5</v>
          </cell>
          <cell r="T1359">
            <v>0.27599856998927497</v>
          </cell>
          <cell r="U1359">
            <v>11913.756799999999</v>
          </cell>
          <cell r="V1359">
            <v>6.5080798023340519E-2</v>
          </cell>
          <cell r="W1359">
            <v>12307.6</v>
          </cell>
          <cell r="X1359">
            <v>0.8</v>
          </cell>
          <cell r="Y1359">
            <v>0</v>
          </cell>
          <cell r="Z1359">
            <v>0</v>
          </cell>
          <cell r="AA1359">
            <v>14891</v>
          </cell>
          <cell r="AB1359">
            <v>12308</v>
          </cell>
          <cell r="AC1359">
            <v>13676</v>
          </cell>
          <cell r="AD1359">
            <v>14436</v>
          </cell>
          <cell r="AE1359">
            <v>15194.57</v>
          </cell>
          <cell r="AF1359">
            <v>0.19000011188207364</v>
          </cell>
          <cell r="AG1359">
            <v>0.26694865336761753</v>
          </cell>
          <cell r="AH1359">
            <v>16891</v>
          </cell>
          <cell r="AI1359">
            <v>18587</v>
          </cell>
          <cell r="AJ1359">
            <v>0.33783827406251682</v>
          </cell>
          <cell r="AK1359">
            <v>20282.5</v>
          </cell>
          <cell r="AL1359">
            <v>21978</v>
          </cell>
          <cell r="AM1359">
            <v>0.44000364000364001</v>
          </cell>
          <cell r="AN1359">
            <v>23439.75</v>
          </cell>
          <cell r="AO1359">
            <v>24901.5</v>
          </cell>
          <cell r="AP1359">
            <v>26363.25</v>
          </cell>
          <cell r="AQ1359">
            <v>0</v>
          </cell>
          <cell r="AS1359">
            <v>27825</v>
          </cell>
        </row>
        <row r="1360">
          <cell r="B1360" t="str">
            <v>AC</v>
          </cell>
          <cell r="C1360" t="str">
            <v>DOM</v>
          </cell>
          <cell r="D1360" t="str">
            <v>BT</v>
          </cell>
          <cell r="E1360" t="str">
            <v>P3</v>
          </cell>
          <cell r="F1360">
            <v>39924</v>
          </cell>
          <cell r="G1360">
            <v>40001</v>
          </cell>
          <cell r="H1360" t="str">
            <v>A074WY0</v>
          </cell>
          <cell r="I1360" t="str">
            <v>4KMGMIC409_N</v>
          </cell>
          <cell r="J1360" t="str">
            <v>x</v>
          </cell>
          <cell r="K1360" t="str">
            <v>IC-409 EFI Fiery Embedded Controller</v>
          </cell>
          <cell r="L1360">
            <v>4158</v>
          </cell>
          <cell r="M1360">
            <v>2193</v>
          </cell>
          <cell r="N1360">
            <v>2258.79</v>
          </cell>
          <cell r="O1360">
            <v>-0.17647058823529418</v>
          </cell>
          <cell r="P1360">
            <v>1919.9714999999999</v>
          </cell>
          <cell r="Q1360">
            <v>2324.58</v>
          </cell>
          <cell r="R1360">
            <v>2510.5500000000002</v>
          </cell>
          <cell r="S1360">
            <v>2572.5</v>
          </cell>
          <cell r="T1360">
            <v>0.12194752186588922</v>
          </cell>
          <cell r="U1360">
            <v>2258.79</v>
          </cell>
          <cell r="V1360">
            <v>0</v>
          </cell>
          <cell r="W1360">
            <v>1919.9714999999999</v>
          </cell>
          <cell r="X1360">
            <v>0.74634460641399414</v>
          </cell>
          <cell r="AA1360">
            <v>2323</v>
          </cell>
          <cell r="AB1360">
            <v>1920</v>
          </cell>
          <cell r="AC1360">
            <v>2134</v>
          </cell>
          <cell r="AD1360">
            <v>2253</v>
          </cell>
          <cell r="AE1360">
            <v>2370.34</v>
          </cell>
          <cell r="AF1360">
            <v>0.19000164533358094</v>
          </cell>
          <cell r="AG1360">
            <v>4.7060759215977528E-2</v>
          </cell>
          <cell r="AH1360">
            <v>2419</v>
          </cell>
          <cell r="AI1360">
            <v>2466</v>
          </cell>
          <cell r="AJ1360">
            <v>0.22142274939172754</v>
          </cell>
          <cell r="AK1360">
            <v>2513</v>
          </cell>
          <cell r="AL1360">
            <v>2560</v>
          </cell>
          <cell r="AM1360">
            <v>0.25001113281250004</v>
          </cell>
          <cell r="AN1360">
            <v>2919.99</v>
          </cell>
          <cell r="AO1360">
            <v>3279.98</v>
          </cell>
          <cell r="AP1360">
            <v>3639.97</v>
          </cell>
          <cell r="AQ1360">
            <v>0</v>
          </cell>
          <cell r="AS1360">
            <v>4158</v>
          </cell>
        </row>
        <row r="1361">
          <cell r="B1361" t="str">
            <v>AC</v>
          </cell>
          <cell r="C1361" t="str">
            <v>DOM</v>
          </cell>
          <cell r="D1361" t="str">
            <v>BT</v>
          </cell>
          <cell r="E1361" t="str">
            <v>P3</v>
          </cell>
          <cell r="F1361">
            <v>39924</v>
          </cell>
          <cell r="G1361">
            <v>40001</v>
          </cell>
          <cell r="H1361" t="str">
            <v>A074WY1</v>
          </cell>
          <cell r="I1361" t="str">
            <v>4KMIC409_N</v>
          </cell>
          <cell r="J1361" t="str">
            <v>x</v>
          </cell>
          <cell r="K1361" t="str">
            <v>IC-409 EFI Fiery Embedded Controller</v>
          </cell>
          <cell r="L1361">
            <v>4158</v>
          </cell>
          <cell r="M1361">
            <v>2193</v>
          </cell>
          <cell r="N1361">
            <v>2258.79</v>
          </cell>
          <cell r="O1361">
            <v>-0.17647058823529418</v>
          </cell>
          <cell r="P1361">
            <v>1919.9714999999999</v>
          </cell>
          <cell r="Q1361">
            <v>2324.58</v>
          </cell>
          <cell r="R1361">
            <v>2510.5500000000002</v>
          </cell>
          <cell r="S1361">
            <v>2572.5</v>
          </cell>
          <cell r="T1361">
            <v>0.12194752186588922</v>
          </cell>
          <cell r="U1361">
            <v>2258.79</v>
          </cell>
          <cell r="V1361">
            <v>0</v>
          </cell>
          <cell r="W1361">
            <v>1919.9714999999999</v>
          </cell>
          <cell r="X1361">
            <v>0.74634460641399414</v>
          </cell>
          <cell r="AA1361">
            <v>2323</v>
          </cell>
          <cell r="AB1361">
            <v>1920</v>
          </cell>
          <cell r="AC1361">
            <v>2134</v>
          </cell>
          <cell r="AD1361">
            <v>2253</v>
          </cell>
          <cell r="AE1361">
            <v>2370.34</v>
          </cell>
          <cell r="AF1361">
            <v>0.19000164533358094</v>
          </cell>
          <cell r="AG1361">
            <v>4.7060759215977528E-2</v>
          </cell>
          <cell r="AH1361">
            <v>2419</v>
          </cell>
          <cell r="AI1361">
            <v>2466</v>
          </cell>
          <cell r="AJ1361">
            <v>0.22142274939172754</v>
          </cell>
          <cell r="AK1361">
            <v>2513</v>
          </cell>
          <cell r="AL1361">
            <v>2560</v>
          </cell>
          <cell r="AM1361">
            <v>0.25001113281250004</v>
          </cell>
          <cell r="AN1361">
            <v>2919.99</v>
          </cell>
          <cell r="AO1361">
            <v>3279.98</v>
          </cell>
          <cell r="AP1361">
            <v>3639.97</v>
          </cell>
          <cell r="AQ1361">
            <v>0</v>
          </cell>
          <cell r="AS1361">
            <v>4158</v>
          </cell>
        </row>
        <row r="1362">
          <cell r="B1362" t="str">
            <v>AC</v>
          </cell>
          <cell r="C1362" t="str">
            <v>IMP</v>
          </cell>
          <cell r="D1362" t="str">
            <v>BT</v>
          </cell>
          <cell r="E1362" t="str">
            <v>08</v>
          </cell>
          <cell r="F1362">
            <v>39924</v>
          </cell>
          <cell r="G1362">
            <v>40015</v>
          </cell>
          <cell r="H1362" t="str">
            <v>A075010</v>
          </cell>
          <cell r="I1362" t="str">
            <v>6KMPB501PBU_N</v>
          </cell>
          <cell r="J1362" t="str">
            <v>DNU</v>
          </cell>
          <cell r="K1362" t="str">
            <v>PB-501 Perfect Binder</v>
          </cell>
          <cell r="L1362">
            <v>36750</v>
          </cell>
          <cell r="M1362">
            <v>11730</v>
          </cell>
          <cell r="N1362">
            <v>12199.2</v>
          </cell>
          <cell r="O1362">
            <v>0.2103382563125297</v>
          </cell>
          <cell r="P1362">
            <v>15448.64</v>
          </cell>
          <cell r="Q1362">
            <v>12433.8</v>
          </cell>
          <cell r="R1362">
            <v>13428.5</v>
          </cell>
          <cell r="S1362">
            <v>19310.8</v>
          </cell>
          <cell r="T1362">
            <v>0.36827060505002374</v>
          </cell>
          <cell r="U1362">
            <v>14954.283519999999</v>
          </cell>
          <cell r="V1362">
            <v>0.18423373586005132</v>
          </cell>
          <cell r="W1362">
            <v>15448.64</v>
          </cell>
          <cell r="X1362">
            <v>0.8</v>
          </cell>
          <cell r="Y1362">
            <v>0</v>
          </cell>
          <cell r="Z1362">
            <v>0</v>
          </cell>
          <cell r="AA1362">
            <v>18691</v>
          </cell>
          <cell r="AB1362">
            <v>15449</v>
          </cell>
          <cell r="AC1362">
            <v>17166</v>
          </cell>
          <cell r="AD1362">
            <v>18120</v>
          </cell>
          <cell r="AE1362">
            <v>19072.400000000001</v>
          </cell>
          <cell r="AF1362">
            <v>0.19000020972714507</v>
          </cell>
          <cell r="AG1362">
            <v>0.36037415322665212</v>
          </cell>
          <cell r="AH1362">
            <v>21202</v>
          </cell>
          <cell r="AI1362">
            <v>23330</v>
          </cell>
          <cell r="AJ1362">
            <v>0.33782083154736392</v>
          </cell>
          <cell r="AK1362">
            <v>25458.5</v>
          </cell>
          <cell r="AL1362">
            <v>27587</v>
          </cell>
          <cell r="AM1362">
            <v>0.44000289991662744</v>
          </cell>
          <cell r="AN1362">
            <v>29877.75</v>
          </cell>
          <cell r="AO1362">
            <v>32168.5</v>
          </cell>
          <cell r="AP1362">
            <v>34459.25</v>
          </cell>
          <cell r="AQ1362">
            <v>0</v>
          </cell>
          <cell r="AS1362">
            <v>36750</v>
          </cell>
        </row>
        <row r="1363">
          <cell r="B1363" t="str">
            <v>AC</v>
          </cell>
          <cell r="C1363" t="str">
            <v>IMP</v>
          </cell>
          <cell r="D1363" t="str">
            <v>BT</v>
          </cell>
          <cell r="E1363" t="str">
            <v>P3</v>
          </cell>
          <cell r="F1363">
            <v>39924</v>
          </cell>
          <cell r="G1363">
            <v>40946</v>
          </cell>
          <cell r="H1363" t="str">
            <v>A075011</v>
          </cell>
          <cell r="I1363" t="str">
            <v>6KMPB501PBU_N</v>
          </cell>
          <cell r="K1363" t="str">
            <v>PB-501 Perfect Binder</v>
          </cell>
          <cell r="L1363">
            <v>36750</v>
          </cell>
          <cell r="M1363">
            <v>11730</v>
          </cell>
          <cell r="N1363">
            <v>12199.2</v>
          </cell>
          <cell r="O1363">
            <v>-0.17647058823529421</v>
          </cell>
          <cell r="P1363">
            <v>10369.32</v>
          </cell>
          <cell r="Q1363">
            <v>12433.8</v>
          </cell>
          <cell r="R1363">
            <v>13428.5</v>
          </cell>
          <cell r="S1363">
            <v>19310.8</v>
          </cell>
          <cell r="T1363">
            <v>0.36827060505002374</v>
          </cell>
          <cell r="U1363">
            <v>14954.283519999999</v>
          </cell>
          <cell r="V1363">
            <v>0.18423373586005132</v>
          </cell>
          <cell r="W1363">
            <v>10369.32</v>
          </cell>
          <cell r="X1363">
            <v>0.53696998570747978</v>
          </cell>
          <cell r="Y1363">
            <v>0</v>
          </cell>
          <cell r="Z1363">
            <v>0</v>
          </cell>
          <cell r="AA1363">
            <v>12546</v>
          </cell>
          <cell r="AB1363">
            <v>10370</v>
          </cell>
          <cell r="AC1363">
            <v>11522</v>
          </cell>
          <cell r="AD1363">
            <v>12162</v>
          </cell>
          <cell r="AE1363">
            <v>12801.63</v>
          </cell>
          <cell r="AF1363">
            <v>0.19000002343451575</v>
          </cell>
          <cell r="AG1363">
            <v>4.7058851099430192E-2</v>
          </cell>
          <cell r="AH1363">
            <v>13058</v>
          </cell>
          <cell r="AI1363">
            <v>13314</v>
          </cell>
          <cell r="AJ1363">
            <v>0.22117169896349709</v>
          </cell>
          <cell r="AK1363">
            <v>13570</v>
          </cell>
          <cell r="AL1363">
            <v>13826</v>
          </cell>
          <cell r="AM1363">
            <v>0.25001301894980471</v>
          </cell>
          <cell r="AN1363">
            <v>15770.19</v>
          </cell>
          <cell r="AO1363">
            <v>17714.38</v>
          </cell>
          <cell r="AP1363">
            <v>19658.57</v>
          </cell>
          <cell r="AQ1363">
            <v>0</v>
          </cell>
          <cell r="AS1363">
            <v>36750</v>
          </cell>
        </row>
        <row r="1364">
          <cell r="B1364" t="str">
            <v>AC</v>
          </cell>
          <cell r="C1364" t="str">
            <v>IMP</v>
          </cell>
          <cell r="D1364" t="str">
            <v>BT</v>
          </cell>
          <cell r="E1364" t="str">
            <v>P3</v>
          </cell>
          <cell r="F1364">
            <v>39924</v>
          </cell>
          <cell r="G1364">
            <v>40001</v>
          </cell>
          <cell r="H1364" t="str">
            <v>A07P0W0</v>
          </cell>
          <cell r="I1364" t="str">
            <v>6KMFS518_N</v>
          </cell>
          <cell r="K1364" t="str">
            <v>FS-518 100 Sheet Staple Finisher</v>
          </cell>
          <cell r="L1364">
            <v>4620</v>
          </cell>
          <cell r="M1364">
            <v>1581</v>
          </cell>
          <cell r="N1364">
            <v>1644.24</v>
          </cell>
          <cell r="O1364">
            <v>-0.1764705882352941</v>
          </cell>
          <cell r="P1364">
            <v>1397.604</v>
          </cell>
          <cell r="Q1364">
            <v>1675.86</v>
          </cell>
          <cell r="R1364">
            <v>1809.93</v>
          </cell>
          <cell r="S1364">
            <v>2494.8000000000002</v>
          </cell>
          <cell r="T1364">
            <v>0.34093314093314098</v>
          </cell>
          <cell r="U1364">
            <v>1931.9731200000001</v>
          </cell>
          <cell r="V1364">
            <v>0.14893225843639071</v>
          </cell>
          <cell r="W1364">
            <v>1397.604</v>
          </cell>
          <cell r="X1364">
            <v>0.56020683020683015</v>
          </cell>
          <cell r="AA1364">
            <v>1691</v>
          </cell>
          <cell r="AB1364">
            <v>1398</v>
          </cell>
          <cell r="AC1364">
            <v>1553</v>
          </cell>
          <cell r="AD1364">
            <v>1640</v>
          </cell>
          <cell r="AE1364">
            <v>1725.44</v>
          </cell>
          <cell r="AF1364">
            <v>0.1900013909495549</v>
          </cell>
          <cell r="AG1364">
            <v>4.7060459940652846E-2</v>
          </cell>
          <cell r="AH1364">
            <v>1761</v>
          </cell>
          <cell r="AI1364">
            <v>1795</v>
          </cell>
          <cell r="AJ1364">
            <v>0.22139052924791083</v>
          </cell>
          <cell r="AK1364">
            <v>1829.5</v>
          </cell>
          <cell r="AL1364">
            <v>1864</v>
          </cell>
          <cell r="AM1364">
            <v>0.25021244635193129</v>
          </cell>
          <cell r="AN1364">
            <v>2125.92</v>
          </cell>
          <cell r="AO1364">
            <v>2387.84</v>
          </cell>
          <cell r="AP1364">
            <v>2649.76</v>
          </cell>
          <cell r="AQ1364">
            <v>0</v>
          </cell>
          <cell r="AS1364">
            <v>4620</v>
          </cell>
        </row>
        <row r="1365">
          <cell r="B1365" t="str">
            <v>AC</v>
          </cell>
          <cell r="C1365" t="str">
            <v>IMP</v>
          </cell>
          <cell r="D1365" t="str">
            <v>BT</v>
          </cell>
          <cell r="E1365" t="str">
            <v>08</v>
          </cell>
          <cell r="F1365">
            <v>39924</v>
          </cell>
          <cell r="G1365">
            <v>40001</v>
          </cell>
          <cell r="H1365" t="str">
            <v>A07R0W0</v>
          </cell>
          <cell r="I1365" t="str">
            <v>6KMFS517STPF_N</v>
          </cell>
          <cell r="K1365" t="str">
            <v>FS-517 50 Sheet Staple Finisher</v>
          </cell>
          <cell r="L1365">
            <v>2342</v>
          </cell>
          <cell r="M1365">
            <v>918</v>
          </cell>
          <cell r="N1365">
            <v>954.72</v>
          </cell>
          <cell r="O1365">
            <v>0.10506186726659161</v>
          </cell>
          <cell r="P1365">
            <v>1066.8</v>
          </cell>
          <cell r="Q1365">
            <v>973.08</v>
          </cell>
          <cell r="R1365">
            <v>1050.93</v>
          </cell>
          <cell r="S1365">
            <v>1333.5</v>
          </cell>
          <cell r="T1365">
            <v>0.28404949381327332</v>
          </cell>
          <cell r="U1365">
            <v>1032.6623999999999</v>
          </cell>
          <cell r="V1365">
            <v>7.5477135605983056E-2</v>
          </cell>
          <cell r="W1365">
            <v>1066.8</v>
          </cell>
          <cell r="X1365">
            <v>0.79999999999999993</v>
          </cell>
          <cell r="AA1365">
            <v>1291</v>
          </cell>
          <cell r="AB1365">
            <v>1067</v>
          </cell>
          <cell r="AC1365">
            <v>1186</v>
          </cell>
          <cell r="AD1365">
            <v>1252</v>
          </cell>
          <cell r="AE1365">
            <v>1317.04</v>
          </cell>
          <cell r="AF1365">
            <v>0.1900018222681164</v>
          </cell>
          <cell r="AG1365">
            <v>0.27510174330316461</v>
          </cell>
          <cell r="AH1365">
            <v>1465</v>
          </cell>
          <cell r="AI1365">
            <v>1612</v>
          </cell>
          <cell r="AJ1365">
            <v>0.33821339950372209</v>
          </cell>
          <cell r="AK1365">
            <v>1758.5</v>
          </cell>
          <cell r="AL1365">
            <v>1905</v>
          </cell>
          <cell r="AM1365">
            <v>0.44</v>
          </cell>
          <cell r="AN1365">
            <v>2014.25</v>
          </cell>
          <cell r="AO1365">
            <v>2123.5</v>
          </cell>
          <cell r="AP1365">
            <v>2232.75</v>
          </cell>
          <cell r="AQ1365">
            <v>0</v>
          </cell>
          <cell r="AS1365">
            <v>2342</v>
          </cell>
        </row>
        <row r="1366">
          <cell r="B1366" t="str">
            <v>AC</v>
          </cell>
          <cell r="C1366" t="str">
            <v>IMP</v>
          </cell>
          <cell r="D1366" t="str">
            <v>BT</v>
          </cell>
          <cell r="E1366" t="str">
            <v>P3</v>
          </cell>
          <cell r="F1366">
            <v>39980</v>
          </cell>
          <cell r="G1366">
            <v>40001</v>
          </cell>
          <cell r="H1366" t="str">
            <v>A07R0W1</v>
          </cell>
          <cell r="I1366" t="str">
            <v>6KMFS517STPF_N</v>
          </cell>
          <cell r="J1366" t="str">
            <v>x</v>
          </cell>
          <cell r="K1366" t="str">
            <v>FS-517 50 Sheet Staple Finisher</v>
          </cell>
          <cell r="L1366">
            <v>2342</v>
          </cell>
          <cell r="M1366">
            <v>918</v>
          </cell>
          <cell r="N1366">
            <v>954.72</v>
          </cell>
          <cell r="O1366">
            <v>-0.17647058823529407</v>
          </cell>
          <cell r="P1366">
            <v>811.51200000000006</v>
          </cell>
          <cell r="Q1366">
            <v>973.08</v>
          </cell>
          <cell r="R1366">
            <v>1050.93</v>
          </cell>
          <cell r="S1366">
            <v>1333.5</v>
          </cell>
          <cell r="T1366">
            <v>0.28404949381327332</v>
          </cell>
          <cell r="U1366">
            <v>1032.6623999999999</v>
          </cell>
          <cell r="V1366">
            <v>7.5477135605983056E-2</v>
          </cell>
          <cell r="W1366">
            <v>811.51200000000006</v>
          </cell>
          <cell r="X1366">
            <v>0.60855793025871774</v>
          </cell>
          <cell r="AA1366">
            <v>982</v>
          </cell>
          <cell r="AB1366">
            <v>812</v>
          </cell>
          <cell r="AC1366">
            <v>902</v>
          </cell>
          <cell r="AD1366">
            <v>952</v>
          </cell>
          <cell r="AE1366">
            <v>1001.87</v>
          </cell>
          <cell r="AF1366">
            <v>0.19000269496042396</v>
          </cell>
          <cell r="AG1366">
            <v>4.7061994071087042E-2</v>
          </cell>
          <cell r="AH1366">
            <v>1023</v>
          </cell>
          <cell r="AI1366">
            <v>1043</v>
          </cell>
          <cell r="AJ1366">
            <v>0.22194439117929046</v>
          </cell>
          <cell r="AK1366">
            <v>1063</v>
          </cell>
          <cell r="AL1366">
            <v>1083</v>
          </cell>
          <cell r="AM1366">
            <v>0.25068144044321322</v>
          </cell>
          <cell r="AN1366">
            <v>1234.9100000000001</v>
          </cell>
          <cell r="AO1366">
            <v>1386.82</v>
          </cell>
          <cell r="AP1366">
            <v>1538.73</v>
          </cell>
          <cell r="AQ1366">
            <v>0</v>
          </cell>
          <cell r="AS1366">
            <v>2342</v>
          </cell>
        </row>
        <row r="1367">
          <cell r="B1367" t="str">
            <v>AC</v>
          </cell>
          <cell r="C1367" t="str">
            <v>IMP</v>
          </cell>
          <cell r="D1367" t="str">
            <v>BT</v>
          </cell>
          <cell r="E1367" t="str">
            <v>P3</v>
          </cell>
          <cell r="F1367">
            <v>39924</v>
          </cell>
          <cell r="G1367">
            <v>40001</v>
          </cell>
          <cell r="H1367" t="str">
            <v>A07T010</v>
          </cell>
          <cell r="I1367" t="str">
            <v>6KMZU603ZFU_N</v>
          </cell>
          <cell r="K1367" t="str">
            <v>ZU-603 X-Fold Unit</v>
          </cell>
          <cell r="L1367">
            <v>5198</v>
          </cell>
          <cell r="M1367">
            <v>1989</v>
          </cell>
          <cell r="N1367">
            <v>2068.56</v>
          </cell>
          <cell r="O1367">
            <v>-0.17647058823529418</v>
          </cell>
          <cell r="P1367">
            <v>1758.2759999999998</v>
          </cell>
          <cell r="Q1367">
            <v>2108.34</v>
          </cell>
          <cell r="R1367">
            <v>2277.0100000000002</v>
          </cell>
          <cell r="S1367">
            <v>3360</v>
          </cell>
          <cell r="T1367">
            <v>0.3843571428571429</v>
          </cell>
          <cell r="U1367">
            <v>2601.9839999999999</v>
          </cell>
          <cell r="V1367">
            <v>0.20500664108618655</v>
          </cell>
          <cell r="W1367">
            <v>1758.2759999999998</v>
          </cell>
          <cell r="X1367">
            <v>0.52329642857142855</v>
          </cell>
          <cell r="AA1367">
            <v>2127</v>
          </cell>
          <cell r="AB1367">
            <v>1759</v>
          </cell>
          <cell r="AC1367">
            <v>1954</v>
          </cell>
          <cell r="AD1367">
            <v>2063</v>
          </cell>
          <cell r="AE1367">
            <v>2170.71</v>
          </cell>
          <cell r="AF1367">
            <v>0.18999958538911241</v>
          </cell>
          <cell r="AG1367">
            <v>4.7058335751896885E-2</v>
          </cell>
          <cell r="AH1367">
            <v>2215</v>
          </cell>
          <cell r="AI1367">
            <v>2258</v>
          </cell>
          <cell r="AJ1367">
            <v>0.22131266607617367</v>
          </cell>
          <cell r="AK1367">
            <v>2301.5</v>
          </cell>
          <cell r="AL1367">
            <v>2345</v>
          </cell>
          <cell r="AM1367">
            <v>0.25020213219616211</v>
          </cell>
          <cell r="AN1367">
            <v>2674.52</v>
          </cell>
          <cell r="AO1367">
            <v>3004.04</v>
          </cell>
          <cell r="AP1367">
            <v>3333.56</v>
          </cell>
          <cell r="AQ1367">
            <v>0</v>
          </cell>
          <cell r="AS1367">
            <v>5198</v>
          </cell>
        </row>
        <row r="1368">
          <cell r="B1368" t="str">
            <v>AC</v>
          </cell>
          <cell r="C1368" t="str">
            <v>IMP</v>
          </cell>
          <cell r="D1368" t="str">
            <v>BT</v>
          </cell>
          <cell r="E1368" t="str">
            <v>08</v>
          </cell>
          <cell r="F1368">
            <v>39924</v>
          </cell>
          <cell r="G1368">
            <v>40001</v>
          </cell>
          <cell r="H1368" t="str">
            <v>A07U0W0</v>
          </cell>
          <cell r="I1368" t="str">
            <v>6KMFS608SF_N</v>
          </cell>
          <cell r="K1368" t="str">
            <v>FS-608 Saddle Finisher</v>
          </cell>
          <cell r="L1368">
            <v>4043</v>
          </cell>
          <cell r="M1368">
            <v>1530</v>
          </cell>
          <cell r="N1368">
            <v>1591.2</v>
          </cell>
          <cell r="O1368">
            <v>0.11893687707641193</v>
          </cell>
          <cell r="P1368">
            <v>1806</v>
          </cell>
          <cell r="Q1368">
            <v>1621.8</v>
          </cell>
          <cell r="R1368">
            <v>1751.54</v>
          </cell>
          <cell r="S1368">
            <v>2257.5</v>
          </cell>
          <cell r="T1368">
            <v>0.29514950166112952</v>
          </cell>
          <cell r="U1368">
            <v>1748.2079999999999</v>
          </cell>
          <cell r="V1368">
            <v>8.9810823426045308E-2</v>
          </cell>
          <cell r="W1368">
            <v>1806</v>
          </cell>
          <cell r="X1368">
            <v>0.8</v>
          </cell>
          <cell r="AA1368">
            <v>2185</v>
          </cell>
          <cell r="AB1368">
            <v>1806</v>
          </cell>
          <cell r="AC1368">
            <v>2007</v>
          </cell>
          <cell r="AD1368">
            <v>2119</v>
          </cell>
          <cell r="AE1368">
            <v>2229.63</v>
          </cell>
          <cell r="AF1368">
            <v>0.19000013455147272</v>
          </cell>
          <cell r="AG1368">
            <v>0.28633898898023441</v>
          </cell>
          <cell r="AH1368">
            <v>2479</v>
          </cell>
          <cell r="AI1368">
            <v>2728</v>
          </cell>
          <cell r="AJ1368">
            <v>0.33797653958944279</v>
          </cell>
          <cell r="AK1368">
            <v>2976.5</v>
          </cell>
          <cell r="AL1368">
            <v>3225</v>
          </cell>
          <cell r="AM1368">
            <v>0.44</v>
          </cell>
          <cell r="AN1368">
            <v>3429.5</v>
          </cell>
          <cell r="AO1368">
            <v>3634</v>
          </cell>
          <cell r="AP1368">
            <v>3838.5</v>
          </cell>
          <cell r="AQ1368">
            <v>0</v>
          </cell>
          <cell r="AS1368">
            <v>4043</v>
          </cell>
        </row>
        <row r="1369">
          <cell r="B1369" t="str">
            <v>AC</v>
          </cell>
          <cell r="C1369" t="str">
            <v>IMP</v>
          </cell>
          <cell r="D1369" t="str">
            <v>BT</v>
          </cell>
          <cell r="E1369" t="str">
            <v>P3</v>
          </cell>
          <cell r="F1369">
            <v>39980</v>
          </cell>
          <cell r="G1369">
            <v>40001</v>
          </cell>
          <cell r="H1369" t="str">
            <v>A07U0W1</v>
          </cell>
          <cell r="I1369" t="str">
            <v>6KMFS608SF_N</v>
          </cell>
          <cell r="J1369" t="str">
            <v>x</v>
          </cell>
          <cell r="K1369" t="str">
            <v>FS-608 Saddle Finisher</v>
          </cell>
          <cell r="L1369">
            <v>4043</v>
          </cell>
          <cell r="M1369">
            <v>1530</v>
          </cell>
          <cell r="N1369">
            <v>1591.2</v>
          </cell>
          <cell r="O1369">
            <v>-0.17647058823529416</v>
          </cell>
          <cell r="P1369">
            <v>1352.52</v>
          </cell>
          <cell r="Q1369">
            <v>1621.8</v>
          </cell>
          <cell r="R1369">
            <v>1751.54</v>
          </cell>
          <cell r="S1369">
            <v>2257.5</v>
          </cell>
          <cell r="T1369">
            <v>0.29514950166112952</v>
          </cell>
          <cell r="U1369">
            <v>1748.2079999999999</v>
          </cell>
          <cell r="V1369">
            <v>8.9810823426045308E-2</v>
          </cell>
          <cell r="W1369">
            <v>1352.52</v>
          </cell>
          <cell r="X1369">
            <v>0.59912292358803987</v>
          </cell>
          <cell r="AA1369">
            <v>1636</v>
          </cell>
          <cell r="AB1369">
            <v>1353</v>
          </cell>
          <cell r="AC1369">
            <v>1503</v>
          </cell>
          <cell r="AD1369">
            <v>1587</v>
          </cell>
          <cell r="AE1369">
            <v>1669.78</v>
          </cell>
          <cell r="AF1369">
            <v>0.19000107798632154</v>
          </cell>
          <cell r="AG1369">
            <v>4.7060091748613544E-2</v>
          </cell>
          <cell r="AH1369">
            <v>1704</v>
          </cell>
          <cell r="AI1369">
            <v>1737</v>
          </cell>
          <cell r="AJ1369">
            <v>0.22134715025906737</v>
          </cell>
          <cell r="AK1369">
            <v>1770.5</v>
          </cell>
          <cell r="AL1369">
            <v>1804</v>
          </cell>
          <cell r="AM1369">
            <v>0.25026607538802664</v>
          </cell>
          <cell r="AN1369">
            <v>2057.44</v>
          </cell>
          <cell r="AO1369">
            <v>2310.88</v>
          </cell>
          <cell r="AP1369">
            <v>2564.3200000000002</v>
          </cell>
          <cell r="AQ1369">
            <v>0</v>
          </cell>
          <cell r="AS1369">
            <v>4043</v>
          </cell>
        </row>
        <row r="1370">
          <cell r="B1370" t="str">
            <v>AC</v>
          </cell>
          <cell r="C1370" t="str">
            <v>IMP</v>
          </cell>
          <cell r="D1370" t="str">
            <v>BT</v>
          </cell>
          <cell r="E1370" t="str">
            <v>P3</v>
          </cell>
          <cell r="F1370">
            <v>39924</v>
          </cell>
          <cell r="G1370">
            <v>40001</v>
          </cell>
          <cell r="H1370" t="str">
            <v>A07V0W0</v>
          </cell>
          <cell r="I1370" t="str">
            <v>3KMHPI503PI</v>
          </cell>
          <cell r="K1370" t="str">
            <v>PI-503 Post inserter for FS-517/518/608</v>
          </cell>
          <cell r="L1370">
            <v>1050</v>
          </cell>
          <cell r="M1370">
            <v>362</v>
          </cell>
          <cell r="N1370">
            <v>376.48</v>
          </cell>
          <cell r="O1370">
            <v>-0.17647058823529424</v>
          </cell>
          <cell r="P1370">
            <v>320.00799999999998</v>
          </cell>
          <cell r="Q1370">
            <v>383.72</v>
          </cell>
          <cell r="R1370">
            <v>414.42</v>
          </cell>
          <cell r="S1370">
            <v>568.6</v>
          </cell>
          <cell r="T1370">
            <v>0.33788251846640871</v>
          </cell>
          <cell r="U1370">
            <v>440.32384000000002</v>
          </cell>
          <cell r="V1370">
            <v>0.14499292157335836</v>
          </cell>
          <cell r="W1370">
            <v>320.00799999999998</v>
          </cell>
          <cell r="X1370">
            <v>0.56279985930355259</v>
          </cell>
          <cell r="AA1370">
            <v>387</v>
          </cell>
          <cell r="AB1370">
            <v>321</v>
          </cell>
          <cell r="AC1370">
            <v>356</v>
          </cell>
          <cell r="AD1370">
            <v>376</v>
          </cell>
          <cell r="AE1370">
            <v>395.07</v>
          </cell>
          <cell r="AF1370">
            <v>0.18999670944389604</v>
          </cell>
          <cell r="AG1370">
            <v>4.705495228693643E-2</v>
          </cell>
          <cell r="AH1370">
            <v>404</v>
          </cell>
          <cell r="AI1370">
            <v>412</v>
          </cell>
          <cell r="AJ1370">
            <v>0.2232815533980583</v>
          </cell>
          <cell r="AK1370">
            <v>419.5</v>
          </cell>
          <cell r="AL1370">
            <v>427</v>
          </cell>
          <cell r="AM1370">
            <v>0.25056674473067919</v>
          </cell>
          <cell r="AN1370">
            <v>486.92</v>
          </cell>
          <cell r="AO1370">
            <v>546.84</v>
          </cell>
          <cell r="AP1370">
            <v>606.76</v>
          </cell>
          <cell r="AQ1370">
            <v>0</v>
          </cell>
          <cell r="AS1370">
            <v>1050</v>
          </cell>
        </row>
        <row r="1371">
          <cell r="B1371" t="str">
            <v>SPC</v>
          </cell>
          <cell r="C1371" t="str">
            <v>IMP</v>
          </cell>
          <cell r="D1371" t="str">
            <v>BT</v>
          </cell>
          <cell r="E1371" t="str">
            <v>08</v>
          </cell>
          <cell r="F1371">
            <v>39924</v>
          </cell>
          <cell r="G1371">
            <v>40114</v>
          </cell>
          <cell r="H1371" t="str">
            <v>A0800Y0</v>
          </cell>
          <cell r="I1371" t="str">
            <v>SBKMGC501</v>
          </cell>
          <cell r="J1371" t="str">
            <v>DNU</v>
          </cell>
          <cell r="K1371" t="str">
            <v>GC-501 Glue for PB-503 (Yield: 333 books (100 page, 8.5x 11 books)</v>
          </cell>
          <cell r="L1371">
            <v>40</v>
          </cell>
          <cell r="M1371">
            <v>14.3</v>
          </cell>
          <cell r="N1371">
            <v>14.872000000000002</v>
          </cell>
          <cell r="O1371">
            <v>0.20214592274678106</v>
          </cell>
          <cell r="P1371">
            <v>18.64</v>
          </cell>
          <cell r="Q1371">
            <v>15.16</v>
          </cell>
          <cell r="R1371">
            <v>16.37</v>
          </cell>
          <cell r="S1371">
            <v>23.3</v>
          </cell>
          <cell r="T1371">
            <v>0.36171673819742484</v>
          </cell>
          <cell r="W1371">
            <v>18.64</v>
          </cell>
          <cell r="X1371">
            <v>0.8</v>
          </cell>
          <cell r="Y1371" t="str">
            <v>Act freight</v>
          </cell>
          <cell r="AA1371">
            <v>32</v>
          </cell>
          <cell r="AB1371">
            <v>22</v>
          </cell>
          <cell r="AC1371">
            <v>24</v>
          </cell>
          <cell r="AD1371">
            <v>29</v>
          </cell>
          <cell r="AE1371">
            <v>32.700000000000003</v>
          </cell>
          <cell r="AF1371">
            <v>0.42996941896024465</v>
          </cell>
          <cell r="AG1371">
            <v>0.54519877675840978</v>
          </cell>
          <cell r="AH1371">
            <v>35</v>
          </cell>
          <cell r="AI1371">
            <v>37</v>
          </cell>
          <cell r="AJ1371">
            <v>0.4962162162162162</v>
          </cell>
          <cell r="AK1371">
            <v>38.5</v>
          </cell>
          <cell r="AL1371">
            <v>40</v>
          </cell>
          <cell r="AM1371">
            <v>0.53400000000000003</v>
          </cell>
          <cell r="AN1371">
            <v>40</v>
          </cell>
          <cell r="AO1371">
            <v>40</v>
          </cell>
          <cell r="AP1371">
            <v>40</v>
          </cell>
          <cell r="AQ1371">
            <v>0</v>
          </cell>
          <cell r="AS1371">
            <v>40</v>
          </cell>
        </row>
        <row r="1372">
          <cell r="B1372" t="str">
            <v>SPC</v>
          </cell>
          <cell r="C1372" t="str">
            <v>IMP</v>
          </cell>
          <cell r="D1372" t="str">
            <v>BT</v>
          </cell>
          <cell r="E1372" t="str">
            <v>08</v>
          </cell>
          <cell r="F1372">
            <v>40038</v>
          </cell>
          <cell r="G1372">
            <v>40038</v>
          </cell>
          <cell r="H1372" t="str">
            <v>A080WY1</v>
          </cell>
          <cell r="I1372" t="str">
            <v>SAKMA080WY1</v>
          </cell>
          <cell r="K1372" t="str">
            <v>GC-501 Glue Chips (for PB-501, PB-502, PB-503) (Yield: 333 books (100 page, 8.5x 11 books)</v>
          </cell>
          <cell r="L1372">
            <v>40</v>
          </cell>
          <cell r="M1372">
            <v>14.3</v>
          </cell>
          <cell r="N1372">
            <v>14.872000000000002</v>
          </cell>
          <cell r="O1372">
            <v>0.20214592274678106</v>
          </cell>
          <cell r="P1372">
            <v>18.64</v>
          </cell>
          <cell r="Q1372">
            <v>15.16</v>
          </cell>
          <cell r="R1372">
            <v>16.37</v>
          </cell>
          <cell r="S1372">
            <v>23.3</v>
          </cell>
          <cell r="T1372">
            <v>0.36171673819742484</v>
          </cell>
          <cell r="W1372">
            <v>18.64</v>
          </cell>
          <cell r="X1372">
            <v>0.8</v>
          </cell>
          <cell r="AA1372">
            <v>32</v>
          </cell>
          <cell r="AB1372">
            <v>22</v>
          </cell>
          <cell r="AC1372">
            <v>24</v>
          </cell>
          <cell r="AD1372">
            <v>29</v>
          </cell>
          <cell r="AE1372">
            <v>32.700000000000003</v>
          </cell>
          <cell r="AF1372">
            <v>0.42996941896024465</v>
          </cell>
          <cell r="AG1372">
            <v>0.54519877675840978</v>
          </cell>
          <cell r="AH1372">
            <v>35</v>
          </cell>
          <cell r="AI1372">
            <v>37</v>
          </cell>
          <cell r="AJ1372">
            <v>0.4962162162162162</v>
          </cell>
          <cell r="AK1372">
            <v>38.5</v>
          </cell>
          <cell r="AL1372">
            <v>40</v>
          </cell>
          <cell r="AM1372">
            <v>0.53400000000000003</v>
          </cell>
          <cell r="AN1372">
            <v>40</v>
          </cell>
          <cell r="AO1372">
            <v>40</v>
          </cell>
          <cell r="AP1372">
            <v>40</v>
          </cell>
          <cell r="AQ1372">
            <v>0</v>
          </cell>
          <cell r="AS1372">
            <v>40</v>
          </cell>
        </row>
        <row r="1373">
          <cell r="B1373" t="str">
            <v>AC</v>
          </cell>
          <cell r="C1373" t="str">
            <v>IMP</v>
          </cell>
          <cell r="D1373" t="str">
            <v>BT</v>
          </cell>
          <cell r="E1373" t="str">
            <v>P3</v>
          </cell>
          <cell r="F1373">
            <v>39924</v>
          </cell>
          <cell r="G1373">
            <v>40190</v>
          </cell>
          <cell r="H1373" t="str">
            <v>A0830Y0</v>
          </cell>
          <cell r="I1373" t="str">
            <v>6KMJS505JST_N</v>
          </cell>
          <cell r="J1373" t="str">
            <v>DNU</v>
          </cell>
          <cell r="K1373" t="str">
            <v>JS-505 Job Separator</v>
          </cell>
          <cell r="L1373">
            <v>472</v>
          </cell>
          <cell r="M1373">
            <v>153</v>
          </cell>
          <cell r="N1373">
            <v>159.12</v>
          </cell>
          <cell r="O1373">
            <v>-0.17647058823529407</v>
          </cell>
          <cell r="P1373">
            <v>135.25200000000001</v>
          </cell>
          <cell r="Q1373">
            <v>162.18</v>
          </cell>
          <cell r="R1373">
            <v>175.15</v>
          </cell>
          <cell r="S1373">
            <v>246.5</v>
          </cell>
          <cell r="T1373">
            <v>0.35448275862068962</v>
          </cell>
          <cell r="U1373">
            <v>190.8896</v>
          </cell>
          <cell r="V1373">
            <v>0.16642918210316326</v>
          </cell>
          <cell r="W1373">
            <v>135.25200000000001</v>
          </cell>
          <cell r="X1373">
            <v>0.54868965517241386</v>
          </cell>
          <cell r="AA1373">
            <v>164</v>
          </cell>
          <cell r="AB1373">
            <v>136</v>
          </cell>
          <cell r="AC1373">
            <v>151</v>
          </cell>
          <cell r="AD1373">
            <v>159</v>
          </cell>
          <cell r="AE1373">
            <v>166.98</v>
          </cell>
          <cell r="AF1373">
            <v>0.19001077973409977</v>
          </cell>
          <cell r="AG1373">
            <v>4.7071505569529201E-2</v>
          </cell>
          <cell r="AH1373">
            <v>171</v>
          </cell>
          <cell r="AI1373">
            <v>174</v>
          </cell>
          <cell r="AJ1373">
            <v>0.22268965517241374</v>
          </cell>
          <cell r="AK1373">
            <v>177.5</v>
          </cell>
          <cell r="AL1373">
            <v>181</v>
          </cell>
          <cell r="AM1373">
            <v>0.25275138121546958</v>
          </cell>
          <cell r="AN1373">
            <v>206.19</v>
          </cell>
          <cell r="AO1373">
            <v>231.38</v>
          </cell>
          <cell r="AP1373">
            <v>256.57</v>
          </cell>
          <cell r="AQ1373">
            <v>0</v>
          </cell>
          <cell r="AS1373">
            <v>472</v>
          </cell>
        </row>
        <row r="1374">
          <cell r="B1374" t="str">
            <v>AC</v>
          </cell>
          <cell r="C1374" t="str">
            <v>IMP</v>
          </cell>
          <cell r="D1374" t="str">
            <v>BT</v>
          </cell>
          <cell r="E1374" t="str">
            <v>P3</v>
          </cell>
          <cell r="F1374">
            <v>39924</v>
          </cell>
          <cell r="G1374">
            <v>40001</v>
          </cell>
          <cell r="H1374" t="str">
            <v>A08R0Y0</v>
          </cell>
          <cell r="I1374" t="str">
            <v>3KMKPP701PFE</v>
          </cell>
          <cell r="J1374" t="str">
            <v>x</v>
          </cell>
          <cell r="K1374" t="str">
            <v>PP-701 Pre-Printed Paper Feed Enhance Kit - (For PF701 (15BY) )</v>
          </cell>
          <cell r="L1374">
            <v>1260</v>
          </cell>
          <cell r="M1374">
            <v>459</v>
          </cell>
          <cell r="N1374">
            <v>477.36</v>
          </cell>
          <cell r="O1374">
            <v>-0.17647058823529407</v>
          </cell>
          <cell r="P1374">
            <v>405.75600000000003</v>
          </cell>
          <cell r="Q1374">
            <v>486.54</v>
          </cell>
          <cell r="R1374">
            <v>525.46</v>
          </cell>
          <cell r="S1374">
            <v>688.3</v>
          </cell>
          <cell r="T1374">
            <v>0.30646520412610773</v>
          </cell>
          <cell r="U1374">
            <v>533.01951999999994</v>
          </cell>
          <cell r="V1374">
            <v>0.1044230425182176</v>
          </cell>
          <cell r="W1374">
            <v>405.75600000000003</v>
          </cell>
          <cell r="X1374">
            <v>0.58950457649280841</v>
          </cell>
          <cell r="AA1374">
            <v>491</v>
          </cell>
          <cell r="AB1374">
            <v>406</v>
          </cell>
          <cell r="AC1374">
            <v>451</v>
          </cell>
          <cell r="AD1374">
            <v>476</v>
          </cell>
          <cell r="AE1374">
            <v>500.93</v>
          </cell>
          <cell r="AF1374">
            <v>0.18999461002535281</v>
          </cell>
          <cell r="AG1374">
            <v>4.7052482382768039E-2</v>
          </cell>
          <cell r="AH1374">
            <v>512</v>
          </cell>
          <cell r="AI1374">
            <v>522</v>
          </cell>
          <cell r="AJ1374">
            <v>0.22268965517241374</v>
          </cell>
          <cell r="AK1374">
            <v>532</v>
          </cell>
          <cell r="AL1374">
            <v>542</v>
          </cell>
          <cell r="AM1374">
            <v>0.25137269372693721</v>
          </cell>
          <cell r="AN1374">
            <v>617.83000000000004</v>
          </cell>
          <cell r="AO1374">
            <v>693.66</v>
          </cell>
          <cell r="AP1374">
            <v>769.49</v>
          </cell>
          <cell r="AQ1374">
            <v>0</v>
          </cell>
          <cell r="AS1374">
            <v>1260</v>
          </cell>
        </row>
        <row r="1375">
          <cell r="B1375" t="str">
            <v>AC</v>
          </cell>
          <cell r="C1375" t="str">
            <v>IMP</v>
          </cell>
          <cell r="D1375" t="str">
            <v>BT</v>
          </cell>
          <cell r="E1375" t="str">
            <v>P3</v>
          </cell>
          <cell r="F1375">
            <v>39924</v>
          </cell>
          <cell r="G1375">
            <v>40001</v>
          </cell>
          <cell r="H1375" t="str">
            <v>A090WW0</v>
          </cell>
          <cell r="I1375" t="str">
            <v>3KMHEK602USBHB</v>
          </cell>
          <cell r="K1375" t="str">
            <v>EK-602 USB Host Board (Local I/F Kit)</v>
          </cell>
          <cell r="L1375">
            <v>189</v>
          </cell>
          <cell r="M1375">
            <v>61</v>
          </cell>
          <cell r="N1375">
            <v>63.440000000000005</v>
          </cell>
          <cell r="O1375">
            <v>-0.17647058823529421</v>
          </cell>
          <cell r="P1375">
            <v>53.923999999999999</v>
          </cell>
          <cell r="Q1375">
            <v>64.66</v>
          </cell>
          <cell r="R1375">
            <v>69.83</v>
          </cell>
          <cell r="S1375">
            <v>105</v>
          </cell>
          <cell r="T1375">
            <v>0.39580952380952378</v>
          </cell>
          <cell r="U1375">
            <v>81.311999999999998</v>
          </cell>
          <cell r="V1375">
            <v>0.21979535615899243</v>
          </cell>
          <cell r="W1375">
            <v>53.923999999999999</v>
          </cell>
          <cell r="X1375">
            <v>0.51356190476190478</v>
          </cell>
          <cell r="AA1375">
            <v>65</v>
          </cell>
          <cell r="AB1375">
            <v>54</v>
          </cell>
          <cell r="AC1375">
            <v>60</v>
          </cell>
          <cell r="AD1375">
            <v>64</v>
          </cell>
          <cell r="AE1375">
            <v>66.569999999999993</v>
          </cell>
          <cell r="AF1375">
            <v>0.18996544990235834</v>
          </cell>
          <cell r="AG1375">
            <v>4.7018176355715618E-2</v>
          </cell>
          <cell r="AH1375">
            <v>69</v>
          </cell>
          <cell r="AI1375">
            <v>70</v>
          </cell>
          <cell r="AJ1375">
            <v>0.22965714285714287</v>
          </cell>
          <cell r="AK1375">
            <v>71</v>
          </cell>
          <cell r="AL1375">
            <v>72</v>
          </cell>
          <cell r="AM1375">
            <v>0.25105555555555559</v>
          </cell>
          <cell r="AN1375">
            <v>82.09</v>
          </cell>
          <cell r="AO1375">
            <v>92.18</v>
          </cell>
          <cell r="AP1375">
            <v>102.27</v>
          </cell>
          <cell r="AQ1375">
            <v>0</v>
          </cell>
          <cell r="AS1375">
            <v>189</v>
          </cell>
        </row>
        <row r="1376">
          <cell r="B1376" t="str">
            <v>AC</v>
          </cell>
          <cell r="C1376" t="str">
            <v>IMP</v>
          </cell>
          <cell r="D1376" t="str">
            <v>BT</v>
          </cell>
          <cell r="E1376" t="str">
            <v>P3</v>
          </cell>
          <cell r="F1376">
            <v>39924</v>
          </cell>
          <cell r="G1376">
            <v>40190</v>
          </cell>
          <cell r="H1376" t="str">
            <v>A093010</v>
          </cell>
          <cell r="I1376" t="str">
            <v>6KMPC405LCC_N</v>
          </cell>
          <cell r="K1376" t="str">
            <v>PC-405 Large Capacity Cabinet</v>
          </cell>
          <cell r="L1376">
            <v>1323</v>
          </cell>
          <cell r="M1376">
            <v>408</v>
          </cell>
          <cell r="N1376">
            <v>424.32</v>
          </cell>
          <cell r="O1376">
            <v>-0.17647058823529421</v>
          </cell>
          <cell r="P1376">
            <v>360.67199999999997</v>
          </cell>
          <cell r="Q1376">
            <v>432.48</v>
          </cell>
          <cell r="R1376">
            <v>467.08</v>
          </cell>
          <cell r="S1376">
            <v>792.8</v>
          </cell>
          <cell r="T1376">
            <v>0.46478304742684157</v>
          </cell>
          <cell r="U1376">
            <v>613.94431999999995</v>
          </cell>
          <cell r="V1376">
            <v>0.30886240628466105</v>
          </cell>
          <cell r="W1376">
            <v>360.67199999999997</v>
          </cell>
          <cell r="X1376">
            <v>0.45493440968718463</v>
          </cell>
          <cell r="AA1376">
            <v>436</v>
          </cell>
          <cell r="AB1376">
            <v>361</v>
          </cell>
          <cell r="AC1376">
            <v>401</v>
          </cell>
          <cell r="AD1376">
            <v>424</v>
          </cell>
          <cell r="AE1376">
            <v>445.27</v>
          </cell>
          <cell r="AF1376">
            <v>0.18999258876636652</v>
          </cell>
          <cell r="AG1376">
            <v>4.7050104431019354E-2</v>
          </cell>
          <cell r="AH1376">
            <v>455</v>
          </cell>
          <cell r="AI1376">
            <v>464</v>
          </cell>
          <cell r="AJ1376">
            <v>0.22268965517241385</v>
          </cell>
          <cell r="AK1376">
            <v>472.5</v>
          </cell>
          <cell r="AL1376">
            <v>481</v>
          </cell>
          <cell r="AM1376">
            <v>0.25016216216216225</v>
          </cell>
          <cell r="AN1376">
            <v>548.6</v>
          </cell>
          <cell r="AO1376">
            <v>616.20000000000005</v>
          </cell>
          <cell r="AP1376">
            <v>683.8</v>
          </cell>
          <cell r="AQ1376">
            <v>0</v>
          </cell>
          <cell r="AS1376">
            <v>1323</v>
          </cell>
        </row>
        <row r="1377">
          <cell r="B1377" t="str">
            <v>AC</v>
          </cell>
          <cell r="C1377" t="str">
            <v>IMP</v>
          </cell>
          <cell r="D1377" t="str">
            <v>BT</v>
          </cell>
          <cell r="E1377" t="str">
            <v>P3</v>
          </cell>
          <cell r="F1377">
            <v>39924</v>
          </cell>
          <cell r="G1377">
            <v>40190</v>
          </cell>
          <cell r="H1377" t="str">
            <v>A0930Y0</v>
          </cell>
          <cell r="I1377" t="str">
            <v>6KMPC104PC_N</v>
          </cell>
          <cell r="K1377" t="str">
            <v>PC-104 500 x 1 Paper Cabinet</v>
          </cell>
          <cell r="L1377">
            <v>861</v>
          </cell>
          <cell r="M1377">
            <v>286</v>
          </cell>
          <cell r="N1377">
            <v>297.44</v>
          </cell>
          <cell r="O1377">
            <v>-0.17647058823529418</v>
          </cell>
          <cell r="P1377">
            <v>252.82399999999998</v>
          </cell>
          <cell r="Q1377">
            <v>303.16000000000003</v>
          </cell>
          <cell r="R1377">
            <v>327.41000000000003</v>
          </cell>
          <cell r="S1377">
            <v>514.5</v>
          </cell>
          <cell r="T1377">
            <v>0.42188532555879493</v>
          </cell>
          <cell r="U1377">
            <v>398.42879999999997</v>
          </cell>
          <cell r="V1377">
            <v>0.25346762081455954</v>
          </cell>
          <cell r="W1377">
            <v>252.82399999999998</v>
          </cell>
          <cell r="X1377">
            <v>0.49139747327502425</v>
          </cell>
          <cell r="AA1377">
            <v>306</v>
          </cell>
          <cell r="AB1377">
            <v>253</v>
          </cell>
          <cell r="AC1377">
            <v>281</v>
          </cell>
          <cell r="AD1377">
            <v>297</v>
          </cell>
          <cell r="AE1377">
            <v>312.13</v>
          </cell>
          <cell r="AF1377">
            <v>0.19000416493127867</v>
          </cell>
          <cell r="AG1377">
            <v>4.7063723448563091E-2</v>
          </cell>
          <cell r="AH1377">
            <v>320</v>
          </cell>
          <cell r="AI1377">
            <v>326</v>
          </cell>
          <cell r="AJ1377">
            <v>0.2244662576687117</v>
          </cell>
          <cell r="AK1377">
            <v>332</v>
          </cell>
          <cell r="AL1377">
            <v>338</v>
          </cell>
          <cell r="AM1377">
            <v>0.25200000000000006</v>
          </cell>
          <cell r="AN1377">
            <v>385.18</v>
          </cell>
          <cell r="AO1377">
            <v>432.36</v>
          </cell>
          <cell r="AP1377">
            <v>479.54</v>
          </cell>
          <cell r="AQ1377">
            <v>0</v>
          </cell>
          <cell r="AS1377">
            <v>861</v>
          </cell>
        </row>
        <row r="1378">
          <cell r="B1378" t="str">
            <v>PMC</v>
          </cell>
          <cell r="C1378" t="str">
            <v>PMP</v>
          </cell>
          <cell r="D1378" t="str">
            <v>BT</v>
          </cell>
          <cell r="E1378" t="str">
            <v>08</v>
          </cell>
          <cell r="F1378">
            <v>39924</v>
          </cell>
          <cell r="G1378">
            <v>39924</v>
          </cell>
          <cell r="H1378" t="str">
            <v>A0ATWY0</v>
          </cell>
          <cell r="I1378" t="str">
            <v>SWKMA0ATWY0</v>
          </cell>
          <cell r="K1378" t="str">
            <v>Waste Toner Box</v>
          </cell>
          <cell r="L1378">
            <v>41</v>
          </cell>
          <cell r="M1378">
            <v>12</v>
          </cell>
          <cell r="N1378">
            <v>12.600000000000001</v>
          </cell>
          <cell r="O1378">
            <v>0.21249999999999991</v>
          </cell>
          <cell r="P1378">
            <v>16</v>
          </cell>
          <cell r="Q1378">
            <v>12.72</v>
          </cell>
          <cell r="R1378">
            <v>13.74</v>
          </cell>
          <cell r="S1378">
            <v>20</v>
          </cell>
          <cell r="T1378">
            <v>0.36999999999999994</v>
          </cell>
          <cell r="W1378">
            <v>16</v>
          </cell>
          <cell r="X1378">
            <v>0.8</v>
          </cell>
          <cell r="Y1378" t="str">
            <v>Act freight</v>
          </cell>
          <cell r="AA1378">
            <v>28</v>
          </cell>
          <cell r="AB1378">
            <v>19</v>
          </cell>
          <cell r="AC1378">
            <v>20</v>
          </cell>
          <cell r="AD1378">
            <v>25</v>
          </cell>
          <cell r="AE1378">
            <v>28.07</v>
          </cell>
          <cell r="AF1378">
            <v>0.42999643747773425</v>
          </cell>
          <cell r="AG1378">
            <v>0.55112219451371569</v>
          </cell>
          <cell r="AH1378">
            <v>32</v>
          </cell>
          <cell r="AI1378">
            <v>35</v>
          </cell>
          <cell r="AJ1378">
            <v>0.54285714285714282</v>
          </cell>
          <cell r="AK1378">
            <v>38</v>
          </cell>
          <cell r="AL1378">
            <v>41</v>
          </cell>
          <cell r="AM1378">
            <v>0.6097560975609756</v>
          </cell>
          <cell r="AN1378">
            <v>41</v>
          </cell>
          <cell r="AO1378">
            <v>41</v>
          </cell>
          <cell r="AP1378">
            <v>41</v>
          </cell>
          <cell r="AQ1378">
            <v>0</v>
          </cell>
          <cell r="AS1378">
            <v>41</v>
          </cell>
        </row>
        <row r="1379">
          <cell r="B1379" t="str">
            <v>AC</v>
          </cell>
          <cell r="C1379" t="str">
            <v>IMP</v>
          </cell>
          <cell r="D1379" t="str">
            <v>BT</v>
          </cell>
          <cell r="E1379" t="str">
            <v>08</v>
          </cell>
          <cell r="F1379">
            <v>39924</v>
          </cell>
          <cell r="G1379">
            <v>40001</v>
          </cell>
          <cell r="H1379" t="str">
            <v>A0CJWY1</v>
          </cell>
          <cell r="I1379" t="str">
            <v>3KMMEM103128MB</v>
          </cell>
          <cell r="K1379" t="str">
            <v>EM-103 128MB Copier Memory Upgrade</v>
          </cell>
          <cell r="L1379">
            <v>473</v>
          </cell>
          <cell r="M1379">
            <v>184</v>
          </cell>
          <cell r="N1379">
            <v>191.36</v>
          </cell>
          <cell r="O1379">
            <v>6.0855908912445904E-2</v>
          </cell>
          <cell r="P1379">
            <v>203.76</v>
          </cell>
          <cell r="Q1379">
            <v>195.04</v>
          </cell>
          <cell r="R1379">
            <v>210.64</v>
          </cell>
          <cell r="S1379">
            <v>254.7</v>
          </cell>
          <cell r="T1379">
            <v>0.24868472712995673</v>
          </cell>
          <cell r="U1379">
            <v>219.04199999999997</v>
          </cell>
          <cell r="V1379">
            <v>0.12637758968599613</v>
          </cell>
          <cell r="W1379">
            <v>203.76</v>
          </cell>
          <cell r="X1379">
            <v>0.8</v>
          </cell>
          <cell r="AA1379">
            <v>247</v>
          </cell>
          <cell r="AB1379">
            <v>204</v>
          </cell>
          <cell r="AC1379">
            <v>227</v>
          </cell>
          <cell r="AD1379">
            <v>240</v>
          </cell>
          <cell r="AE1379">
            <v>251.56</v>
          </cell>
          <cell r="AF1379">
            <v>0.1900143107012244</v>
          </cell>
          <cell r="AG1379">
            <v>0.2393067260295754</v>
          </cell>
          <cell r="AH1379">
            <v>280</v>
          </cell>
          <cell r="AI1379">
            <v>308</v>
          </cell>
          <cell r="AJ1379">
            <v>0.33844155844155849</v>
          </cell>
          <cell r="AK1379">
            <v>336</v>
          </cell>
          <cell r="AL1379">
            <v>364</v>
          </cell>
          <cell r="AM1379">
            <v>0.44021978021978025</v>
          </cell>
          <cell r="AN1379">
            <v>391.25</v>
          </cell>
          <cell r="AO1379">
            <v>418.5</v>
          </cell>
          <cell r="AP1379">
            <v>445.75</v>
          </cell>
          <cell r="AQ1379">
            <v>0</v>
          </cell>
          <cell r="AS1379">
            <v>473</v>
          </cell>
        </row>
        <row r="1380">
          <cell r="B1380" t="str">
            <v>AC</v>
          </cell>
          <cell r="C1380" t="str">
            <v>IMP</v>
          </cell>
          <cell r="D1380" t="str">
            <v>BT</v>
          </cell>
          <cell r="E1380" t="str">
            <v>P3</v>
          </cell>
          <cell r="F1380">
            <v>39924</v>
          </cell>
          <cell r="G1380">
            <v>40001</v>
          </cell>
          <cell r="H1380" t="str">
            <v>A0D50Y0</v>
          </cell>
          <cell r="I1380" t="str">
            <v>6KMJS504JS_N</v>
          </cell>
          <cell r="J1380" t="str">
            <v>x</v>
          </cell>
          <cell r="K1380" t="str">
            <v>JS-504 Job Separator</v>
          </cell>
          <cell r="L1380">
            <v>472</v>
          </cell>
          <cell r="M1380">
            <v>153</v>
          </cell>
          <cell r="N1380">
            <v>159.12</v>
          </cell>
          <cell r="O1380">
            <v>-0.17647058823529407</v>
          </cell>
          <cell r="P1380">
            <v>135.25200000000001</v>
          </cell>
          <cell r="Q1380">
            <v>162.18</v>
          </cell>
          <cell r="R1380">
            <v>175.15</v>
          </cell>
          <cell r="S1380">
            <v>246.5</v>
          </cell>
          <cell r="T1380">
            <v>0.35448275862068962</v>
          </cell>
          <cell r="U1380">
            <v>190.8896</v>
          </cell>
          <cell r="V1380">
            <v>0.16642918210316326</v>
          </cell>
          <cell r="W1380">
            <v>135.25200000000001</v>
          </cell>
          <cell r="X1380">
            <v>0.54868965517241386</v>
          </cell>
          <cell r="AA1380">
            <v>164</v>
          </cell>
          <cell r="AB1380">
            <v>136</v>
          </cell>
          <cell r="AC1380">
            <v>151</v>
          </cell>
          <cell r="AD1380">
            <v>159</v>
          </cell>
          <cell r="AE1380">
            <v>166.98</v>
          </cell>
          <cell r="AF1380">
            <v>0.19001077973409977</v>
          </cell>
          <cell r="AG1380">
            <v>4.7071505569529201E-2</v>
          </cell>
          <cell r="AH1380">
            <v>171</v>
          </cell>
          <cell r="AI1380">
            <v>174</v>
          </cell>
          <cell r="AJ1380">
            <v>0.22268965517241374</v>
          </cell>
          <cell r="AK1380">
            <v>177.5</v>
          </cell>
          <cell r="AL1380">
            <v>181</v>
          </cell>
          <cell r="AM1380">
            <v>0.25275138121546958</v>
          </cell>
          <cell r="AN1380">
            <v>206.19</v>
          </cell>
          <cell r="AO1380">
            <v>231.38</v>
          </cell>
          <cell r="AP1380">
            <v>256.57</v>
          </cell>
          <cell r="AQ1380">
            <v>0</v>
          </cell>
          <cell r="AS1380">
            <v>472</v>
          </cell>
        </row>
        <row r="1381">
          <cell r="B1381" t="str">
            <v>SPC</v>
          </cell>
          <cell r="C1381" t="str">
            <v>IMP</v>
          </cell>
          <cell r="D1381" t="str">
            <v>BT</v>
          </cell>
          <cell r="E1381" t="str">
            <v>08</v>
          </cell>
          <cell r="F1381">
            <v>39924</v>
          </cell>
          <cell r="G1381">
            <v>39924</v>
          </cell>
          <cell r="H1381" t="str">
            <v>A0D7131</v>
          </cell>
          <cell r="I1381" t="str">
            <v>STKMA0D7131</v>
          </cell>
          <cell r="K1381" t="str">
            <v>TN314K (C353/C353P:26K)</v>
          </cell>
          <cell r="L1381">
            <v>60</v>
          </cell>
          <cell r="M1381">
            <v>22.89</v>
          </cell>
          <cell r="N1381">
            <v>23.805600000000002</v>
          </cell>
          <cell r="O1381">
            <v>0.11173134328358204</v>
          </cell>
          <cell r="P1381">
            <v>26.8</v>
          </cell>
          <cell r="Q1381">
            <v>24.26</v>
          </cell>
          <cell r="R1381">
            <v>26.2</v>
          </cell>
          <cell r="S1381">
            <v>33.5</v>
          </cell>
          <cell r="T1381">
            <v>0.28938507462686563</v>
          </cell>
          <cell r="W1381">
            <v>26.8</v>
          </cell>
          <cell r="X1381">
            <v>0.8</v>
          </cell>
          <cell r="Y1381" t="str">
            <v>Act freight</v>
          </cell>
          <cell r="AA1381">
            <v>46</v>
          </cell>
          <cell r="AB1381">
            <v>32</v>
          </cell>
          <cell r="AC1381">
            <v>34</v>
          </cell>
          <cell r="AD1381">
            <v>41</v>
          </cell>
          <cell r="AE1381">
            <v>47.02</v>
          </cell>
          <cell r="AF1381">
            <v>0.43002977456401531</v>
          </cell>
          <cell r="AG1381">
            <v>0.49371331348362396</v>
          </cell>
          <cell r="AH1381">
            <v>51</v>
          </cell>
          <cell r="AI1381">
            <v>54</v>
          </cell>
          <cell r="AJ1381">
            <v>0.50370370370370365</v>
          </cell>
          <cell r="AK1381">
            <v>57</v>
          </cell>
          <cell r="AL1381">
            <v>60</v>
          </cell>
          <cell r="AM1381">
            <v>0.55333333333333334</v>
          </cell>
          <cell r="AN1381">
            <v>60</v>
          </cell>
          <cell r="AO1381">
            <v>60</v>
          </cell>
          <cell r="AP1381">
            <v>60</v>
          </cell>
          <cell r="AQ1381">
            <v>0</v>
          </cell>
          <cell r="AS1381">
            <v>60</v>
          </cell>
        </row>
        <row r="1382">
          <cell r="B1382" t="str">
            <v>SPC</v>
          </cell>
          <cell r="C1382" t="str">
            <v>IMP</v>
          </cell>
          <cell r="D1382" t="str">
            <v>BT</v>
          </cell>
          <cell r="E1382" t="str">
            <v>08</v>
          </cell>
          <cell r="F1382">
            <v>39924</v>
          </cell>
          <cell r="G1382">
            <v>39924</v>
          </cell>
          <cell r="H1382" t="str">
            <v>A0D7132</v>
          </cell>
          <cell r="I1382" t="str">
            <v>STKMA0D7132</v>
          </cell>
          <cell r="K1382" t="str">
            <v>TN213K (C253/C203:24.5K)</v>
          </cell>
          <cell r="L1382">
            <v>65</v>
          </cell>
          <cell r="M1382">
            <v>25.41</v>
          </cell>
          <cell r="N1382">
            <v>26.426400000000001</v>
          </cell>
          <cell r="O1382">
            <v>8.2416666666666652E-2</v>
          </cell>
          <cell r="P1382">
            <v>28.8</v>
          </cell>
          <cell r="Q1382">
            <v>26.93</v>
          </cell>
          <cell r="R1382">
            <v>29.08</v>
          </cell>
          <cell r="S1382">
            <v>36</v>
          </cell>
          <cell r="T1382">
            <v>0.2659333333333333</v>
          </cell>
          <cell r="W1382">
            <v>28.8</v>
          </cell>
          <cell r="X1382">
            <v>0.8</v>
          </cell>
          <cell r="Y1382" t="str">
            <v>Act freight</v>
          </cell>
          <cell r="AA1382">
            <v>50</v>
          </cell>
          <cell r="AB1382">
            <v>34</v>
          </cell>
          <cell r="AC1382">
            <v>36</v>
          </cell>
          <cell r="AD1382">
            <v>44</v>
          </cell>
          <cell r="AE1382">
            <v>50.53</v>
          </cell>
          <cell r="AF1382">
            <v>0.43004155946962203</v>
          </cell>
          <cell r="AG1382">
            <v>0.47701563427666732</v>
          </cell>
          <cell r="AH1382">
            <v>55</v>
          </cell>
          <cell r="AI1382">
            <v>58</v>
          </cell>
          <cell r="AJ1382">
            <v>0.50344827586206897</v>
          </cell>
          <cell r="AK1382">
            <v>61.5</v>
          </cell>
          <cell r="AL1382">
            <v>65</v>
          </cell>
          <cell r="AM1382">
            <v>0.55692307692307697</v>
          </cell>
          <cell r="AN1382">
            <v>65</v>
          </cell>
          <cell r="AO1382">
            <v>65</v>
          </cell>
          <cell r="AP1382">
            <v>65</v>
          </cell>
          <cell r="AQ1382">
            <v>0</v>
          </cell>
          <cell r="AS1382">
            <v>65</v>
          </cell>
        </row>
        <row r="1383">
          <cell r="B1383" t="str">
            <v>SPC</v>
          </cell>
          <cell r="C1383" t="str">
            <v>IMP</v>
          </cell>
          <cell r="D1383" t="str">
            <v>BT</v>
          </cell>
          <cell r="E1383" t="str">
            <v>08</v>
          </cell>
          <cell r="F1383">
            <v>39924</v>
          </cell>
          <cell r="G1383">
            <v>39924</v>
          </cell>
          <cell r="H1383" t="str">
            <v>A0D7135</v>
          </cell>
          <cell r="I1383" t="str">
            <v>STKMA0D7135</v>
          </cell>
          <cell r="K1383" t="str">
            <v>TN214K (24K)</v>
          </cell>
          <cell r="L1383">
            <v>65</v>
          </cell>
          <cell r="M1383">
            <v>28.3</v>
          </cell>
          <cell r="N1383">
            <v>29.432000000000002</v>
          </cell>
          <cell r="O1383">
            <v>0</v>
          </cell>
          <cell r="P1383">
            <v>29.432000000000002</v>
          </cell>
          <cell r="Q1383">
            <v>30</v>
          </cell>
          <cell r="R1383">
            <v>32.4</v>
          </cell>
          <cell r="S1383">
            <v>36</v>
          </cell>
          <cell r="T1383">
            <v>0.18244444444444438</v>
          </cell>
          <cell r="W1383">
            <v>29.432000000000002</v>
          </cell>
          <cell r="X1383">
            <v>0.81755555555555559</v>
          </cell>
          <cell r="Y1383" t="str">
            <v>Act freight</v>
          </cell>
          <cell r="AA1383">
            <v>51</v>
          </cell>
          <cell r="AB1383">
            <v>35</v>
          </cell>
          <cell r="AC1383">
            <v>37</v>
          </cell>
          <cell r="AD1383">
            <v>45</v>
          </cell>
          <cell r="AE1383">
            <v>51.64</v>
          </cell>
          <cell r="AF1383">
            <v>0.43005422153369477</v>
          </cell>
          <cell r="AG1383">
            <v>0.43005422153369477</v>
          </cell>
          <cell r="AH1383">
            <v>56</v>
          </cell>
          <cell r="AI1383">
            <v>59</v>
          </cell>
          <cell r="AJ1383">
            <v>0.50115254237288132</v>
          </cell>
          <cell r="AK1383">
            <v>62</v>
          </cell>
          <cell r="AL1383">
            <v>65</v>
          </cell>
          <cell r="AM1383">
            <v>0.54720000000000002</v>
          </cell>
          <cell r="AN1383">
            <v>65</v>
          </cell>
          <cell r="AO1383">
            <v>65</v>
          </cell>
          <cell r="AP1383">
            <v>65</v>
          </cell>
          <cell r="AQ1383">
            <v>0</v>
          </cell>
          <cell r="AS1383">
            <v>65</v>
          </cell>
        </row>
        <row r="1384">
          <cell r="B1384" t="str">
            <v>SPC</v>
          </cell>
          <cell r="C1384" t="str">
            <v>IMP</v>
          </cell>
          <cell r="D1384" t="str">
            <v>BT</v>
          </cell>
          <cell r="E1384" t="str">
            <v>08</v>
          </cell>
          <cell r="F1384">
            <v>39924</v>
          </cell>
          <cell r="G1384">
            <v>39924</v>
          </cell>
          <cell r="H1384" t="str">
            <v>A0D7231</v>
          </cell>
          <cell r="I1384" t="str">
            <v>STKMA0D7231YE</v>
          </cell>
          <cell r="K1384" t="str">
            <v>TN314Y (C353/C353P:20K)</v>
          </cell>
          <cell r="L1384">
            <v>125</v>
          </cell>
          <cell r="M1384">
            <v>36.67</v>
          </cell>
          <cell r="N1384">
            <v>38.136800000000001</v>
          </cell>
          <cell r="O1384">
            <v>0.27771212121212124</v>
          </cell>
          <cell r="P1384">
            <v>52.800000000000004</v>
          </cell>
          <cell r="Q1384">
            <v>38.869999999999997</v>
          </cell>
          <cell r="R1384">
            <v>41.98</v>
          </cell>
          <cell r="S1384">
            <v>66</v>
          </cell>
          <cell r="T1384">
            <v>0.42216969696969697</v>
          </cell>
          <cell r="W1384">
            <v>52.800000000000004</v>
          </cell>
          <cell r="X1384">
            <v>0.8</v>
          </cell>
          <cell r="Y1384" t="str">
            <v>Act freight</v>
          </cell>
          <cell r="AA1384">
            <v>91</v>
          </cell>
          <cell r="AB1384">
            <v>63</v>
          </cell>
          <cell r="AC1384">
            <v>66</v>
          </cell>
          <cell r="AD1384">
            <v>80</v>
          </cell>
          <cell r="AE1384">
            <v>92.63</v>
          </cell>
          <cell r="AF1384">
            <v>0.42999028392529409</v>
          </cell>
          <cell r="AG1384">
            <v>0.58828889128791961</v>
          </cell>
          <cell r="AH1384">
            <v>101</v>
          </cell>
          <cell r="AI1384">
            <v>109</v>
          </cell>
          <cell r="AJ1384">
            <v>0.51559633027522933</v>
          </cell>
          <cell r="AK1384">
            <v>117</v>
          </cell>
          <cell r="AL1384">
            <v>125</v>
          </cell>
          <cell r="AM1384">
            <v>0.57759999999999989</v>
          </cell>
          <cell r="AN1384">
            <v>125</v>
          </cell>
          <cell r="AO1384">
            <v>125</v>
          </cell>
          <cell r="AP1384">
            <v>125</v>
          </cell>
          <cell r="AQ1384">
            <v>0</v>
          </cell>
          <cell r="AS1384">
            <v>125</v>
          </cell>
        </row>
        <row r="1385">
          <cell r="B1385" t="str">
            <v>SPC</v>
          </cell>
          <cell r="C1385" t="str">
            <v>IMP</v>
          </cell>
          <cell r="D1385" t="str">
            <v>BT</v>
          </cell>
          <cell r="E1385" t="str">
            <v>08</v>
          </cell>
          <cell r="F1385">
            <v>39924</v>
          </cell>
          <cell r="G1385">
            <v>39924</v>
          </cell>
          <cell r="H1385" t="str">
            <v>A0D7232</v>
          </cell>
          <cell r="I1385" t="str">
            <v>STKMA0D7232YE</v>
          </cell>
          <cell r="K1385" t="str">
            <v>TN213Y (C253/C203:19K)</v>
          </cell>
          <cell r="L1385">
            <v>140</v>
          </cell>
          <cell r="M1385">
            <v>36.42</v>
          </cell>
          <cell r="N1385">
            <v>37.876800000000003</v>
          </cell>
          <cell r="O1385">
            <v>0.34241666666666665</v>
          </cell>
          <cell r="P1385">
            <v>57.6</v>
          </cell>
          <cell r="Q1385">
            <v>38.61</v>
          </cell>
          <cell r="R1385">
            <v>41.7</v>
          </cell>
          <cell r="S1385">
            <v>72</v>
          </cell>
          <cell r="T1385">
            <v>0.47393333333333332</v>
          </cell>
          <cell r="W1385">
            <v>57.6</v>
          </cell>
          <cell r="X1385">
            <v>0.8</v>
          </cell>
          <cell r="Y1385" t="str">
            <v>Act freight</v>
          </cell>
          <cell r="AA1385">
            <v>99</v>
          </cell>
          <cell r="AB1385">
            <v>68</v>
          </cell>
          <cell r="AC1385">
            <v>72</v>
          </cell>
          <cell r="AD1385">
            <v>87</v>
          </cell>
          <cell r="AE1385">
            <v>101.05</v>
          </cell>
          <cell r="AF1385">
            <v>0.42998515586343389</v>
          </cell>
          <cell r="AG1385">
            <v>0.62516773874319642</v>
          </cell>
          <cell r="AH1385">
            <v>112</v>
          </cell>
          <cell r="AI1385">
            <v>121</v>
          </cell>
          <cell r="AJ1385">
            <v>0.52396694214876027</v>
          </cell>
          <cell r="AK1385">
            <v>130.5</v>
          </cell>
          <cell r="AL1385">
            <v>140</v>
          </cell>
          <cell r="AM1385">
            <v>0.58857142857142863</v>
          </cell>
          <cell r="AN1385">
            <v>140</v>
          </cell>
          <cell r="AO1385">
            <v>140</v>
          </cell>
          <cell r="AP1385">
            <v>140</v>
          </cell>
          <cell r="AQ1385">
            <v>0</v>
          </cell>
          <cell r="AS1385">
            <v>140</v>
          </cell>
        </row>
        <row r="1386">
          <cell r="B1386" t="str">
            <v>SPC</v>
          </cell>
          <cell r="C1386" t="str">
            <v>IMP</v>
          </cell>
          <cell r="D1386" t="str">
            <v>BT</v>
          </cell>
          <cell r="E1386" t="str">
            <v>08</v>
          </cell>
          <cell r="F1386">
            <v>39924</v>
          </cell>
          <cell r="G1386">
            <v>39924</v>
          </cell>
          <cell r="H1386" t="str">
            <v>A0D7235</v>
          </cell>
          <cell r="I1386" t="str">
            <v>STKMA0D7235YE</v>
          </cell>
          <cell r="K1386" t="str">
            <v>TN214Y (18.5K)</v>
          </cell>
          <cell r="L1386">
            <v>140</v>
          </cell>
          <cell r="M1386">
            <v>41</v>
          </cell>
          <cell r="N1386">
            <v>42.64</v>
          </cell>
          <cell r="O1386">
            <v>0.25972222222222224</v>
          </cell>
          <cell r="P1386">
            <v>57.6</v>
          </cell>
          <cell r="Q1386">
            <v>43.46</v>
          </cell>
          <cell r="R1386">
            <v>46.94</v>
          </cell>
          <cell r="S1386">
            <v>72</v>
          </cell>
          <cell r="T1386">
            <v>0.40777777777777779</v>
          </cell>
          <cell r="W1386">
            <v>57.6</v>
          </cell>
          <cell r="X1386">
            <v>0.8</v>
          </cell>
          <cell r="Y1386" t="str">
            <v>Act freight</v>
          </cell>
          <cell r="AA1386">
            <v>99</v>
          </cell>
          <cell r="AB1386">
            <v>68</v>
          </cell>
          <cell r="AC1386">
            <v>72</v>
          </cell>
          <cell r="AD1386">
            <v>87</v>
          </cell>
          <cell r="AE1386">
            <v>101.05</v>
          </cell>
          <cell r="AF1386">
            <v>0.42998515586343389</v>
          </cell>
          <cell r="AG1386">
            <v>0.5780306778822365</v>
          </cell>
          <cell r="AH1386">
            <v>112</v>
          </cell>
          <cell r="AI1386">
            <v>121</v>
          </cell>
          <cell r="AJ1386">
            <v>0.52396694214876027</v>
          </cell>
          <cell r="AK1386">
            <v>130.5</v>
          </cell>
          <cell r="AL1386">
            <v>140</v>
          </cell>
          <cell r="AM1386">
            <v>0.58857142857142863</v>
          </cell>
          <cell r="AN1386">
            <v>140</v>
          </cell>
          <cell r="AO1386">
            <v>140</v>
          </cell>
          <cell r="AP1386">
            <v>140</v>
          </cell>
          <cell r="AQ1386">
            <v>0</v>
          </cell>
          <cell r="AS1386">
            <v>140</v>
          </cell>
        </row>
        <row r="1387">
          <cell r="B1387" t="str">
            <v>SPC</v>
          </cell>
          <cell r="C1387" t="str">
            <v>IMP</v>
          </cell>
          <cell r="D1387" t="str">
            <v>BT</v>
          </cell>
          <cell r="E1387" t="str">
            <v>08</v>
          </cell>
          <cell r="F1387">
            <v>39924</v>
          </cell>
          <cell r="G1387">
            <v>39924</v>
          </cell>
          <cell r="H1387" t="str">
            <v>A0D7331</v>
          </cell>
          <cell r="I1387" t="str">
            <v>STKMA0D7331MA</v>
          </cell>
          <cell r="K1387" t="str">
            <v>TN314M (C353.C353P:20K)</v>
          </cell>
          <cell r="L1387">
            <v>125</v>
          </cell>
          <cell r="M1387">
            <v>36.67</v>
          </cell>
          <cell r="N1387">
            <v>38.136800000000001</v>
          </cell>
          <cell r="O1387">
            <v>0.27771212121212124</v>
          </cell>
          <cell r="P1387">
            <v>52.800000000000004</v>
          </cell>
          <cell r="Q1387">
            <v>38.869999999999997</v>
          </cell>
          <cell r="R1387">
            <v>41.98</v>
          </cell>
          <cell r="S1387">
            <v>66</v>
          </cell>
          <cell r="T1387">
            <v>0.42216969696969697</v>
          </cell>
          <cell r="W1387">
            <v>52.800000000000004</v>
          </cell>
          <cell r="X1387">
            <v>0.8</v>
          </cell>
          <cell r="Y1387" t="str">
            <v>Act freight</v>
          </cell>
          <cell r="AA1387">
            <v>91</v>
          </cell>
          <cell r="AB1387">
            <v>63</v>
          </cell>
          <cell r="AC1387">
            <v>66</v>
          </cell>
          <cell r="AD1387">
            <v>80</v>
          </cell>
          <cell r="AE1387">
            <v>92.63</v>
          </cell>
          <cell r="AF1387">
            <v>0.42999028392529409</v>
          </cell>
          <cell r="AG1387">
            <v>0.58828889128791961</v>
          </cell>
          <cell r="AH1387">
            <v>101</v>
          </cell>
          <cell r="AI1387">
            <v>109</v>
          </cell>
          <cell r="AJ1387">
            <v>0.51559633027522933</v>
          </cell>
          <cell r="AK1387">
            <v>117</v>
          </cell>
          <cell r="AL1387">
            <v>125</v>
          </cell>
          <cell r="AM1387">
            <v>0.57759999999999989</v>
          </cell>
          <cell r="AN1387">
            <v>125</v>
          </cell>
          <cell r="AO1387">
            <v>125</v>
          </cell>
          <cell r="AP1387">
            <v>125</v>
          </cell>
          <cell r="AQ1387">
            <v>0</v>
          </cell>
          <cell r="AS1387">
            <v>125</v>
          </cell>
        </row>
        <row r="1388">
          <cell r="B1388" t="str">
            <v>SPC</v>
          </cell>
          <cell r="C1388" t="str">
            <v>IMP</v>
          </cell>
          <cell r="D1388" t="str">
            <v>BT</v>
          </cell>
          <cell r="E1388" t="str">
            <v>08</v>
          </cell>
          <cell r="F1388">
            <v>39924</v>
          </cell>
          <cell r="G1388">
            <v>39924</v>
          </cell>
          <cell r="H1388" t="str">
            <v>A0D7332</v>
          </cell>
          <cell r="I1388" t="str">
            <v>STKMA0D7332MA</v>
          </cell>
          <cell r="K1388" t="str">
            <v>TN213M (C253/C203:19K)</v>
          </cell>
          <cell r="L1388">
            <v>140</v>
          </cell>
          <cell r="M1388">
            <v>36.42</v>
          </cell>
          <cell r="N1388">
            <v>37.876800000000003</v>
          </cell>
          <cell r="O1388">
            <v>0.34241666666666665</v>
          </cell>
          <cell r="P1388">
            <v>57.6</v>
          </cell>
          <cell r="Q1388">
            <v>38.61</v>
          </cell>
          <cell r="R1388">
            <v>41.7</v>
          </cell>
          <cell r="S1388">
            <v>72</v>
          </cell>
          <cell r="T1388">
            <v>0.47393333333333332</v>
          </cell>
          <cell r="W1388">
            <v>57.6</v>
          </cell>
          <cell r="X1388">
            <v>0.8</v>
          </cell>
          <cell r="Y1388" t="str">
            <v>Act freight</v>
          </cell>
          <cell r="AA1388">
            <v>99</v>
          </cell>
          <cell r="AB1388">
            <v>68</v>
          </cell>
          <cell r="AC1388">
            <v>72</v>
          </cell>
          <cell r="AD1388">
            <v>87</v>
          </cell>
          <cell r="AE1388">
            <v>101.05</v>
          </cell>
          <cell r="AF1388">
            <v>0.42998515586343389</v>
          </cell>
          <cell r="AG1388">
            <v>0.62516773874319642</v>
          </cell>
          <cell r="AH1388">
            <v>112</v>
          </cell>
          <cell r="AI1388">
            <v>121</v>
          </cell>
          <cell r="AJ1388">
            <v>0.52396694214876027</v>
          </cell>
          <cell r="AK1388">
            <v>130.5</v>
          </cell>
          <cell r="AL1388">
            <v>140</v>
          </cell>
          <cell r="AM1388">
            <v>0.58857142857142863</v>
          </cell>
          <cell r="AN1388">
            <v>140</v>
          </cell>
          <cell r="AO1388">
            <v>140</v>
          </cell>
          <cell r="AP1388">
            <v>140</v>
          </cell>
          <cell r="AQ1388">
            <v>0</v>
          </cell>
          <cell r="AS1388">
            <v>140</v>
          </cell>
        </row>
        <row r="1389">
          <cell r="B1389" t="str">
            <v>SPC</v>
          </cell>
          <cell r="C1389" t="str">
            <v>IMP</v>
          </cell>
          <cell r="D1389" t="str">
            <v>BT</v>
          </cell>
          <cell r="E1389" t="str">
            <v>08</v>
          </cell>
          <cell r="F1389">
            <v>39924</v>
          </cell>
          <cell r="G1389">
            <v>39924</v>
          </cell>
          <cell r="H1389" t="str">
            <v>A0D7335</v>
          </cell>
          <cell r="I1389" t="str">
            <v>STKMA0D7335MA</v>
          </cell>
          <cell r="K1389" t="str">
            <v>TN214M (18.5K)</v>
          </cell>
          <cell r="L1389">
            <v>140</v>
          </cell>
          <cell r="M1389">
            <v>41</v>
          </cell>
          <cell r="N1389">
            <v>42.64</v>
          </cell>
          <cell r="O1389">
            <v>0.25972222222222224</v>
          </cell>
          <cell r="P1389">
            <v>57.6</v>
          </cell>
          <cell r="Q1389">
            <v>43.46</v>
          </cell>
          <cell r="R1389">
            <v>46.94</v>
          </cell>
          <cell r="S1389">
            <v>72</v>
          </cell>
          <cell r="T1389">
            <v>0.40777777777777779</v>
          </cell>
          <cell r="W1389">
            <v>57.6</v>
          </cell>
          <cell r="X1389">
            <v>0.8</v>
          </cell>
          <cell r="Y1389" t="str">
            <v>Act freight</v>
          </cell>
          <cell r="AA1389">
            <v>99</v>
          </cell>
          <cell r="AB1389">
            <v>68</v>
          </cell>
          <cell r="AC1389">
            <v>72</v>
          </cell>
          <cell r="AD1389">
            <v>87</v>
          </cell>
          <cell r="AE1389">
            <v>101.05</v>
          </cell>
          <cell r="AF1389">
            <v>0.42998515586343389</v>
          </cell>
          <cell r="AG1389">
            <v>0.5780306778822365</v>
          </cell>
          <cell r="AH1389">
            <v>112</v>
          </cell>
          <cell r="AI1389">
            <v>121</v>
          </cell>
          <cell r="AJ1389">
            <v>0.52396694214876027</v>
          </cell>
          <cell r="AK1389">
            <v>130.5</v>
          </cell>
          <cell r="AL1389">
            <v>140</v>
          </cell>
          <cell r="AM1389">
            <v>0.58857142857142863</v>
          </cell>
          <cell r="AN1389">
            <v>140</v>
          </cell>
          <cell r="AO1389">
            <v>140</v>
          </cell>
          <cell r="AP1389">
            <v>140</v>
          </cell>
          <cell r="AQ1389">
            <v>0</v>
          </cell>
          <cell r="AS1389">
            <v>140</v>
          </cell>
        </row>
        <row r="1390">
          <cell r="B1390" t="str">
            <v>SPC</v>
          </cell>
          <cell r="C1390" t="str">
            <v>IMP</v>
          </cell>
          <cell r="D1390" t="str">
            <v>BT</v>
          </cell>
          <cell r="E1390" t="str">
            <v>08</v>
          </cell>
          <cell r="F1390">
            <v>39924</v>
          </cell>
          <cell r="G1390">
            <v>39924</v>
          </cell>
          <cell r="H1390" t="str">
            <v>A0D7431</v>
          </cell>
          <cell r="I1390" t="str">
            <v>STKMA0D7431CY</v>
          </cell>
          <cell r="K1390" t="str">
            <v>TN314C (C353/C353P:20K)</v>
          </cell>
          <cell r="L1390">
            <v>125</v>
          </cell>
          <cell r="M1390">
            <v>36.67</v>
          </cell>
          <cell r="N1390">
            <v>38.136800000000001</v>
          </cell>
          <cell r="O1390">
            <v>0.27771212121212124</v>
          </cell>
          <cell r="P1390">
            <v>52.800000000000004</v>
          </cell>
          <cell r="Q1390">
            <v>38.869999999999997</v>
          </cell>
          <cell r="R1390">
            <v>41.98</v>
          </cell>
          <cell r="S1390">
            <v>66</v>
          </cell>
          <cell r="T1390">
            <v>0.42216969696969697</v>
          </cell>
          <cell r="W1390">
            <v>52.800000000000004</v>
          </cell>
          <cell r="X1390">
            <v>0.8</v>
          </cell>
          <cell r="Y1390" t="str">
            <v>Act freight</v>
          </cell>
          <cell r="AA1390">
            <v>91</v>
          </cell>
          <cell r="AB1390">
            <v>63</v>
          </cell>
          <cell r="AC1390">
            <v>66</v>
          </cell>
          <cell r="AD1390">
            <v>80</v>
          </cell>
          <cell r="AE1390">
            <v>92.63</v>
          </cell>
          <cell r="AF1390">
            <v>0.42999028392529409</v>
          </cell>
          <cell r="AG1390">
            <v>0.58828889128791961</v>
          </cell>
          <cell r="AH1390">
            <v>101</v>
          </cell>
          <cell r="AI1390">
            <v>109</v>
          </cell>
          <cell r="AJ1390">
            <v>0.51559633027522933</v>
          </cell>
          <cell r="AK1390">
            <v>117</v>
          </cell>
          <cell r="AL1390">
            <v>125</v>
          </cell>
          <cell r="AM1390">
            <v>0.57759999999999989</v>
          </cell>
          <cell r="AN1390">
            <v>125</v>
          </cell>
          <cell r="AO1390">
            <v>125</v>
          </cell>
          <cell r="AP1390">
            <v>125</v>
          </cell>
          <cell r="AQ1390">
            <v>0</v>
          </cell>
          <cell r="AS1390">
            <v>125</v>
          </cell>
        </row>
        <row r="1391">
          <cell r="B1391" t="str">
            <v>SPC</v>
          </cell>
          <cell r="C1391" t="str">
            <v>IMP</v>
          </cell>
          <cell r="D1391" t="str">
            <v>BT</v>
          </cell>
          <cell r="E1391" t="str">
            <v>08</v>
          </cell>
          <cell r="F1391">
            <v>39924</v>
          </cell>
          <cell r="G1391">
            <v>39924</v>
          </cell>
          <cell r="H1391" t="str">
            <v>A0D7432</v>
          </cell>
          <cell r="I1391" t="str">
            <v>STKMA0D7432CY</v>
          </cell>
          <cell r="K1391" t="str">
            <v>TN213C (C253/C203:19K)</v>
          </cell>
          <cell r="L1391">
            <v>140</v>
          </cell>
          <cell r="M1391">
            <v>36.42</v>
          </cell>
          <cell r="N1391">
            <v>37.876800000000003</v>
          </cell>
          <cell r="O1391">
            <v>0.34241666666666665</v>
          </cell>
          <cell r="P1391">
            <v>57.6</v>
          </cell>
          <cell r="Q1391">
            <v>38.61</v>
          </cell>
          <cell r="R1391">
            <v>41.7</v>
          </cell>
          <cell r="S1391">
            <v>72</v>
          </cell>
          <cell r="T1391">
            <v>0.47393333333333332</v>
          </cell>
          <cell r="W1391">
            <v>57.6</v>
          </cell>
          <cell r="X1391">
            <v>0.8</v>
          </cell>
          <cell r="Y1391" t="str">
            <v>Act freight</v>
          </cell>
          <cell r="AA1391">
            <v>99</v>
          </cell>
          <cell r="AB1391">
            <v>68</v>
          </cell>
          <cell r="AC1391">
            <v>72</v>
          </cell>
          <cell r="AD1391">
            <v>87</v>
          </cell>
          <cell r="AE1391">
            <v>101.05</v>
          </cell>
          <cell r="AF1391">
            <v>0.42998515586343389</v>
          </cell>
          <cell r="AG1391">
            <v>0.62516773874319642</v>
          </cell>
          <cell r="AH1391">
            <v>112</v>
          </cell>
          <cell r="AI1391">
            <v>121</v>
          </cell>
          <cell r="AJ1391">
            <v>0.52396694214876027</v>
          </cell>
          <cell r="AK1391">
            <v>130.5</v>
          </cell>
          <cell r="AL1391">
            <v>140</v>
          </cell>
          <cell r="AM1391">
            <v>0.58857142857142863</v>
          </cell>
          <cell r="AN1391">
            <v>140</v>
          </cell>
          <cell r="AO1391">
            <v>140</v>
          </cell>
          <cell r="AP1391">
            <v>140</v>
          </cell>
          <cell r="AQ1391">
            <v>0</v>
          </cell>
          <cell r="AS1391">
            <v>140</v>
          </cell>
        </row>
        <row r="1392">
          <cell r="B1392" t="str">
            <v>SPC</v>
          </cell>
          <cell r="C1392" t="str">
            <v>IMP</v>
          </cell>
          <cell r="D1392" t="str">
            <v>BT</v>
          </cell>
          <cell r="E1392" t="str">
            <v>08</v>
          </cell>
          <cell r="F1392">
            <v>39924</v>
          </cell>
          <cell r="G1392">
            <v>39924</v>
          </cell>
          <cell r="H1392" t="str">
            <v>A0D7435</v>
          </cell>
          <cell r="I1392" t="str">
            <v>STKMA0D7435CY</v>
          </cell>
          <cell r="K1392" t="str">
            <v>TN214C (18.5K)</v>
          </cell>
          <cell r="L1392">
            <v>140</v>
          </cell>
          <cell r="M1392">
            <v>41</v>
          </cell>
          <cell r="N1392">
            <v>42.64</v>
          </cell>
          <cell r="O1392">
            <v>0.25972222222222224</v>
          </cell>
          <cell r="P1392">
            <v>57.6</v>
          </cell>
          <cell r="Q1392">
            <v>43.46</v>
          </cell>
          <cell r="R1392">
            <v>46.94</v>
          </cell>
          <cell r="S1392">
            <v>72</v>
          </cell>
          <cell r="T1392">
            <v>0.40777777777777779</v>
          </cell>
          <cell r="W1392">
            <v>57.6</v>
          </cell>
          <cell r="X1392">
            <v>0.8</v>
          </cell>
          <cell r="Y1392" t="str">
            <v>Act freight</v>
          </cell>
          <cell r="AA1392">
            <v>99</v>
          </cell>
          <cell r="AB1392">
            <v>68</v>
          </cell>
          <cell r="AC1392">
            <v>72</v>
          </cell>
          <cell r="AD1392">
            <v>87</v>
          </cell>
          <cell r="AE1392">
            <v>101.05</v>
          </cell>
          <cell r="AF1392">
            <v>0.42998515586343389</v>
          </cell>
          <cell r="AG1392">
            <v>0.5780306778822365</v>
          </cell>
          <cell r="AH1392">
            <v>112</v>
          </cell>
          <cell r="AI1392">
            <v>121</v>
          </cell>
          <cell r="AJ1392">
            <v>0.52396694214876027</v>
          </cell>
          <cell r="AK1392">
            <v>130.5</v>
          </cell>
          <cell r="AL1392">
            <v>140</v>
          </cell>
          <cell r="AM1392">
            <v>0.58857142857142863</v>
          </cell>
          <cell r="AN1392">
            <v>140</v>
          </cell>
          <cell r="AO1392">
            <v>140</v>
          </cell>
          <cell r="AP1392">
            <v>140</v>
          </cell>
          <cell r="AQ1392">
            <v>0</v>
          </cell>
          <cell r="AS1392">
            <v>140</v>
          </cell>
        </row>
        <row r="1393">
          <cell r="B1393" t="str">
            <v>AC</v>
          </cell>
          <cell r="C1393" t="str">
            <v>IMP</v>
          </cell>
          <cell r="D1393" t="str">
            <v>BT</v>
          </cell>
          <cell r="E1393" t="str">
            <v>P3</v>
          </cell>
          <cell r="F1393">
            <v>39924</v>
          </cell>
          <cell r="G1393">
            <v>40001</v>
          </cell>
          <cell r="H1393" t="str">
            <v>A0D9WY0</v>
          </cell>
          <cell r="I1393" t="str">
            <v>3KMMK713BPG</v>
          </cell>
          <cell r="J1393" t="str">
            <v>x</v>
          </cell>
          <cell r="K1393" t="str">
            <v>MK-713 Banner Guide</v>
          </cell>
          <cell r="L1393">
            <v>798</v>
          </cell>
          <cell r="M1393">
            <v>255</v>
          </cell>
          <cell r="N1393">
            <v>265.2</v>
          </cell>
          <cell r="O1393">
            <v>-0.17647058823529413</v>
          </cell>
          <cell r="P1393">
            <v>225.42</v>
          </cell>
          <cell r="Q1393">
            <v>270.3</v>
          </cell>
          <cell r="R1393">
            <v>291.92</v>
          </cell>
          <cell r="S1393">
            <v>379.1</v>
          </cell>
          <cell r="T1393">
            <v>0.30044843049327363</v>
          </cell>
          <cell r="U1393">
            <v>293.57504</v>
          </cell>
          <cell r="V1393">
            <v>9.6653448467553693E-2</v>
          </cell>
          <cell r="W1393">
            <v>225.42</v>
          </cell>
          <cell r="X1393">
            <v>0.59461883408071747</v>
          </cell>
          <cell r="AA1393">
            <v>273</v>
          </cell>
          <cell r="AB1393">
            <v>226</v>
          </cell>
          <cell r="AC1393">
            <v>251</v>
          </cell>
          <cell r="AD1393">
            <v>265</v>
          </cell>
          <cell r="AE1393">
            <v>278.3</v>
          </cell>
          <cell r="AF1393">
            <v>0.19001077973409997</v>
          </cell>
          <cell r="AG1393">
            <v>4.7071505569529368E-2</v>
          </cell>
          <cell r="AH1393">
            <v>285</v>
          </cell>
          <cell r="AI1393">
            <v>290</v>
          </cell>
          <cell r="AJ1393">
            <v>0.22268965517241385</v>
          </cell>
          <cell r="AK1393">
            <v>295.5</v>
          </cell>
          <cell r="AL1393">
            <v>301</v>
          </cell>
          <cell r="AM1393">
            <v>0.25109634551495019</v>
          </cell>
          <cell r="AN1393">
            <v>343.16</v>
          </cell>
          <cell r="AO1393">
            <v>385.32</v>
          </cell>
          <cell r="AP1393">
            <v>427.48</v>
          </cell>
          <cell r="AQ1393">
            <v>0</v>
          </cell>
          <cell r="AS1393">
            <v>798</v>
          </cell>
        </row>
        <row r="1394">
          <cell r="B1394" t="str">
            <v>AC</v>
          </cell>
          <cell r="C1394" t="str">
            <v>IMP</v>
          </cell>
          <cell r="D1394" t="str">
            <v>BT</v>
          </cell>
          <cell r="E1394" t="str">
            <v>08</v>
          </cell>
          <cell r="F1394">
            <v>39924</v>
          </cell>
          <cell r="G1394">
            <v>40231</v>
          </cell>
          <cell r="H1394" t="str">
            <v>A0DDWY0</v>
          </cell>
          <cell r="I1394" t="str">
            <v>3KMKHD508HDD</v>
          </cell>
          <cell r="J1394" t="str">
            <v>changed to 08</v>
          </cell>
          <cell r="K1394" t="str">
            <v>HD-508 (For C353P)</v>
          </cell>
          <cell r="L1394">
            <v>473</v>
          </cell>
          <cell r="M1394">
            <v>189</v>
          </cell>
          <cell r="N1394">
            <v>196.56</v>
          </cell>
          <cell r="O1394">
            <v>0.22</v>
          </cell>
          <cell r="P1394">
            <v>252</v>
          </cell>
          <cell r="Q1394">
            <v>200.34</v>
          </cell>
          <cell r="R1394">
            <v>216.37</v>
          </cell>
          <cell r="S1394">
            <v>315</v>
          </cell>
          <cell r="T1394">
            <v>0.376</v>
          </cell>
          <cell r="U1394">
            <v>243.93599999999998</v>
          </cell>
          <cell r="V1394">
            <v>0.19421487603305776</v>
          </cell>
          <cell r="W1394">
            <v>252</v>
          </cell>
          <cell r="X1394">
            <v>0.8</v>
          </cell>
          <cell r="AA1394">
            <v>305</v>
          </cell>
          <cell r="AB1394">
            <v>252</v>
          </cell>
          <cell r="AC1394">
            <v>280</v>
          </cell>
          <cell r="AD1394">
            <v>296</v>
          </cell>
          <cell r="AE1394">
            <v>311.11</v>
          </cell>
          <cell r="AF1394">
            <v>0.18999710713252552</v>
          </cell>
          <cell r="AG1394">
            <v>0.36819774356336987</v>
          </cell>
          <cell r="AH1394">
            <v>347</v>
          </cell>
          <cell r="AI1394">
            <v>381</v>
          </cell>
          <cell r="AJ1394">
            <v>0.33858267716535434</v>
          </cell>
          <cell r="AK1394">
            <v>415.5</v>
          </cell>
          <cell r="AL1394">
            <v>450</v>
          </cell>
          <cell r="AM1394">
            <v>0.44</v>
          </cell>
          <cell r="AN1394">
            <v>455.75</v>
          </cell>
          <cell r="AO1394">
            <v>461.5</v>
          </cell>
          <cell r="AP1394">
            <v>467.25</v>
          </cell>
          <cell r="AQ1394">
            <v>0</v>
          </cell>
          <cell r="AS1394">
            <v>473</v>
          </cell>
        </row>
        <row r="1395">
          <cell r="B1395" t="str">
            <v>SP</v>
          </cell>
          <cell r="C1395" t="str">
            <v>IMP</v>
          </cell>
          <cell r="D1395" t="str">
            <v>BT</v>
          </cell>
          <cell r="E1395" t="str">
            <v>08</v>
          </cell>
          <cell r="F1395">
            <v>39924</v>
          </cell>
          <cell r="G1395">
            <v>39924</v>
          </cell>
          <cell r="H1395" t="str">
            <v>A0DE01F</v>
          </cell>
          <cell r="I1395" t="str">
            <v>A0DE01F</v>
          </cell>
          <cell r="K1395" t="str">
            <v>IU-212K (60K)</v>
          </cell>
          <cell r="L1395">
            <v>200</v>
          </cell>
          <cell r="M1395">
            <v>85.3</v>
          </cell>
          <cell r="N1395">
            <v>88.712000000000003</v>
          </cell>
          <cell r="O1395">
            <v>0</v>
          </cell>
          <cell r="P1395">
            <v>88.712000000000003</v>
          </cell>
          <cell r="Q1395">
            <v>90.42</v>
          </cell>
          <cell r="R1395">
            <v>97.65</v>
          </cell>
          <cell r="S1395">
            <v>105</v>
          </cell>
          <cell r="T1395">
            <v>0.1551238095238095</v>
          </cell>
          <cell r="W1395">
            <v>88.712000000000003</v>
          </cell>
          <cell r="X1395">
            <v>0.84487619047619056</v>
          </cell>
          <cell r="Y1395" t="str">
            <v>Act freight</v>
          </cell>
          <cell r="AA1395">
            <v>174</v>
          </cell>
          <cell r="AB1395">
            <v>127</v>
          </cell>
          <cell r="AC1395">
            <v>148</v>
          </cell>
          <cell r="AD1395">
            <v>163</v>
          </cell>
          <cell r="AE1395">
            <v>177.42</v>
          </cell>
          <cell r="AF1395">
            <v>0.49998872731371879</v>
          </cell>
          <cell r="AG1395">
            <v>0.49998872731371879</v>
          </cell>
          <cell r="AH1395">
            <v>184</v>
          </cell>
          <cell r="AI1395">
            <v>189</v>
          </cell>
          <cell r="AJ1395">
            <v>0.53062433862433855</v>
          </cell>
          <cell r="AK1395">
            <v>194.5</v>
          </cell>
          <cell r="AL1395">
            <v>200</v>
          </cell>
          <cell r="AM1395">
            <v>0.55643999999999993</v>
          </cell>
          <cell r="AN1395">
            <v>200</v>
          </cell>
          <cell r="AO1395">
            <v>200</v>
          </cell>
          <cell r="AP1395">
            <v>200</v>
          </cell>
          <cell r="AQ1395">
            <v>0</v>
          </cell>
          <cell r="AS1395">
            <v>200</v>
          </cell>
        </row>
        <row r="1396">
          <cell r="B1396" t="str">
            <v>SP</v>
          </cell>
          <cell r="C1396" t="str">
            <v>IMP</v>
          </cell>
          <cell r="D1396" t="str">
            <v>BT</v>
          </cell>
          <cell r="E1396" t="str">
            <v>08</v>
          </cell>
          <cell r="F1396">
            <v>39924</v>
          </cell>
          <cell r="G1396">
            <v>39924</v>
          </cell>
          <cell r="H1396" t="str">
            <v>A0DE02F</v>
          </cell>
          <cell r="I1396" t="str">
            <v>A0DE02F</v>
          </cell>
          <cell r="K1396" t="str">
            <v>IU-211K (C253:100K, C203:70K)</v>
          </cell>
          <cell r="L1396">
            <v>200</v>
          </cell>
          <cell r="M1396">
            <v>93.3</v>
          </cell>
          <cell r="N1396">
            <v>97.031999999999996</v>
          </cell>
          <cell r="O1396">
            <v>0</v>
          </cell>
          <cell r="P1396">
            <v>97.031999999999996</v>
          </cell>
          <cell r="Q1396">
            <v>98.9</v>
          </cell>
          <cell r="R1396">
            <v>106.81</v>
          </cell>
          <cell r="S1396">
            <v>105</v>
          </cell>
          <cell r="T1396">
            <v>7.588571428571432E-2</v>
          </cell>
          <cell r="W1396">
            <v>97.031999999999996</v>
          </cell>
          <cell r="X1396">
            <v>0.92411428571428567</v>
          </cell>
          <cell r="Y1396" t="str">
            <v>Act freight</v>
          </cell>
          <cell r="AA1396">
            <v>190</v>
          </cell>
          <cell r="AB1396">
            <v>139</v>
          </cell>
          <cell r="AC1396">
            <v>162</v>
          </cell>
          <cell r="AD1396">
            <v>179</v>
          </cell>
          <cell r="AE1396">
            <v>194.06</v>
          </cell>
          <cell r="AF1396">
            <v>0.49998969390910031</v>
          </cell>
          <cell r="AG1396">
            <v>0.49998969390910031</v>
          </cell>
          <cell r="AH1396">
            <v>197</v>
          </cell>
          <cell r="AI1396">
            <v>198</v>
          </cell>
          <cell r="AJ1396">
            <v>0.50993939393939391</v>
          </cell>
          <cell r="AK1396">
            <v>199</v>
          </cell>
          <cell r="AL1396">
            <v>200</v>
          </cell>
          <cell r="AM1396">
            <v>0.51483999999999996</v>
          </cell>
          <cell r="AN1396">
            <v>200</v>
          </cell>
          <cell r="AO1396">
            <v>200</v>
          </cell>
          <cell r="AP1396">
            <v>200</v>
          </cell>
          <cell r="AQ1396">
            <v>0</v>
          </cell>
          <cell r="AS1396">
            <v>200</v>
          </cell>
        </row>
        <row r="1397">
          <cell r="B1397" t="str">
            <v>SP</v>
          </cell>
          <cell r="C1397" t="str">
            <v>IMP</v>
          </cell>
          <cell r="D1397" t="str">
            <v>BT</v>
          </cell>
          <cell r="E1397" t="str">
            <v>08</v>
          </cell>
          <cell r="F1397">
            <v>39924</v>
          </cell>
          <cell r="G1397">
            <v>39924</v>
          </cell>
          <cell r="H1397" t="str">
            <v>A0DE03F</v>
          </cell>
          <cell r="I1397" t="str">
            <v>A0DE03F</v>
          </cell>
          <cell r="K1397" t="str">
            <v>IU-313K (C353:120K)</v>
          </cell>
          <cell r="L1397">
            <v>200</v>
          </cell>
          <cell r="M1397">
            <v>90.78</v>
          </cell>
          <cell r="N1397">
            <v>94.411200000000008</v>
          </cell>
          <cell r="O1397">
            <v>0</v>
          </cell>
          <cell r="P1397">
            <v>94.411200000000008</v>
          </cell>
          <cell r="Q1397">
            <v>96.23</v>
          </cell>
          <cell r="R1397">
            <v>103.93</v>
          </cell>
          <cell r="S1397">
            <v>105</v>
          </cell>
          <cell r="T1397">
            <v>0.10084571428571421</v>
          </cell>
          <cell r="W1397">
            <v>94.411200000000008</v>
          </cell>
          <cell r="X1397">
            <v>0.89915428571428579</v>
          </cell>
          <cell r="Y1397" t="str">
            <v>Act freight</v>
          </cell>
          <cell r="AA1397">
            <v>185</v>
          </cell>
          <cell r="AB1397">
            <v>135</v>
          </cell>
          <cell r="AC1397">
            <v>158</v>
          </cell>
          <cell r="AD1397">
            <v>174</v>
          </cell>
          <cell r="AE1397">
            <v>188.82</v>
          </cell>
          <cell r="AF1397">
            <v>0.49999364474102315</v>
          </cell>
          <cell r="AG1397">
            <v>0.49999364474102315</v>
          </cell>
          <cell r="AH1397">
            <v>192</v>
          </cell>
          <cell r="AI1397">
            <v>195</v>
          </cell>
          <cell r="AJ1397">
            <v>0.51583999999999997</v>
          </cell>
          <cell r="AK1397">
            <v>197.5</v>
          </cell>
          <cell r="AL1397">
            <v>200</v>
          </cell>
          <cell r="AM1397">
            <v>0.52794399999999997</v>
          </cell>
          <cell r="AN1397">
            <v>200</v>
          </cell>
          <cell r="AO1397">
            <v>200</v>
          </cell>
          <cell r="AP1397">
            <v>200</v>
          </cell>
          <cell r="AQ1397">
            <v>0</v>
          </cell>
          <cell r="AS1397">
            <v>200</v>
          </cell>
        </row>
        <row r="1398">
          <cell r="B1398" t="str">
            <v>SP</v>
          </cell>
          <cell r="C1398" t="str">
            <v>IMP</v>
          </cell>
          <cell r="D1398" t="str">
            <v>BT</v>
          </cell>
          <cell r="E1398" t="str">
            <v>08</v>
          </cell>
          <cell r="F1398">
            <v>39924</v>
          </cell>
          <cell r="G1398">
            <v>39924</v>
          </cell>
          <cell r="H1398" t="str">
            <v>A0DE05F</v>
          </cell>
          <cell r="I1398" t="str">
            <v>A0DE05F</v>
          </cell>
          <cell r="K1398" t="str">
            <v>IU-212Y (45K)</v>
          </cell>
          <cell r="L1398">
            <v>702</v>
          </cell>
          <cell r="M1398">
            <v>184</v>
          </cell>
          <cell r="N1398">
            <v>191.36</v>
          </cell>
          <cell r="O1398">
            <v>0.31851851851851848</v>
          </cell>
          <cell r="P1398">
            <v>280.8</v>
          </cell>
          <cell r="Q1398">
            <v>195.04</v>
          </cell>
          <cell r="R1398">
            <v>210.64</v>
          </cell>
          <cell r="S1398">
            <v>351</v>
          </cell>
          <cell r="T1398">
            <v>0.45481481481481478</v>
          </cell>
          <cell r="W1398">
            <v>280.8</v>
          </cell>
          <cell r="X1398">
            <v>0.8</v>
          </cell>
          <cell r="Y1398" t="str">
            <v>Act freight</v>
          </cell>
          <cell r="AA1398">
            <v>550</v>
          </cell>
          <cell r="AB1398">
            <v>402</v>
          </cell>
          <cell r="AC1398">
            <v>468</v>
          </cell>
          <cell r="AD1398">
            <v>515</v>
          </cell>
          <cell r="AE1398">
            <v>561.6</v>
          </cell>
          <cell r="AF1398">
            <v>0.5</v>
          </cell>
          <cell r="AG1398">
            <v>0.65925925925925921</v>
          </cell>
          <cell r="AH1398">
            <v>597</v>
          </cell>
          <cell r="AI1398">
            <v>632</v>
          </cell>
          <cell r="AJ1398">
            <v>0.55569620253164553</v>
          </cell>
          <cell r="AK1398">
            <v>667</v>
          </cell>
          <cell r="AL1398">
            <v>702</v>
          </cell>
          <cell r="AM1398">
            <v>0.6</v>
          </cell>
          <cell r="AN1398">
            <v>702</v>
          </cell>
          <cell r="AO1398">
            <v>702</v>
          </cell>
          <cell r="AP1398">
            <v>702</v>
          </cell>
          <cell r="AQ1398">
            <v>0</v>
          </cell>
          <cell r="AS1398">
            <v>702</v>
          </cell>
        </row>
        <row r="1399">
          <cell r="B1399" t="str">
            <v>SP</v>
          </cell>
          <cell r="C1399" t="str">
            <v>IMP</v>
          </cell>
          <cell r="D1399" t="str">
            <v>BT</v>
          </cell>
          <cell r="E1399" t="str">
            <v>08</v>
          </cell>
          <cell r="F1399">
            <v>39924</v>
          </cell>
          <cell r="G1399">
            <v>39924</v>
          </cell>
          <cell r="H1399" t="str">
            <v>A0DE06F</v>
          </cell>
          <cell r="I1399" t="str">
            <v>A0DE06F</v>
          </cell>
          <cell r="K1399" t="str">
            <v>IU-211Y (C253:75K, C203:55K)</v>
          </cell>
          <cell r="L1399">
            <v>825</v>
          </cell>
          <cell r="M1399">
            <v>195.56</v>
          </cell>
          <cell r="N1399">
            <v>203.38240000000002</v>
          </cell>
          <cell r="O1399">
            <v>0.3799317073170731</v>
          </cell>
          <cell r="P1399">
            <v>328</v>
          </cell>
          <cell r="Q1399">
            <v>207.29</v>
          </cell>
          <cell r="R1399">
            <v>223.87</v>
          </cell>
          <cell r="S1399">
            <v>410</v>
          </cell>
          <cell r="T1399">
            <v>0.50394536585365846</v>
          </cell>
          <cell r="W1399">
            <v>328</v>
          </cell>
          <cell r="X1399">
            <v>0.8</v>
          </cell>
          <cell r="Y1399" t="str">
            <v>Act freight</v>
          </cell>
          <cell r="AA1399">
            <v>643</v>
          </cell>
          <cell r="AB1399">
            <v>469</v>
          </cell>
          <cell r="AC1399">
            <v>547</v>
          </cell>
          <cell r="AD1399">
            <v>602</v>
          </cell>
          <cell r="AE1399">
            <v>656</v>
          </cell>
          <cell r="AF1399">
            <v>0.5</v>
          </cell>
          <cell r="AG1399">
            <v>0.68996585365853658</v>
          </cell>
          <cell r="AH1399">
            <v>699</v>
          </cell>
          <cell r="AI1399">
            <v>741</v>
          </cell>
          <cell r="AJ1399">
            <v>0.55735492577597845</v>
          </cell>
          <cell r="AK1399">
            <v>783</v>
          </cell>
          <cell r="AL1399">
            <v>825</v>
          </cell>
          <cell r="AM1399">
            <v>0.60242424242424242</v>
          </cell>
          <cell r="AN1399">
            <v>825</v>
          </cell>
          <cell r="AO1399">
            <v>825</v>
          </cell>
          <cell r="AP1399">
            <v>825</v>
          </cell>
          <cell r="AQ1399">
            <v>0</v>
          </cell>
          <cell r="AS1399">
            <v>825</v>
          </cell>
        </row>
        <row r="1400">
          <cell r="B1400" t="str">
            <v>SP</v>
          </cell>
          <cell r="C1400" t="str">
            <v>IMP</v>
          </cell>
          <cell r="D1400" t="str">
            <v>BT</v>
          </cell>
          <cell r="E1400" t="str">
            <v>08</v>
          </cell>
          <cell r="F1400">
            <v>39924</v>
          </cell>
          <cell r="G1400">
            <v>39924</v>
          </cell>
          <cell r="H1400" t="str">
            <v>A0DE07F</v>
          </cell>
          <cell r="I1400" t="str">
            <v>A0DE07F</v>
          </cell>
          <cell r="K1400" t="str">
            <v>IU-313Y (C353:90K)</v>
          </cell>
          <cell r="L1400">
            <v>825</v>
          </cell>
          <cell r="M1400">
            <v>208.06</v>
          </cell>
          <cell r="N1400">
            <v>216.38240000000002</v>
          </cell>
          <cell r="O1400">
            <v>0.3402975609756097</v>
          </cell>
          <cell r="P1400">
            <v>328</v>
          </cell>
          <cell r="Q1400">
            <v>220.54</v>
          </cell>
          <cell r="R1400">
            <v>238.18</v>
          </cell>
          <cell r="S1400">
            <v>410</v>
          </cell>
          <cell r="T1400">
            <v>0.47223804878048775</v>
          </cell>
          <cell r="W1400">
            <v>328</v>
          </cell>
          <cell r="X1400">
            <v>0.8</v>
          </cell>
          <cell r="Y1400" t="str">
            <v>Act freight</v>
          </cell>
          <cell r="AA1400">
            <v>643</v>
          </cell>
          <cell r="AB1400">
            <v>469</v>
          </cell>
          <cell r="AC1400">
            <v>547</v>
          </cell>
          <cell r="AD1400">
            <v>602</v>
          </cell>
          <cell r="AE1400">
            <v>656</v>
          </cell>
          <cell r="AF1400">
            <v>0.5</v>
          </cell>
          <cell r="AG1400">
            <v>0.6701487804878048</v>
          </cell>
          <cell r="AH1400">
            <v>699</v>
          </cell>
          <cell r="AI1400">
            <v>741</v>
          </cell>
          <cell r="AJ1400">
            <v>0.55735492577597845</v>
          </cell>
          <cell r="AK1400">
            <v>783</v>
          </cell>
          <cell r="AL1400">
            <v>825</v>
          </cell>
          <cell r="AM1400">
            <v>0.60242424242424242</v>
          </cell>
          <cell r="AN1400">
            <v>825</v>
          </cell>
          <cell r="AO1400">
            <v>825</v>
          </cell>
          <cell r="AP1400">
            <v>825</v>
          </cell>
          <cell r="AQ1400">
            <v>0</v>
          </cell>
          <cell r="AS1400">
            <v>825</v>
          </cell>
        </row>
        <row r="1401">
          <cell r="B1401" t="str">
            <v>SP</v>
          </cell>
          <cell r="C1401" t="str">
            <v>IMP</v>
          </cell>
          <cell r="D1401" t="str">
            <v>BT</v>
          </cell>
          <cell r="E1401" t="str">
            <v>08</v>
          </cell>
          <cell r="F1401">
            <v>39924</v>
          </cell>
          <cell r="G1401">
            <v>39924</v>
          </cell>
          <cell r="H1401" t="str">
            <v>A0DE0AF</v>
          </cell>
          <cell r="I1401" t="str">
            <v>A0DE0AF</v>
          </cell>
          <cell r="K1401" t="str">
            <v>IU-212M (45K)</v>
          </cell>
          <cell r="L1401">
            <v>702</v>
          </cell>
          <cell r="M1401">
            <v>184</v>
          </cell>
          <cell r="N1401">
            <v>191.36</v>
          </cell>
          <cell r="O1401">
            <v>0.31851851851851848</v>
          </cell>
          <cell r="P1401">
            <v>280.8</v>
          </cell>
          <cell r="Q1401">
            <v>195.04</v>
          </cell>
          <cell r="R1401">
            <v>210.64</v>
          </cell>
          <cell r="S1401">
            <v>351</v>
          </cell>
          <cell r="T1401">
            <v>0.45481481481481478</v>
          </cell>
          <cell r="W1401">
            <v>280.8</v>
          </cell>
          <cell r="X1401">
            <v>0.8</v>
          </cell>
          <cell r="Y1401" t="str">
            <v>Act freight</v>
          </cell>
          <cell r="AA1401">
            <v>550</v>
          </cell>
          <cell r="AB1401">
            <v>402</v>
          </cell>
          <cell r="AC1401">
            <v>468</v>
          </cell>
          <cell r="AD1401">
            <v>515</v>
          </cell>
          <cell r="AE1401">
            <v>561.6</v>
          </cell>
          <cell r="AF1401">
            <v>0.5</v>
          </cell>
          <cell r="AG1401">
            <v>0.65925925925925921</v>
          </cell>
          <cell r="AH1401">
            <v>597</v>
          </cell>
          <cell r="AI1401">
            <v>632</v>
          </cell>
          <cell r="AJ1401">
            <v>0.55569620253164553</v>
          </cell>
          <cell r="AK1401">
            <v>667</v>
          </cell>
          <cell r="AL1401">
            <v>702</v>
          </cell>
          <cell r="AM1401">
            <v>0.6</v>
          </cell>
          <cell r="AN1401">
            <v>702</v>
          </cell>
          <cell r="AO1401">
            <v>702</v>
          </cell>
          <cell r="AP1401">
            <v>702</v>
          </cell>
          <cell r="AQ1401">
            <v>0</v>
          </cell>
          <cell r="AS1401">
            <v>702</v>
          </cell>
        </row>
        <row r="1402">
          <cell r="B1402" t="str">
            <v>SP</v>
          </cell>
          <cell r="C1402" t="str">
            <v>IMP</v>
          </cell>
          <cell r="D1402" t="str">
            <v>BT</v>
          </cell>
          <cell r="E1402" t="str">
            <v>08</v>
          </cell>
          <cell r="F1402">
            <v>39924</v>
          </cell>
          <cell r="G1402">
            <v>39924</v>
          </cell>
          <cell r="H1402" t="str">
            <v>A0DE0CF</v>
          </cell>
          <cell r="I1402" t="str">
            <v>A0DE0CF</v>
          </cell>
          <cell r="K1402" t="str">
            <v>IU-211M (C253:75K, C203:55K)</v>
          </cell>
          <cell r="L1402">
            <v>825</v>
          </cell>
          <cell r="M1402">
            <v>195.56</v>
          </cell>
          <cell r="N1402">
            <v>203.38240000000002</v>
          </cell>
          <cell r="O1402">
            <v>0.3799317073170731</v>
          </cell>
          <cell r="P1402">
            <v>328</v>
          </cell>
          <cell r="Q1402">
            <v>207.29</v>
          </cell>
          <cell r="R1402">
            <v>223.87</v>
          </cell>
          <cell r="S1402">
            <v>410</v>
          </cell>
          <cell r="T1402">
            <v>0.50394536585365846</v>
          </cell>
          <cell r="W1402">
            <v>328</v>
          </cell>
          <cell r="X1402">
            <v>0.8</v>
          </cell>
          <cell r="Y1402" t="str">
            <v>Act freight</v>
          </cell>
          <cell r="AA1402">
            <v>643</v>
          </cell>
          <cell r="AB1402">
            <v>469</v>
          </cell>
          <cell r="AC1402">
            <v>547</v>
          </cell>
          <cell r="AD1402">
            <v>602</v>
          </cell>
          <cell r="AE1402">
            <v>656</v>
          </cell>
          <cell r="AF1402">
            <v>0.5</v>
          </cell>
          <cell r="AG1402">
            <v>0.68996585365853658</v>
          </cell>
          <cell r="AH1402">
            <v>699</v>
          </cell>
          <cell r="AI1402">
            <v>741</v>
          </cell>
          <cell r="AJ1402">
            <v>0.55735492577597845</v>
          </cell>
          <cell r="AK1402">
            <v>783</v>
          </cell>
          <cell r="AL1402">
            <v>825</v>
          </cell>
          <cell r="AM1402">
            <v>0.60242424242424242</v>
          </cell>
          <cell r="AN1402">
            <v>825</v>
          </cell>
          <cell r="AO1402">
            <v>825</v>
          </cell>
          <cell r="AP1402">
            <v>825</v>
          </cell>
          <cell r="AQ1402">
            <v>0</v>
          </cell>
          <cell r="AS1402">
            <v>825</v>
          </cell>
        </row>
        <row r="1403">
          <cell r="B1403" t="str">
            <v>SP</v>
          </cell>
          <cell r="C1403" t="str">
            <v>IMP</v>
          </cell>
          <cell r="D1403" t="str">
            <v>BT</v>
          </cell>
          <cell r="E1403" t="str">
            <v>08</v>
          </cell>
          <cell r="F1403">
            <v>39924</v>
          </cell>
          <cell r="G1403">
            <v>39924</v>
          </cell>
          <cell r="H1403" t="str">
            <v>A0DE0DF</v>
          </cell>
          <cell r="I1403" t="str">
            <v>A0DE0DF</v>
          </cell>
          <cell r="K1403" t="str">
            <v>IU-313M (C353:90K)</v>
          </cell>
          <cell r="L1403">
            <v>825</v>
          </cell>
          <cell r="M1403">
            <v>208.06</v>
          </cell>
          <cell r="N1403">
            <v>216.38240000000002</v>
          </cell>
          <cell r="O1403">
            <v>0.3402975609756097</v>
          </cell>
          <cell r="P1403">
            <v>328</v>
          </cell>
          <cell r="Q1403">
            <v>220.54</v>
          </cell>
          <cell r="R1403">
            <v>238.18</v>
          </cell>
          <cell r="S1403">
            <v>410</v>
          </cell>
          <cell r="T1403">
            <v>0.47223804878048775</v>
          </cell>
          <cell r="W1403">
            <v>328</v>
          </cell>
          <cell r="X1403">
            <v>0.8</v>
          </cell>
          <cell r="Y1403" t="str">
            <v>Act freight</v>
          </cell>
          <cell r="AA1403">
            <v>643</v>
          </cell>
          <cell r="AB1403">
            <v>469</v>
          </cell>
          <cell r="AC1403">
            <v>547</v>
          </cell>
          <cell r="AD1403">
            <v>602</v>
          </cell>
          <cell r="AE1403">
            <v>656</v>
          </cell>
          <cell r="AF1403">
            <v>0.5</v>
          </cell>
          <cell r="AG1403">
            <v>0.6701487804878048</v>
          </cell>
          <cell r="AH1403">
            <v>699</v>
          </cell>
          <cell r="AI1403">
            <v>741</v>
          </cell>
          <cell r="AJ1403">
            <v>0.55735492577597845</v>
          </cell>
          <cell r="AK1403">
            <v>783</v>
          </cell>
          <cell r="AL1403">
            <v>825</v>
          </cell>
          <cell r="AM1403">
            <v>0.60242424242424242</v>
          </cell>
          <cell r="AN1403">
            <v>825</v>
          </cell>
          <cell r="AO1403">
            <v>825</v>
          </cell>
          <cell r="AP1403">
            <v>825</v>
          </cell>
          <cell r="AQ1403">
            <v>0</v>
          </cell>
          <cell r="AS1403">
            <v>825</v>
          </cell>
        </row>
        <row r="1404">
          <cell r="B1404" t="str">
            <v>SP</v>
          </cell>
          <cell r="C1404" t="str">
            <v>IMP</v>
          </cell>
          <cell r="D1404" t="str">
            <v>BT</v>
          </cell>
          <cell r="E1404" t="str">
            <v>08</v>
          </cell>
          <cell r="F1404">
            <v>39924</v>
          </cell>
          <cell r="G1404">
            <v>39924</v>
          </cell>
          <cell r="H1404" t="str">
            <v>A0DE0GF</v>
          </cell>
          <cell r="I1404" t="str">
            <v>A0DE0GF</v>
          </cell>
          <cell r="K1404" t="str">
            <v>IU-212C (45K)</v>
          </cell>
          <cell r="L1404">
            <v>702</v>
          </cell>
          <cell r="M1404">
            <v>184</v>
          </cell>
          <cell r="N1404">
            <v>191.36</v>
          </cell>
          <cell r="O1404">
            <v>0.31851851851851848</v>
          </cell>
          <cell r="P1404">
            <v>280.8</v>
          </cell>
          <cell r="Q1404">
            <v>195.04</v>
          </cell>
          <cell r="R1404">
            <v>210.64</v>
          </cell>
          <cell r="S1404">
            <v>351</v>
          </cell>
          <cell r="T1404">
            <v>0.45481481481481478</v>
          </cell>
          <cell r="W1404">
            <v>280.8</v>
          </cell>
          <cell r="X1404">
            <v>0.8</v>
          </cell>
          <cell r="Y1404" t="str">
            <v>Act freight</v>
          </cell>
          <cell r="AA1404">
            <v>550</v>
          </cell>
          <cell r="AB1404">
            <v>402</v>
          </cell>
          <cell r="AC1404">
            <v>468</v>
          </cell>
          <cell r="AD1404">
            <v>515</v>
          </cell>
          <cell r="AE1404">
            <v>561.6</v>
          </cell>
          <cell r="AF1404">
            <v>0.5</v>
          </cell>
          <cell r="AG1404">
            <v>0.65925925925925921</v>
          </cell>
          <cell r="AH1404">
            <v>597</v>
          </cell>
          <cell r="AI1404">
            <v>632</v>
          </cell>
          <cell r="AJ1404">
            <v>0.55569620253164553</v>
          </cell>
          <cell r="AK1404">
            <v>667</v>
          </cell>
          <cell r="AL1404">
            <v>702</v>
          </cell>
          <cell r="AM1404">
            <v>0.6</v>
          </cell>
          <cell r="AN1404">
            <v>702</v>
          </cell>
          <cell r="AO1404">
            <v>702</v>
          </cell>
          <cell r="AP1404">
            <v>702</v>
          </cell>
          <cell r="AQ1404">
            <v>0</v>
          </cell>
          <cell r="AS1404">
            <v>702</v>
          </cell>
        </row>
        <row r="1405">
          <cell r="B1405" t="str">
            <v>SP</v>
          </cell>
          <cell r="C1405" t="str">
            <v>IMP</v>
          </cell>
          <cell r="D1405" t="str">
            <v>BT</v>
          </cell>
          <cell r="E1405" t="str">
            <v>08</v>
          </cell>
          <cell r="F1405">
            <v>39924</v>
          </cell>
          <cell r="G1405">
            <v>39924</v>
          </cell>
          <cell r="H1405" t="str">
            <v>A0DE0HF</v>
          </cell>
          <cell r="I1405" t="str">
            <v>A0DE0HF</v>
          </cell>
          <cell r="K1405" t="str">
            <v>IU-211C (C253:75K, C203:55K)</v>
          </cell>
          <cell r="L1405">
            <v>825</v>
          </cell>
          <cell r="M1405">
            <v>195.56</v>
          </cell>
          <cell r="N1405">
            <v>203.38240000000002</v>
          </cell>
          <cell r="O1405">
            <v>0.3799317073170731</v>
          </cell>
          <cell r="P1405">
            <v>328</v>
          </cell>
          <cell r="Q1405">
            <v>207.29</v>
          </cell>
          <cell r="R1405">
            <v>223.87</v>
          </cell>
          <cell r="S1405">
            <v>410</v>
          </cell>
          <cell r="T1405">
            <v>0.50394536585365846</v>
          </cell>
          <cell r="W1405">
            <v>328</v>
          </cell>
          <cell r="X1405">
            <v>0.8</v>
          </cell>
          <cell r="Y1405" t="str">
            <v>Act freight</v>
          </cell>
          <cell r="AA1405">
            <v>643</v>
          </cell>
          <cell r="AB1405">
            <v>469</v>
          </cell>
          <cell r="AC1405">
            <v>547</v>
          </cell>
          <cell r="AD1405">
            <v>602</v>
          </cell>
          <cell r="AE1405">
            <v>656</v>
          </cell>
          <cell r="AF1405">
            <v>0.5</v>
          </cell>
          <cell r="AG1405">
            <v>0.68996585365853658</v>
          </cell>
          <cell r="AH1405">
            <v>699</v>
          </cell>
          <cell r="AI1405">
            <v>741</v>
          </cell>
          <cell r="AJ1405">
            <v>0.55735492577597845</v>
          </cell>
          <cell r="AK1405">
            <v>783</v>
          </cell>
          <cell r="AL1405">
            <v>825</v>
          </cell>
          <cell r="AM1405">
            <v>0.60242424242424242</v>
          </cell>
          <cell r="AN1405">
            <v>825</v>
          </cell>
          <cell r="AO1405">
            <v>825</v>
          </cell>
          <cell r="AP1405">
            <v>825</v>
          </cell>
          <cell r="AQ1405">
            <v>0</v>
          </cell>
          <cell r="AS1405">
            <v>825</v>
          </cell>
        </row>
        <row r="1406">
          <cell r="B1406" t="str">
            <v>SP</v>
          </cell>
          <cell r="C1406" t="str">
            <v>IMP</v>
          </cell>
          <cell r="D1406" t="str">
            <v>BT</v>
          </cell>
          <cell r="E1406" t="str">
            <v>08</v>
          </cell>
          <cell r="F1406">
            <v>39924</v>
          </cell>
          <cell r="G1406">
            <v>39924</v>
          </cell>
          <cell r="H1406" t="str">
            <v>A0DE0JF</v>
          </cell>
          <cell r="I1406" t="str">
            <v>A0DE0JF</v>
          </cell>
          <cell r="K1406" t="str">
            <v>IU-313C (C353:90K)</v>
          </cell>
          <cell r="L1406">
            <v>825</v>
          </cell>
          <cell r="M1406">
            <v>208.06</v>
          </cell>
          <cell r="N1406">
            <v>216.38240000000002</v>
          </cell>
          <cell r="O1406">
            <v>0.3402975609756097</v>
          </cell>
          <cell r="P1406">
            <v>328</v>
          </cell>
          <cell r="Q1406">
            <v>220.54</v>
          </cell>
          <cell r="R1406">
            <v>238.18</v>
          </cell>
          <cell r="S1406">
            <v>410</v>
          </cell>
          <cell r="T1406">
            <v>0.47223804878048775</v>
          </cell>
          <cell r="W1406">
            <v>328</v>
          </cell>
          <cell r="X1406">
            <v>0.8</v>
          </cell>
          <cell r="Y1406" t="str">
            <v>Act freight</v>
          </cell>
          <cell r="AA1406">
            <v>643</v>
          </cell>
          <cell r="AB1406">
            <v>469</v>
          </cell>
          <cell r="AC1406">
            <v>547</v>
          </cell>
          <cell r="AD1406">
            <v>602</v>
          </cell>
          <cell r="AE1406">
            <v>656</v>
          </cell>
          <cell r="AF1406">
            <v>0.5</v>
          </cell>
          <cell r="AG1406">
            <v>0.6701487804878048</v>
          </cell>
          <cell r="AH1406">
            <v>699</v>
          </cell>
          <cell r="AI1406">
            <v>741</v>
          </cell>
          <cell r="AJ1406">
            <v>0.55735492577597845</v>
          </cell>
          <cell r="AK1406">
            <v>783</v>
          </cell>
          <cell r="AL1406">
            <v>825</v>
          </cell>
          <cell r="AM1406">
            <v>0.60242424242424242</v>
          </cell>
          <cell r="AN1406">
            <v>825</v>
          </cell>
          <cell r="AO1406">
            <v>825</v>
          </cell>
          <cell r="AP1406">
            <v>825</v>
          </cell>
          <cell r="AQ1406">
            <v>0</v>
          </cell>
          <cell r="AS1406">
            <v>825</v>
          </cell>
        </row>
        <row r="1407">
          <cell r="B1407" t="str">
            <v>AC</v>
          </cell>
          <cell r="C1407" t="str">
            <v>IMP</v>
          </cell>
          <cell r="D1407" t="str">
            <v>BT</v>
          </cell>
          <cell r="E1407" t="str">
            <v>P3</v>
          </cell>
          <cell r="F1407">
            <v>39924</v>
          </cell>
          <cell r="G1407">
            <v>40478</v>
          </cell>
          <cell r="H1407" t="str">
            <v>A0DR0Y0</v>
          </cell>
          <cell r="I1407" t="str">
            <v>6KMFS520STPFN_N</v>
          </cell>
          <cell r="K1407" t="str">
            <v>FS-520 staple FNS</v>
          </cell>
          <cell r="L1407">
            <v>2993</v>
          </cell>
          <cell r="M1407">
            <v>850</v>
          </cell>
          <cell r="N1407">
            <v>884</v>
          </cell>
          <cell r="O1407">
            <v>-0.17647058823529416</v>
          </cell>
          <cell r="P1407">
            <v>751.4</v>
          </cell>
          <cell r="Q1407">
            <v>901</v>
          </cell>
          <cell r="R1407">
            <v>973.08</v>
          </cell>
          <cell r="S1407">
            <v>1350.74</v>
          </cell>
          <cell r="T1407">
            <v>0.34554392407124984</v>
          </cell>
          <cell r="U1407">
            <v>1046.013056</v>
          </cell>
          <cell r="V1407">
            <v>0.15488626558787427</v>
          </cell>
          <cell r="W1407">
            <v>751.4</v>
          </cell>
          <cell r="X1407">
            <v>0.55628766453943768</v>
          </cell>
          <cell r="AA1407">
            <v>909</v>
          </cell>
          <cell r="AB1407">
            <v>752</v>
          </cell>
          <cell r="AC1407">
            <v>835</v>
          </cell>
          <cell r="AD1407">
            <v>882</v>
          </cell>
          <cell r="AE1407">
            <v>927.65</v>
          </cell>
          <cell r="AF1407">
            <v>0.18999622702527894</v>
          </cell>
          <cell r="AG1407">
            <v>4.7054384735622248E-2</v>
          </cell>
          <cell r="AH1407">
            <v>947</v>
          </cell>
          <cell r="AI1407">
            <v>965</v>
          </cell>
          <cell r="AJ1407">
            <v>0.22134715025906737</v>
          </cell>
          <cell r="AK1407">
            <v>983.5</v>
          </cell>
          <cell r="AL1407">
            <v>1002</v>
          </cell>
          <cell r="AM1407">
            <v>0.2500998003992016</v>
          </cell>
          <cell r="AN1407">
            <v>1142.8499999999999</v>
          </cell>
          <cell r="AO1407">
            <v>1283.7</v>
          </cell>
          <cell r="AP1407">
            <v>1424.55</v>
          </cell>
          <cell r="AQ1407">
            <v>0</v>
          </cell>
          <cell r="AS1407">
            <v>2993</v>
          </cell>
        </row>
        <row r="1408">
          <cell r="B1408" t="str">
            <v>PMC</v>
          </cell>
          <cell r="C1408" t="str">
            <v>PMP</v>
          </cell>
          <cell r="D1408" t="str">
            <v>BT</v>
          </cell>
          <cell r="E1408" t="str">
            <v>08</v>
          </cell>
          <cell r="F1408">
            <v>39924</v>
          </cell>
          <cell r="G1408">
            <v>39924</v>
          </cell>
          <cell r="H1408" t="str">
            <v>A0DTWY0</v>
          </cell>
          <cell r="I1408" t="str">
            <v>SWKMA0DTWY0</v>
          </cell>
          <cell r="K1408" t="str">
            <v>Waste Toner Box (50K)</v>
          </cell>
          <cell r="L1408">
            <v>50</v>
          </cell>
          <cell r="M1408">
            <v>16.8</v>
          </cell>
          <cell r="N1408">
            <v>17.64</v>
          </cell>
          <cell r="O1408">
            <v>0</v>
          </cell>
          <cell r="P1408">
            <v>17.64</v>
          </cell>
          <cell r="Q1408">
            <v>17.809999999999999</v>
          </cell>
          <cell r="R1408">
            <v>19.23</v>
          </cell>
          <cell r="S1408">
            <v>22</v>
          </cell>
          <cell r="T1408">
            <v>0.19818181818181815</v>
          </cell>
          <cell r="W1408">
            <v>17.64</v>
          </cell>
          <cell r="X1408">
            <v>0.80181818181818187</v>
          </cell>
          <cell r="Y1408" t="str">
            <v>Act freight</v>
          </cell>
          <cell r="AA1408">
            <v>30</v>
          </cell>
          <cell r="AB1408">
            <v>21</v>
          </cell>
          <cell r="AC1408">
            <v>23</v>
          </cell>
          <cell r="AD1408">
            <v>27</v>
          </cell>
          <cell r="AE1408">
            <v>30.95</v>
          </cell>
          <cell r="AF1408">
            <v>0.43004846526655893</v>
          </cell>
          <cell r="AG1408">
            <v>0.43004846526655893</v>
          </cell>
          <cell r="AH1408">
            <v>36</v>
          </cell>
          <cell r="AI1408">
            <v>41</v>
          </cell>
          <cell r="AJ1408">
            <v>0.56975609756097556</v>
          </cell>
          <cell r="AK1408">
            <v>45.5</v>
          </cell>
          <cell r="AL1408">
            <v>50</v>
          </cell>
          <cell r="AM1408">
            <v>0.6472</v>
          </cell>
          <cell r="AN1408">
            <v>50</v>
          </cell>
          <cell r="AO1408">
            <v>50</v>
          </cell>
          <cell r="AP1408">
            <v>50</v>
          </cell>
          <cell r="AQ1408">
            <v>0</v>
          </cell>
          <cell r="AS1408">
            <v>50</v>
          </cell>
        </row>
        <row r="1409">
          <cell r="B1409" t="str">
            <v>MB</v>
          </cell>
          <cell r="C1409" t="str">
            <v>IMP</v>
          </cell>
          <cell r="D1409" t="str">
            <v>BT</v>
          </cell>
          <cell r="E1409" t="str">
            <v>P3</v>
          </cell>
          <cell r="F1409">
            <v>39924</v>
          </cell>
          <cell r="G1409">
            <v>40001</v>
          </cell>
          <cell r="H1409" t="str">
            <v>A0E7010</v>
          </cell>
          <cell r="I1409" t="str">
            <v>9KMBHPROC5500_N</v>
          </cell>
          <cell r="K1409" t="str">
            <v>bizhub PRO C5500</v>
          </cell>
          <cell r="L1409">
            <v>40950</v>
          </cell>
          <cell r="M1409">
            <v>11628</v>
          </cell>
          <cell r="N1409">
            <v>12093.12</v>
          </cell>
          <cell r="O1409">
            <v>-0.17647058823529418</v>
          </cell>
          <cell r="P1409">
            <v>10279.152</v>
          </cell>
          <cell r="Q1409">
            <v>12325.68</v>
          </cell>
          <cell r="R1409">
            <v>13311.73</v>
          </cell>
          <cell r="S1409">
            <v>17797.5</v>
          </cell>
          <cell r="T1409">
            <v>0.32051580278128944</v>
          </cell>
          <cell r="U1409">
            <v>12458</v>
          </cell>
          <cell r="V1409">
            <v>2.928881040295386E-2</v>
          </cell>
          <cell r="W1409">
            <v>10279.152</v>
          </cell>
          <cell r="X1409">
            <v>0.57756156763590394</v>
          </cell>
          <cell r="Y1409">
            <v>250</v>
          </cell>
          <cell r="Z1409">
            <v>500</v>
          </cell>
          <cell r="AA1409">
            <v>12437</v>
          </cell>
          <cell r="AB1409">
            <v>10280</v>
          </cell>
          <cell r="AC1409">
            <v>11422</v>
          </cell>
          <cell r="AD1409">
            <v>12057</v>
          </cell>
          <cell r="AE1409">
            <v>12690.31</v>
          </cell>
          <cell r="AF1409">
            <v>0.18999992907974664</v>
          </cell>
          <cell r="AG1409">
            <v>4.7058740093819516E-2</v>
          </cell>
          <cell r="AH1409">
            <v>12945</v>
          </cell>
          <cell r="AI1409">
            <v>13199</v>
          </cell>
          <cell r="AJ1409">
            <v>0.22121736495189029</v>
          </cell>
          <cell r="AK1409">
            <v>13452.5</v>
          </cell>
          <cell r="AL1409">
            <v>13706</v>
          </cell>
          <cell r="AM1409">
            <v>0.2500253903399971</v>
          </cell>
          <cell r="AN1409">
            <v>15633.23</v>
          </cell>
          <cell r="AO1409">
            <v>17560.46</v>
          </cell>
          <cell r="AP1409">
            <v>19487.689999999999</v>
          </cell>
          <cell r="AQ1409">
            <v>0</v>
          </cell>
          <cell r="AR1409">
            <v>671</v>
          </cell>
          <cell r="AS1409">
            <v>40950</v>
          </cell>
        </row>
        <row r="1410">
          <cell r="B1410" t="str">
            <v>PMP</v>
          </cell>
          <cell r="C1410" t="str">
            <v>PMP</v>
          </cell>
          <cell r="D1410" t="str">
            <v>BT</v>
          </cell>
          <cell r="E1410" t="str">
            <v>08</v>
          </cell>
          <cell r="F1410">
            <v>40056</v>
          </cell>
          <cell r="G1410">
            <v>40056</v>
          </cell>
          <cell r="H1410" t="str">
            <v>A0EDR71600</v>
          </cell>
          <cell r="I1410">
            <v>0</v>
          </cell>
          <cell r="K1410" t="str">
            <v>Image Transfer Kit</v>
          </cell>
          <cell r="L1410">
            <v>481</v>
          </cell>
          <cell r="M1410">
            <v>100.89</v>
          </cell>
          <cell r="N1410">
            <v>105.9345</v>
          </cell>
          <cell r="O1410">
            <v>0.50956250000000003</v>
          </cell>
          <cell r="P1410">
            <v>216</v>
          </cell>
          <cell r="Q1410">
            <v>106.94</v>
          </cell>
          <cell r="R1410">
            <v>115.5</v>
          </cell>
          <cell r="S1410">
            <v>270</v>
          </cell>
          <cell r="T1410">
            <v>0.60764999999999991</v>
          </cell>
          <cell r="W1410">
            <v>216</v>
          </cell>
          <cell r="X1410">
            <v>0.8</v>
          </cell>
          <cell r="AA1410">
            <v>423</v>
          </cell>
          <cell r="AB1410">
            <v>309</v>
          </cell>
          <cell r="AC1410">
            <v>360</v>
          </cell>
          <cell r="AD1410">
            <v>396</v>
          </cell>
          <cell r="AE1410">
            <v>432</v>
          </cell>
          <cell r="AF1410">
            <v>0.5</v>
          </cell>
          <cell r="AG1410">
            <v>0.75478124999999996</v>
          </cell>
          <cell r="AH1410">
            <v>445</v>
          </cell>
          <cell r="AI1410">
            <v>457</v>
          </cell>
          <cell r="AJ1410">
            <v>0.52735229759299784</v>
          </cell>
          <cell r="AK1410">
            <v>469</v>
          </cell>
          <cell r="AL1410">
            <v>481</v>
          </cell>
          <cell r="AM1410">
            <v>0.55093555093555091</v>
          </cell>
          <cell r="AN1410">
            <v>481</v>
          </cell>
          <cell r="AO1410">
            <v>481</v>
          </cell>
          <cell r="AP1410">
            <v>481</v>
          </cell>
          <cell r="AQ1410">
            <v>0</v>
          </cell>
          <cell r="AS1410">
            <v>481</v>
          </cell>
        </row>
        <row r="1411">
          <cell r="B1411" t="str">
            <v>PMP</v>
          </cell>
          <cell r="C1411" t="str">
            <v>PMP</v>
          </cell>
          <cell r="D1411" t="str">
            <v>BT</v>
          </cell>
          <cell r="E1411" t="str">
            <v>08</v>
          </cell>
          <cell r="F1411">
            <v>40056</v>
          </cell>
          <cell r="G1411">
            <v>40056</v>
          </cell>
          <cell r="H1411" t="str">
            <v>A0EDR72000</v>
          </cell>
          <cell r="I1411">
            <v>0</v>
          </cell>
          <cell r="K1411" t="str">
            <v>Fusing Unit</v>
          </cell>
          <cell r="L1411">
            <v>893</v>
          </cell>
          <cell r="M1411">
            <v>171.51</v>
          </cell>
          <cell r="N1411">
            <v>180.0855</v>
          </cell>
          <cell r="O1411">
            <v>0.46403125000000001</v>
          </cell>
          <cell r="P1411">
            <v>336</v>
          </cell>
          <cell r="Q1411">
            <v>181.8</v>
          </cell>
          <cell r="R1411">
            <v>196.34</v>
          </cell>
          <cell r="S1411">
            <v>420</v>
          </cell>
          <cell r="T1411">
            <v>0.57122499999999998</v>
          </cell>
          <cell r="W1411">
            <v>336</v>
          </cell>
          <cell r="X1411">
            <v>0.8</v>
          </cell>
          <cell r="AA1411">
            <v>659</v>
          </cell>
          <cell r="AB1411">
            <v>480</v>
          </cell>
          <cell r="AC1411">
            <v>560</v>
          </cell>
          <cell r="AD1411">
            <v>616</v>
          </cell>
          <cell r="AE1411">
            <v>672</v>
          </cell>
          <cell r="AF1411">
            <v>0.5</v>
          </cell>
          <cell r="AG1411">
            <v>0.73201562499999995</v>
          </cell>
          <cell r="AH1411">
            <v>728</v>
          </cell>
          <cell r="AI1411">
            <v>783</v>
          </cell>
          <cell r="AJ1411">
            <v>0.57088122605363989</v>
          </cell>
          <cell r="AK1411">
            <v>838</v>
          </cell>
          <cell r="AL1411">
            <v>893</v>
          </cell>
          <cell r="AM1411">
            <v>0.62374020156774912</v>
          </cell>
          <cell r="AN1411">
            <v>893</v>
          </cell>
          <cell r="AO1411">
            <v>893</v>
          </cell>
          <cell r="AP1411">
            <v>893</v>
          </cell>
          <cell r="AQ1411">
            <v>0</v>
          </cell>
          <cell r="AS1411">
            <v>893</v>
          </cell>
        </row>
        <row r="1412">
          <cell r="B1412" t="str">
            <v>AC</v>
          </cell>
          <cell r="C1412" t="str">
            <v>IMP</v>
          </cell>
          <cell r="D1412" t="str">
            <v>BT</v>
          </cell>
          <cell r="E1412" t="str">
            <v>P3</v>
          </cell>
          <cell r="F1412">
            <v>39924</v>
          </cell>
          <cell r="G1412">
            <v>40190</v>
          </cell>
          <cell r="H1412" t="str">
            <v>A0EP0Y0</v>
          </cell>
          <cell r="I1412" t="str">
            <v>3KMHMB502</v>
          </cell>
          <cell r="K1412" t="str">
            <v>MB-502 Multi Bypass Tray</v>
          </cell>
          <cell r="L1412">
            <v>153</v>
          </cell>
          <cell r="M1412">
            <v>51</v>
          </cell>
          <cell r="N1412">
            <v>53.04</v>
          </cell>
          <cell r="O1412">
            <v>-0.17647058823529421</v>
          </cell>
          <cell r="P1412">
            <v>45.083999999999996</v>
          </cell>
          <cell r="Q1412">
            <v>54.06</v>
          </cell>
          <cell r="R1412">
            <v>58.38</v>
          </cell>
          <cell r="S1412">
            <v>84</v>
          </cell>
          <cell r="T1412">
            <v>0.36857142857142861</v>
          </cell>
          <cell r="U1412">
            <v>65.049599999999998</v>
          </cell>
          <cell r="V1412">
            <v>0.18462219598583235</v>
          </cell>
          <cell r="W1412">
            <v>45.083999999999996</v>
          </cell>
          <cell r="X1412">
            <v>0.5367142857142857</v>
          </cell>
          <cell r="AA1412">
            <v>55</v>
          </cell>
          <cell r="AB1412">
            <v>46</v>
          </cell>
          <cell r="AC1412">
            <v>51</v>
          </cell>
          <cell r="AD1412">
            <v>54</v>
          </cell>
          <cell r="AE1412">
            <v>55.66</v>
          </cell>
          <cell r="AF1412">
            <v>0.19001077973409991</v>
          </cell>
          <cell r="AG1412">
            <v>4.7071505569529243E-2</v>
          </cell>
          <cell r="AH1412">
            <v>58</v>
          </cell>
          <cell r="AI1412">
            <v>59</v>
          </cell>
          <cell r="AJ1412">
            <v>0.23586440677966108</v>
          </cell>
          <cell r="AK1412">
            <v>60</v>
          </cell>
          <cell r="AL1412">
            <v>61</v>
          </cell>
          <cell r="AM1412">
            <v>0.2609180327868853</v>
          </cell>
          <cell r="AN1412">
            <v>69.23</v>
          </cell>
          <cell r="AO1412">
            <v>77.459999999999994</v>
          </cell>
          <cell r="AP1412">
            <v>85.69</v>
          </cell>
          <cell r="AQ1412">
            <v>0</v>
          </cell>
          <cell r="AS1412">
            <v>153</v>
          </cell>
        </row>
        <row r="1413">
          <cell r="B1413" t="str">
            <v>AC</v>
          </cell>
          <cell r="C1413" t="str">
            <v>IMP</v>
          </cell>
          <cell r="D1413" t="str">
            <v>BT</v>
          </cell>
          <cell r="E1413" t="str">
            <v>P3</v>
          </cell>
          <cell r="F1413">
            <v>39924</v>
          </cell>
          <cell r="G1413">
            <v>40190</v>
          </cell>
          <cell r="H1413" t="str">
            <v>A0F0010</v>
          </cell>
          <cell r="I1413" t="str">
            <v>3KMKFK507</v>
          </cell>
          <cell r="K1413" t="str">
            <v>FK-507 Fax Kit</v>
          </cell>
          <cell r="L1413">
            <v>1150</v>
          </cell>
          <cell r="M1413">
            <v>357</v>
          </cell>
          <cell r="N1413">
            <v>371.28000000000003</v>
          </cell>
          <cell r="O1413">
            <v>-0.17647058823529413</v>
          </cell>
          <cell r="P1413">
            <v>315.58800000000002</v>
          </cell>
          <cell r="Q1413">
            <v>378.42</v>
          </cell>
          <cell r="R1413">
            <v>408.69</v>
          </cell>
          <cell r="S1413">
            <v>634.79999999999995</v>
          </cell>
          <cell r="T1413">
            <v>0.41512287334593562</v>
          </cell>
          <cell r="U1413">
            <v>491.58911999999992</v>
          </cell>
          <cell r="V1413">
            <v>0.24473511537440029</v>
          </cell>
          <cell r="W1413">
            <v>315.58800000000002</v>
          </cell>
          <cell r="X1413">
            <v>0.4971455576559547</v>
          </cell>
          <cell r="AA1413">
            <v>382</v>
          </cell>
          <cell r="AB1413">
            <v>316</v>
          </cell>
          <cell r="AC1413">
            <v>351</v>
          </cell>
          <cell r="AD1413">
            <v>371</v>
          </cell>
          <cell r="AE1413">
            <v>389.61</v>
          </cell>
          <cell r="AF1413">
            <v>0.18998998998998995</v>
          </cell>
          <cell r="AG1413">
            <v>4.7047047047047007E-2</v>
          </cell>
          <cell r="AH1413">
            <v>398</v>
          </cell>
          <cell r="AI1413">
            <v>406</v>
          </cell>
          <cell r="AJ1413">
            <v>0.22268965517241374</v>
          </cell>
          <cell r="AK1413">
            <v>413.5</v>
          </cell>
          <cell r="AL1413">
            <v>421</v>
          </cell>
          <cell r="AM1413">
            <v>0.25038479809976244</v>
          </cell>
          <cell r="AN1413">
            <v>480.12</v>
          </cell>
          <cell r="AO1413">
            <v>539.24</v>
          </cell>
          <cell r="AP1413">
            <v>598.36</v>
          </cell>
          <cell r="AQ1413">
            <v>0</v>
          </cell>
          <cell r="AS1413">
            <v>1150</v>
          </cell>
        </row>
        <row r="1414">
          <cell r="B1414" t="str">
            <v>AC</v>
          </cell>
          <cell r="C1414" t="str">
            <v>IMP</v>
          </cell>
          <cell r="D1414" t="str">
            <v>BT</v>
          </cell>
          <cell r="E1414" t="str">
            <v>P3</v>
          </cell>
          <cell r="F1414">
            <v>39924</v>
          </cell>
          <cell r="G1414">
            <v>40190</v>
          </cell>
          <cell r="H1414" t="str">
            <v>A0F10Y0</v>
          </cell>
          <cell r="I1414" t="str">
            <v>3KMKML504</v>
          </cell>
          <cell r="K1414" t="str">
            <v>ML-504 Multi-Line Kit</v>
          </cell>
          <cell r="L1414">
            <v>1103</v>
          </cell>
          <cell r="M1414">
            <v>408</v>
          </cell>
          <cell r="N1414">
            <v>424.32</v>
          </cell>
          <cell r="O1414">
            <v>-0.17647058823529421</v>
          </cell>
          <cell r="P1414">
            <v>360.67199999999997</v>
          </cell>
          <cell r="Q1414">
            <v>432.48</v>
          </cell>
          <cell r="R1414">
            <v>467.08</v>
          </cell>
          <cell r="S1414">
            <v>628.5</v>
          </cell>
          <cell r="T1414">
            <v>0.32486873508353226</v>
          </cell>
          <cell r="U1414">
            <v>486.71039999999999</v>
          </cell>
          <cell r="V1414">
            <v>0.12818793270084222</v>
          </cell>
          <cell r="W1414">
            <v>360.67199999999997</v>
          </cell>
          <cell r="X1414">
            <v>0.57386157517899761</v>
          </cell>
          <cell r="AA1414">
            <v>436</v>
          </cell>
          <cell r="AB1414">
            <v>361</v>
          </cell>
          <cell r="AC1414">
            <v>401</v>
          </cell>
          <cell r="AD1414">
            <v>424</v>
          </cell>
          <cell r="AE1414">
            <v>445.27</v>
          </cell>
          <cell r="AF1414">
            <v>0.18999258876636652</v>
          </cell>
          <cell r="AG1414">
            <v>4.7050104431019354E-2</v>
          </cell>
          <cell r="AH1414">
            <v>455</v>
          </cell>
          <cell r="AI1414">
            <v>464</v>
          </cell>
          <cell r="AJ1414">
            <v>0.22268965517241385</v>
          </cell>
          <cell r="AK1414">
            <v>472.5</v>
          </cell>
          <cell r="AL1414">
            <v>481</v>
          </cell>
          <cell r="AM1414">
            <v>0.25016216216216225</v>
          </cell>
          <cell r="AN1414">
            <v>548.6</v>
          </cell>
          <cell r="AO1414">
            <v>616.20000000000005</v>
          </cell>
          <cell r="AP1414">
            <v>683.8</v>
          </cell>
          <cell r="AQ1414">
            <v>0</v>
          </cell>
          <cell r="AS1414">
            <v>1103</v>
          </cell>
        </row>
        <row r="1415">
          <cell r="B1415" t="str">
            <v>AC</v>
          </cell>
          <cell r="C1415" t="str">
            <v>IMP</v>
          </cell>
          <cell r="D1415" t="str">
            <v>BT</v>
          </cell>
          <cell r="E1415" t="str">
            <v>P3</v>
          </cell>
          <cell r="F1415">
            <v>39924</v>
          </cell>
          <cell r="G1415">
            <v>40190</v>
          </cell>
          <cell r="H1415" t="str">
            <v>A0F20Y0</v>
          </cell>
          <cell r="I1415" t="str">
            <v>3KMHSP503</v>
          </cell>
          <cell r="K1415" t="str">
            <v>SP-503 Stamp Unit</v>
          </cell>
          <cell r="L1415">
            <v>48</v>
          </cell>
          <cell r="M1415">
            <v>12</v>
          </cell>
          <cell r="N1415">
            <v>12.48</v>
          </cell>
          <cell r="O1415">
            <v>-0.1764705882352941</v>
          </cell>
          <cell r="P1415">
            <v>10.608000000000001</v>
          </cell>
          <cell r="Q1415">
            <v>12.72</v>
          </cell>
          <cell r="R1415">
            <v>13.74</v>
          </cell>
          <cell r="S1415">
            <v>23</v>
          </cell>
          <cell r="T1415">
            <v>0.45739130434782604</v>
          </cell>
          <cell r="U1415">
            <v>17.811199999999999</v>
          </cell>
          <cell r="V1415">
            <v>0.29931728350700676</v>
          </cell>
          <cell r="W1415">
            <v>10.608000000000001</v>
          </cell>
          <cell r="X1415">
            <v>0.46121739130434786</v>
          </cell>
          <cell r="AA1415">
            <v>13</v>
          </cell>
          <cell r="AB1415">
            <v>11</v>
          </cell>
          <cell r="AC1415">
            <v>12</v>
          </cell>
          <cell r="AD1415">
            <v>13</v>
          </cell>
          <cell r="AE1415">
            <v>13.1</v>
          </cell>
          <cell r="AF1415">
            <v>0.19022900763358772</v>
          </cell>
          <cell r="AG1415">
            <v>4.7328244274809105E-2</v>
          </cell>
          <cell r="AH1415">
            <v>15</v>
          </cell>
          <cell r="AI1415">
            <v>15</v>
          </cell>
          <cell r="AJ1415">
            <v>0.29279999999999995</v>
          </cell>
          <cell r="AK1415">
            <v>15</v>
          </cell>
          <cell r="AL1415">
            <v>15</v>
          </cell>
          <cell r="AM1415">
            <v>0.29279999999999995</v>
          </cell>
          <cell r="AN1415">
            <v>16.78</v>
          </cell>
          <cell r="AO1415">
            <v>18.559999999999999</v>
          </cell>
          <cell r="AP1415">
            <v>20.34</v>
          </cell>
          <cell r="AQ1415">
            <v>0</v>
          </cell>
          <cell r="AS1415">
            <v>48</v>
          </cell>
        </row>
        <row r="1416">
          <cell r="B1416" t="str">
            <v>AC</v>
          </cell>
          <cell r="C1416" t="str">
            <v>IMP</v>
          </cell>
          <cell r="D1416" t="str">
            <v>BT</v>
          </cell>
          <cell r="E1416" t="str">
            <v>P3</v>
          </cell>
          <cell r="F1416">
            <v>39924</v>
          </cell>
          <cell r="G1416">
            <v>40190</v>
          </cell>
          <cell r="H1416" t="str">
            <v>A0F30Y0</v>
          </cell>
          <cell r="I1416" t="str">
            <v>3KMHMS501</v>
          </cell>
          <cell r="K1416" t="str">
            <v>MS-501 Spare Stamp</v>
          </cell>
          <cell r="L1416">
            <v>27</v>
          </cell>
          <cell r="M1416">
            <v>7</v>
          </cell>
          <cell r="N1416">
            <v>7.28</v>
          </cell>
          <cell r="O1416">
            <v>-0.17647058823529421</v>
          </cell>
          <cell r="P1416">
            <v>6.1879999999999997</v>
          </cell>
          <cell r="Q1416">
            <v>7.42</v>
          </cell>
          <cell r="R1416">
            <v>8.01</v>
          </cell>
          <cell r="S1416">
            <v>13.7</v>
          </cell>
          <cell r="T1416">
            <v>0.46861313868613136</v>
          </cell>
          <cell r="U1416">
            <v>10.609279999999998</v>
          </cell>
          <cell r="V1416">
            <v>0.31380828859262822</v>
          </cell>
          <cell r="W1416">
            <v>6.1879999999999997</v>
          </cell>
          <cell r="X1416">
            <v>0.45167883211678833</v>
          </cell>
          <cell r="AA1416">
            <v>7</v>
          </cell>
          <cell r="AB1416">
            <v>7</v>
          </cell>
          <cell r="AC1416">
            <v>7</v>
          </cell>
          <cell r="AD1416">
            <v>8</v>
          </cell>
          <cell r="AE1416">
            <v>7.64</v>
          </cell>
          <cell r="AF1416">
            <v>0.19005235602094242</v>
          </cell>
          <cell r="AG1416">
            <v>4.7120418848167464E-2</v>
          </cell>
          <cell r="AH1416">
            <v>9</v>
          </cell>
          <cell r="AI1416">
            <v>9</v>
          </cell>
          <cell r="AJ1416">
            <v>0.31244444444444447</v>
          </cell>
          <cell r="AK1416">
            <v>9</v>
          </cell>
          <cell r="AL1416">
            <v>9</v>
          </cell>
          <cell r="AM1416">
            <v>0.31244444444444447</v>
          </cell>
          <cell r="AN1416">
            <v>9.9700000000000006</v>
          </cell>
          <cell r="AO1416">
            <v>10.94</v>
          </cell>
          <cell r="AP1416">
            <v>11.91</v>
          </cell>
          <cell r="AQ1416">
            <v>0</v>
          </cell>
          <cell r="AS1416">
            <v>27</v>
          </cell>
        </row>
        <row r="1417">
          <cell r="B1417" t="str">
            <v>AC</v>
          </cell>
          <cell r="C1417" t="str">
            <v>IMP</v>
          </cell>
          <cell r="D1417" t="str">
            <v>BT</v>
          </cell>
          <cell r="E1417" t="str">
            <v>P3</v>
          </cell>
          <cell r="F1417">
            <v>39924</v>
          </cell>
          <cell r="G1417">
            <v>40085</v>
          </cell>
          <cell r="H1417" t="str">
            <v>A0GYWY1</v>
          </cell>
          <cell r="I1417" t="str">
            <v>6KMFS521_N</v>
          </cell>
          <cell r="K1417" t="str">
            <v>FS-521 100 Sheet Stapling Finisher</v>
          </cell>
          <cell r="L1417">
            <v>7140</v>
          </cell>
          <cell r="M1417">
            <v>2356</v>
          </cell>
          <cell r="N1417">
            <v>2450.2400000000002</v>
          </cell>
          <cell r="O1417">
            <v>-0.17647058823529413</v>
          </cell>
          <cell r="P1417">
            <v>2082.7040000000002</v>
          </cell>
          <cell r="Q1417">
            <v>2497.36</v>
          </cell>
          <cell r="R1417">
            <v>2697.15</v>
          </cell>
          <cell r="S1417">
            <v>3595.4</v>
          </cell>
          <cell r="T1417">
            <v>0.31850698114257103</v>
          </cell>
          <cell r="U1417">
            <v>2784.2777599999999</v>
          </cell>
          <cell r="V1417">
            <v>0.11997285788038609</v>
          </cell>
          <cell r="W1417">
            <v>2082.7040000000002</v>
          </cell>
          <cell r="X1417">
            <v>0.57926906602881467</v>
          </cell>
          <cell r="AA1417">
            <v>2520</v>
          </cell>
          <cell r="AB1417">
            <v>2083</v>
          </cell>
          <cell r="AC1417">
            <v>2315</v>
          </cell>
          <cell r="AD1417">
            <v>2444</v>
          </cell>
          <cell r="AE1417">
            <v>2571.2399999999998</v>
          </cell>
          <cell r="AF1417">
            <v>0.19000015556696367</v>
          </cell>
          <cell r="AG1417">
            <v>4.7059006549369002E-2</v>
          </cell>
          <cell r="AH1417">
            <v>2624</v>
          </cell>
          <cell r="AI1417">
            <v>2675</v>
          </cell>
          <cell r="AJ1417">
            <v>0.22141906542056067</v>
          </cell>
          <cell r="AK1417">
            <v>2726</v>
          </cell>
          <cell r="AL1417">
            <v>2777</v>
          </cell>
          <cell r="AM1417">
            <v>0.25001656463809863</v>
          </cell>
          <cell r="AN1417">
            <v>3167.49</v>
          </cell>
          <cell r="AO1417">
            <v>3557.98</v>
          </cell>
          <cell r="AP1417">
            <v>3948.47</v>
          </cell>
          <cell r="AQ1417">
            <v>0</v>
          </cell>
          <cell r="AS1417">
            <v>7140</v>
          </cell>
        </row>
        <row r="1418">
          <cell r="B1418" t="str">
            <v>AC</v>
          </cell>
          <cell r="C1418" t="str">
            <v>IMP</v>
          </cell>
          <cell r="D1418" t="str">
            <v>BT</v>
          </cell>
          <cell r="E1418" t="str">
            <v>08</v>
          </cell>
          <cell r="F1418">
            <v>39924</v>
          </cell>
          <cell r="G1418">
            <v>40135</v>
          </cell>
          <cell r="H1418" t="str">
            <v>A0H1W11</v>
          </cell>
          <cell r="I1418" t="str">
            <v>6KMLS505_N</v>
          </cell>
          <cell r="J1418" t="str">
            <v>DNU</v>
          </cell>
          <cell r="K1418" t="str">
            <v>LS-505 Large Capacity Stacker</v>
          </cell>
          <cell r="L1418">
            <v>17325</v>
          </cell>
          <cell r="M1418">
            <v>6732</v>
          </cell>
          <cell r="N1418">
            <v>7001.2800000000007</v>
          </cell>
          <cell r="O1418">
            <v>6.5009989209516894E-2</v>
          </cell>
          <cell r="P1418">
            <v>7488.08</v>
          </cell>
          <cell r="Q1418">
            <v>7135.92</v>
          </cell>
          <cell r="R1418">
            <v>7706.79</v>
          </cell>
          <cell r="S1418">
            <v>9360.1</v>
          </cell>
          <cell r="T1418">
            <v>0.25200799136761354</v>
          </cell>
          <cell r="U1418">
            <v>8049.6860000000006</v>
          </cell>
          <cell r="V1418">
            <v>0.13024185042745764</v>
          </cell>
          <cell r="W1418">
            <v>7488.08</v>
          </cell>
          <cell r="X1418">
            <v>0.79999999999999993</v>
          </cell>
          <cell r="AA1418">
            <v>9060</v>
          </cell>
          <cell r="AB1418">
            <v>7489</v>
          </cell>
          <cell r="AC1418">
            <v>8321</v>
          </cell>
          <cell r="AD1418">
            <v>8783</v>
          </cell>
          <cell r="AE1418">
            <v>9244.5400000000009</v>
          </cell>
          <cell r="AF1418">
            <v>0.18999971875290719</v>
          </cell>
          <cell r="AG1418">
            <v>0.24265782829648636</v>
          </cell>
          <cell r="AH1418">
            <v>10277</v>
          </cell>
          <cell r="AI1418">
            <v>11309</v>
          </cell>
          <cell r="AJ1418">
            <v>0.33786541692457334</v>
          </cell>
          <cell r="AK1418">
            <v>12340.5</v>
          </cell>
          <cell r="AL1418">
            <v>13372</v>
          </cell>
          <cell r="AM1418">
            <v>0.44001794795094229</v>
          </cell>
          <cell r="AN1418">
            <v>14360.25</v>
          </cell>
          <cell r="AO1418">
            <v>15348.5</v>
          </cell>
          <cell r="AP1418">
            <v>16336.75</v>
          </cell>
          <cell r="AQ1418">
            <v>0</v>
          </cell>
          <cell r="AS1418">
            <v>17325</v>
          </cell>
        </row>
        <row r="1419">
          <cell r="B1419" t="str">
            <v>AC</v>
          </cell>
          <cell r="C1419" t="str">
            <v>IMP</v>
          </cell>
          <cell r="D1419" t="str">
            <v>BT</v>
          </cell>
          <cell r="E1419" t="str">
            <v>08</v>
          </cell>
          <cell r="F1419">
            <v>39924</v>
          </cell>
          <cell r="G1419">
            <v>40001</v>
          </cell>
          <cell r="H1419" t="str">
            <v>A0H2WY1</v>
          </cell>
          <cell r="I1419" t="str">
            <v>6KMSD506_N</v>
          </cell>
          <cell r="K1419" t="str">
            <v>SD-506 Saddle Stitch Finisher</v>
          </cell>
          <cell r="L1419">
            <v>26250</v>
          </cell>
          <cell r="M1419">
            <v>9384</v>
          </cell>
          <cell r="N1419">
            <v>9759.36</v>
          </cell>
          <cell r="O1419">
            <v>0.10078502192901634</v>
          </cell>
          <cell r="P1419">
            <v>10853.2</v>
          </cell>
          <cell r="Q1419">
            <v>9947.0400000000009</v>
          </cell>
          <cell r="R1419">
            <v>10742.8</v>
          </cell>
          <cell r="S1419">
            <v>13566.5</v>
          </cell>
          <cell r="T1419">
            <v>0.28062801754321304</v>
          </cell>
          <cell r="U1419">
            <v>10505.8976</v>
          </cell>
          <cell r="V1419">
            <v>7.1058906951463108E-2</v>
          </cell>
          <cell r="W1419">
            <v>10853.2</v>
          </cell>
          <cell r="X1419">
            <v>0.8</v>
          </cell>
          <cell r="AA1419">
            <v>13131</v>
          </cell>
          <cell r="AB1419">
            <v>10854</v>
          </cell>
          <cell r="AC1419">
            <v>12060</v>
          </cell>
          <cell r="AD1419">
            <v>12730</v>
          </cell>
          <cell r="AE1419">
            <v>13399.01</v>
          </cell>
          <cell r="AF1419">
            <v>0.18999985819847881</v>
          </cell>
          <cell r="AG1419">
            <v>0.27163574025245146</v>
          </cell>
          <cell r="AH1419">
            <v>14896</v>
          </cell>
          <cell r="AI1419">
            <v>16391</v>
          </cell>
          <cell r="AJ1419">
            <v>0.33785614056494412</v>
          </cell>
          <cell r="AK1419">
            <v>17886</v>
          </cell>
          <cell r="AL1419">
            <v>19381</v>
          </cell>
          <cell r="AM1419">
            <v>0.44000825550797168</v>
          </cell>
          <cell r="AN1419">
            <v>21098.25</v>
          </cell>
          <cell r="AO1419">
            <v>22815.5</v>
          </cell>
          <cell r="AP1419">
            <v>24532.75</v>
          </cell>
          <cell r="AQ1419">
            <v>0</v>
          </cell>
          <cell r="AS1419">
            <v>26250</v>
          </cell>
        </row>
        <row r="1420">
          <cell r="B1420" t="str">
            <v>AC</v>
          </cell>
          <cell r="C1420" t="str">
            <v>DOM</v>
          </cell>
          <cell r="D1420" t="str">
            <v>BT</v>
          </cell>
          <cell r="E1420" t="str">
            <v>08</v>
          </cell>
          <cell r="F1420">
            <v>39924</v>
          </cell>
          <cell r="G1420">
            <v>40115</v>
          </cell>
          <cell r="H1420" t="str">
            <v>A0MD0Y0</v>
          </cell>
          <cell r="I1420" t="str">
            <v>4KMA0MD0Y0_N</v>
          </cell>
          <cell r="J1420" t="str">
            <v>DNU</v>
          </cell>
          <cell r="K1420" t="str">
            <v>IC-305 EFI External Fiery</v>
          </cell>
          <cell r="L1420">
            <v>24150</v>
          </cell>
          <cell r="M1420">
            <v>9384</v>
          </cell>
          <cell r="N1420">
            <v>9665.52</v>
          </cell>
          <cell r="O1420">
            <v>0</v>
          </cell>
          <cell r="P1420">
            <v>9665.52</v>
          </cell>
          <cell r="Q1420">
            <v>9947.0400000000009</v>
          </cell>
          <cell r="R1420">
            <v>10742.8</v>
          </cell>
          <cell r="S1420">
            <v>11712.8</v>
          </cell>
          <cell r="T1420">
            <v>0.17478997336247515</v>
          </cell>
          <cell r="U1420">
            <v>10073.008</v>
          </cell>
          <cell r="V1420">
            <v>4.0453457398226964E-2</v>
          </cell>
          <cell r="W1420">
            <v>9665.52</v>
          </cell>
          <cell r="X1420">
            <v>0.82521002663752485</v>
          </cell>
          <cell r="Y1420">
            <v>0</v>
          </cell>
          <cell r="Z1420">
            <v>0</v>
          </cell>
          <cell r="AA1420">
            <v>11694</v>
          </cell>
          <cell r="AB1420">
            <v>9666</v>
          </cell>
          <cell r="AC1420">
            <v>10740</v>
          </cell>
          <cell r="AD1420">
            <v>11337</v>
          </cell>
          <cell r="AE1420">
            <v>11932.74</v>
          </cell>
          <cell r="AF1420">
            <v>0.1899999497181703</v>
          </cell>
          <cell r="AG1420">
            <v>0.1899999497181703</v>
          </cell>
          <cell r="AH1420">
            <v>13265</v>
          </cell>
          <cell r="AI1420">
            <v>14597</v>
          </cell>
          <cell r="AJ1420">
            <v>0.33784202233335614</v>
          </cell>
          <cell r="AK1420">
            <v>15928.5</v>
          </cell>
          <cell r="AL1420">
            <v>17260</v>
          </cell>
          <cell r="AM1420">
            <v>0.44000463499420622</v>
          </cell>
          <cell r="AN1420">
            <v>18982.5</v>
          </cell>
          <cell r="AO1420">
            <v>20705</v>
          </cell>
          <cell r="AP1420">
            <v>22427.5</v>
          </cell>
          <cell r="AQ1420">
            <v>0</v>
          </cell>
          <cell r="AS1420">
            <v>24150</v>
          </cell>
        </row>
        <row r="1421">
          <cell r="B1421" t="str">
            <v>AC</v>
          </cell>
          <cell r="C1421" t="str">
            <v>DOM</v>
          </cell>
          <cell r="D1421" t="str">
            <v>BT</v>
          </cell>
          <cell r="E1421" t="str">
            <v>08</v>
          </cell>
          <cell r="F1421">
            <v>39924</v>
          </cell>
          <cell r="G1421">
            <v>40478</v>
          </cell>
          <cell r="H1421" t="str">
            <v>A0MDWW0</v>
          </cell>
          <cell r="I1421" t="str">
            <v>4KMA0MD0Y0_N</v>
          </cell>
          <cell r="K1421" t="str">
            <v>IC-305 EFI External Fiery</v>
          </cell>
          <cell r="L1421">
            <v>24150</v>
          </cell>
          <cell r="M1421">
            <v>8400</v>
          </cell>
          <cell r="N1421">
            <v>8652</v>
          </cell>
          <cell r="O1421">
            <v>0</v>
          </cell>
          <cell r="P1421">
            <v>8652</v>
          </cell>
          <cell r="Q1421">
            <v>8904</v>
          </cell>
          <cell r="R1421">
            <v>9616.32</v>
          </cell>
          <cell r="S1421">
            <v>9955.8799999999992</v>
          </cell>
          <cell r="T1421">
            <v>0.13096582120314823</v>
          </cell>
          <cell r="U1421">
            <v>8652</v>
          </cell>
          <cell r="V1421">
            <v>0</v>
          </cell>
          <cell r="W1421">
            <v>8652</v>
          </cell>
          <cell r="X1421">
            <v>0.86903417879685174</v>
          </cell>
          <cell r="Y1421">
            <v>0</v>
          </cell>
          <cell r="Z1421">
            <v>0</v>
          </cell>
          <cell r="AA1421">
            <v>10468</v>
          </cell>
          <cell r="AB1421">
            <v>8652</v>
          </cell>
          <cell r="AC1421">
            <v>9614</v>
          </cell>
          <cell r="AD1421">
            <v>10148</v>
          </cell>
          <cell r="AE1421">
            <v>10681.48</v>
          </cell>
          <cell r="AF1421">
            <v>0.18999988765601766</v>
          </cell>
          <cell r="AG1421">
            <v>0.18999988765601766</v>
          </cell>
          <cell r="AH1421">
            <v>11874</v>
          </cell>
          <cell r="AI1421">
            <v>13066</v>
          </cell>
          <cell r="AJ1421">
            <v>0.33782335833460891</v>
          </cell>
          <cell r="AK1421">
            <v>14258</v>
          </cell>
          <cell r="AL1421">
            <v>15450</v>
          </cell>
          <cell r="AM1421">
            <v>0.44</v>
          </cell>
          <cell r="AN1421">
            <v>17625</v>
          </cell>
          <cell r="AO1421">
            <v>19800</v>
          </cell>
          <cell r="AP1421">
            <v>21975</v>
          </cell>
          <cell r="AQ1421">
            <v>0</v>
          </cell>
          <cell r="AS1421">
            <v>24150</v>
          </cell>
        </row>
        <row r="1422">
          <cell r="B1422" t="str">
            <v>PMP</v>
          </cell>
          <cell r="C1422" t="str">
            <v>PMP</v>
          </cell>
          <cell r="D1422" t="str">
            <v>BT</v>
          </cell>
          <cell r="E1422" t="str">
            <v>08</v>
          </cell>
          <cell r="F1422">
            <v>39924</v>
          </cell>
          <cell r="G1422">
            <v>39924</v>
          </cell>
          <cell r="H1422" t="str">
            <v>A0P0R70000</v>
          </cell>
          <cell r="I1422" t="str">
            <v>TBD</v>
          </cell>
          <cell r="K1422" t="str">
            <v>Transfer Belt Unit (570K)</v>
          </cell>
          <cell r="L1422">
            <v>950</v>
          </cell>
          <cell r="M1422">
            <v>218.15</v>
          </cell>
          <cell r="N1422">
            <v>229.0575</v>
          </cell>
          <cell r="O1422">
            <v>0.3972171052631579</v>
          </cell>
          <cell r="P1422">
            <v>380</v>
          </cell>
          <cell r="Q1422">
            <v>231.24</v>
          </cell>
          <cell r="R1422">
            <v>249.74</v>
          </cell>
          <cell r="S1422">
            <v>475</v>
          </cell>
          <cell r="T1422">
            <v>0.51777368421052627</v>
          </cell>
          <cell r="W1422">
            <v>380</v>
          </cell>
          <cell r="X1422">
            <v>0.8</v>
          </cell>
          <cell r="Y1422" t="str">
            <v>Act freight</v>
          </cell>
          <cell r="AA1422">
            <v>745</v>
          </cell>
          <cell r="AB1422">
            <v>543</v>
          </cell>
          <cell r="AC1422">
            <v>634</v>
          </cell>
          <cell r="AD1422">
            <v>697</v>
          </cell>
          <cell r="AE1422">
            <v>760</v>
          </cell>
          <cell r="AF1422">
            <v>0.5</v>
          </cell>
          <cell r="AG1422">
            <v>0.69860855263157895</v>
          </cell>
          <cell r="AH1422">
            <v>808</v>
          </cell>
          <cell r="AI1422">
            <v>855</v>
          </cell>
          <cell r="AJ1422">
            <v>0.55555555555555558</v>
          </cell>
          <cell r="AK1422">
            <v>902.5</v>
          </cell>
          <cell r="AL1422">
            <v>950</v>
          </cell>
          <cell r="AM1422">
            <v>0.6</v>
          </cell>
          <cell r="AN1422">
            <v>950</v>
          </cell>
          <cell r="AO1422">
            <v>950</v>
          </cell>
          <cell r="AP1422">
            <v>950</v>
          </cell>
          <cell r="AQ1422">
            <v>0</v>
          </cell>
          <cell r="AS1422">
            <v>950</v>
          </cell>
        </row>
        <row r="1423">
          <cell r="B1423" t="str">
            <v>PMP</v>
          </cell>
          <cell r="C1423" t="str">
            <v>PMP</v>
          </cell>
          <cell r="D1423" t="str">
            <v>BT</v>
          </cell>
          <cell r="E1423" t="str">
            <v>08</v>
          </cell>
          <cell r="F1423">
            <v>39924</v>
          </cell>
          <cell r="G1423">
            <v>39924</v>
          </cell>
          <cell r="H1423" t="str">
            <v>A0P0R70100</v>
          </cell>
          <cell r="I1423" t="str">
            <v>TBD</v>
          </cell>
          <cell r="K1423" t="str">
            <v>Toner Filter (Monochrome - 285K or Color - 120K whichever is achieved first)</v>
          </cell>
          <cell r="L1423">
            <v>45</v>
          </cell>
          <cell r="M1423">
            <v>11.92</v>
          </cell>
          <cell r="N1423">
            <v>12.516</v>
          </cell>
          <cell r="O1423">
            <v>0.42055555555555557</v>
          </cell>
          <cell r="P1423">
            <v>21.6</v>
          </cell>
          <cell r="Q1423">
            <v>12.64</v>
          </cell>
          <cell r="R1423">
            <v>13.65</v>
          </cell>
          <cell r="S1423">
            <v>27</v>
          </cell>
          <cell r="T1423">
            <v>0.53644444444444439</v>
          </cell>
          <cell r="W1423">
            <v>21.6</v>
          </cell>
          <cell r="X1423">
            <v>0.8</v>
          </cell>
          <cell r="Y1423" t="str">
            <v>Act freight</v>
          </cell>
          <cell r="AA1423">
            <v>42</v>
          </cell>
          <cell r="AB1423">
            <v>31</v>
          </cell>
          <cell r="AC1423">
            <v>36</v>
          </cell>
          <cell r="AD1423">
            <v>40</v>
          </cell>
          <cell r="AE1423">
            <v>43.2</v>
          </cell>
          <cell r="AF1423">
            <v>0.5</v>
          </cell>
          <cell r="AG1423">
            <v>0.71027777777777779</v>
          </cell>
          <cell r="AH1423">
            <v>45</v>
          </cell>
          <cell r="AI1423">
            <v>45</v>
          </cell>
          <cell r="AJ1423">
            <v>0.52</v>
          </cell>
          <cell r="AK1423">
            <v>45</v>
          </cell>
          <cell r="AL1423">
            <v>45</v>
          </cell>
          <cell r="AM1423">
            <v>0.52</v>
          </cell>
          <cell r="AN1423">
            <v>45</v>
          </cell>
          <cell r="AO1423">
            <v>45</v>
          </cell>
          <cell r="AP1423">
            <v>45</v>
          </cell>
          <cell r="AQ1423">
            <v>0</v>
          </cell>
          <cell r="AS1423">
            <v>45</v>
          </cell>
        </row>
        <row r="1424">
          <cell r="B1424" t="str">
            <v>PMP</v>
          </cell>
          <cell r="C1424" t="str">
            <v>PMP</v>
          </cell>
          <cell r="D1424" t="str">
            <v>BT</v>
          </cell>
          <cell r="E1424" t="str">
            <v>08</v>
          </cell>
          <cell r="F1424">
            <v>39924</v>
          </cell>
          <cell r="G1424">
            <v>39924</v>
          </cell>
          <cell r="H1424" t="str">
            <v>A0P0R71900</v>
          </cell>
          <cell r="I1424" t="str">
            <v>TBD</v>
          </cell>
          <cell r="K1424" t="str">
            <v>Transfer Roller Unit (570K)</v>
          </cell>
          <cell r="L1424">
            <v>91</v>
          </cell>
          <cell r="M1424">
            <v>17.649999999999999</v>
          </cell>
          <cell r="N1424">
            <v>18.532499999999999</v>
          </cell>
          <cell r="O1424">
            <v>0.48873041271242562</v>
          </cell>
          <cell r="P1424">
            <v>36.248000000000005</v>
          </cell>
          <cell r="Q1424">
            <v>18.71</v>
          </cell>
          <cell r="R1424">
            <v>20.21</v>
          </cell>
          <cell r="S1424">
            <v>45.31</v>
          </cell>
          <cell r="T1424">
            <v>0.59098433016994045</v>
          </cell>
          <cell r="W1424">
            <v>36.248000000000005</v>
          </cell>
          <cell r="X1424">
            <v>0.8</v>
          </cell>
          <cell r="Y1424" t="str">
            <v>Act freight</v>
          </cell>
          <cell r="AA1424">
            <v>71</v>
          </cell>
          <cell r="AB1424">
            <v>52</v>
          </cell>
          <cell r="AC1424">
            <v>61</v>
          </cell>
          <cell r="AD1424">
            <v>67</v>
          </cell>
          <cell r="AE1424">
            <v>72.5</v>
          </cell>
          <cell r="AF1424">
            <v>0.50002758620689647</v>
          </cell>
          <cell r="AG1424">
            <v>0.74437931034482763</v>
          </cell>
          <cell r="AH1424">
            <v>78</v>
          </cell>
          <cell r="AI1424">
            <v>82</v>
          </cell>
          <cell r="AJ1424">
            <v>0.55795121951219506</v>
          </cell>
          <cell r="AK1424">
            <v>86.5</v>
          </cell>
          <cell r="AL1424">
            <v>91</v>
          </cell>
          <cell r="AM1424">
            <v>0.60167032967032963</v>
          </cell>
          <cell r="AN1424">
            <v>91</v>
          </cell>
          <cell r="AO1424">
            <v>91</v>
          </cell>
          <cell r="AP1424">
            <v>91</v>
          </cell>
          <cell r="AQ1424">
            <v>0</v>
          </cell>
          <cell r="AS1424">
            <v>91</v>
          </cell>
        </row>
        <row r="1425">
          <cell r="B1425" t="str">
            <v>PMP</v>
          </cell>
          <cell r="C1425" t="str">
            <v>PMP</v>
          </cell>
          <cell r="D1425" t="str">
            <v>BT</v>
          </cell>
          <cell r="E1425" t="str">
            <v>08</v>
          </cell>
          <cell r="F1425">
            <v>39924</v>
          </cell>
          <cell r="G1425">
            <v>39924</v>
          </cell>
          <cell r="H1425" t="str">
            <v>A0P0R73300</v>
          </cell>
          <cell r="I1425" t="str">
            <v>TBD</v>
          </cell>
          <cell r="K1425" t="str">
            <v>Fusing Unit (570K)</v>
          </cell>
          <cell r="L1425">
            <v>795</v>
          </cell>
          <cell r="M1425">
            <v>261.10000000000002</v>
          </cell>
          <cell r="N1425">
            <v>274.15500000000003</v>
          </cell>
          <cell r="O1425">
            <v>0.30062499999999992</v>
          </cell>
          <cell r="P1425">
            <v>392</v>
          </cell>
          <cell r="Q1425">
            <v>276.77</v>
          </cell>
          <cell r="R1425">
            <v>298.91000000000003</v>
          </cell>
          <cell r="S1425">
            <v>490</v>
          </cell>
          <cell r="T1425">
            <v>0.44049999999999995</v>
          </cell>
          <cell r="W1425">
            <v>392</v>
          </cell>
          <cell r="X1425">
            <v>0.8</v>
          </cell>
          <cell r="Y1425" t="str">
            <v>Act freight</v>
          </cell>
          <cell r="AA1425">
            <v>768</v>
          </cell>
          <cell r="AB1425">
            <v>560</v>
          </cell>
          <cell r="AC1425">
            <v>654</v>
          </cell>
          <cell r="AD1425">
            <v>719</v>
          </cell>
          <cell r="AE1425">
            <v>784</v>
          </cell>
          <cell r="AF1425">
            <v>0.5</v>
          </cell>
          <cell r="AG1425">
            <v>0.65031249999999996</v>
          </cell>
          <cell r="AH1425">
            <v>787</v>
          </cell>
          <cell r="AI1425">
            <v>790</v>
          </cell>
          <cell r="AJ1425">
            <v>0.5037974683544304</v>
          </cell>
          <cell r="AK1425">
            <v>792.5</v>
          </cell>
          <cell r="AL1425">
            <v>795</v>
          </cell>
          <cell r="AM1425">
            <v>0.50691823899371069</v>
          </cell>
          <cell r="AN1425">
            <v>795</v>
          </cell>
          <cell r="AO1425">
            <v>795</v>
          </cell>
          <cell r="AP1425">
            <v>795</v>
          </cell>
          <cell r="AQ1425">
            <v>0</v>
          </cell>
          <cell r="AS1425">
            <v>795</v>
          </cell>
        </row>
        <row r="1426">
          <cell r="B1426" t="str">
            <v>AC</v>
          </cell>
          <cell r="C1426" t="str">
            <v>IMP</v>
          </cell>
          <cell r="D1426" t="str">
            <v>BT</v>
          </cell>
          <cell r="E1426" t="str">
            <v>08</v>
          </cell>
          <cell r="F1426">
            <v>39924</v>
          </cell>
          <cell r="G1426">
            <v>39750</v>
          </cell>
          <cell r="H1426" t="str">
            <v>A0P6WY1</v>
          </cell>
          <cell r="I1426" t="str">
            <v>3KMHHD509HDD</v>
          </cell>
          <cell r="J1426" t="str">
            <v>DNU</v>
          </cell>
          <cell r="K1426" t="str">
            <v>HD-509 HDD Kit 60GB</v>
          </cell>
          <cell r="L1426">
            <v>893</v>
          </cell>
          <cell r="M1426">
            <v>316</v>
          </cell>
          <cell r="N1426">
            <v>328.64</v>
          </cell>
          <cell r="O1426">
            <v>0.19261006289308183</v>
          </cell>
          <cell r="P1426">
            <v>407.04</v>
          </cell>
          <cell r="Q1426">
            <v>334.96</v>
          </cell>
          <cell r="R1426">
            <v>361.76</v>
          </cell>
          <cell r="S1426">
            <v>508.8</v>
          </cell>
          <cell r="T1426">
            <v>0.35408805031446544</v>
          </cell>
          <cell r="U1426">
            <v>394.01472000000001</v>
          </cell>
          <cell r="V1426">
            <v>0.16591948645979526</v>
          </cell>
          <cell r="W1426">
            <v>407.04</v>
          </cell>
          <cell r="X1426">
            <v>0.8</v>
          </cell>
          <cell r="AA1426">
            <v>492</v>
          </cell>
          <cell r="AB1426">
            <v>408</v>
          </cell>
          <cell r="AC1426">
            <v>453</v>
          </cell>
          <cell r="AD1426">
            <v>478</v>
          </cell>
          <cell r="AE1426">
            <v>502.52</v>
          </cell>
          <cell r="AF1426">
            <v>0.19000238796465804</v>
          </cell>
          <cell r="AG1426">
            <v>0.34601607896203135</v>
          </cell>
          <cell r="AH1426">
            <v>559</v>
          </cell>
          <cell r="AI1426">
            <v>615</v>
          </cell>
          <cell r="AJ1426">
            <v>0.3381463414634146</v>
          </cell>
          <cell r="AK1426">
            <v>671</v>
          </cell>
          <cell r="AL1426">
            <v>727</v>
          </cell>
          <cell r="AM1426">
            <v>0.44011004126547454</v>
          </cell>
          <cell r="AN1426">
            <v>768.5</v>
          </cell>
          <cell r="AO1426">
            <v>810</v>
          </cell>
          <cell r="AP1426">
            <v>851.5</v>
          </cell>
          <cell r="AQ1426">
            <v>0</v>
          </cell>
          <cell r="AS1426">
            <v>893</v>
          </cell>
        </row>
        <row r="1427">
          <cell r="B1427" t="str">
            <v>AC</v>
          </cell>
          <cell r="C1427" t="str">
            <v>IMP</v>
          </cell>
          <cell r="D1427" t="str">
            <v>BT</v>
          </cell>
          <cell r="E1427" t="str">
            <v>DLR</v>
          </cell>
          <cell r="F1427">
            <v>39924</v>
          </cell>
          <cell r="G1427">
            <v>40001</v>
          </cell>
          <cell r="H1427" t="str">
            <v>A0PHX001</v>
          </cell>
          <cell r="I1427" t="str">
            <v>6KMFS523SF_N</v>
          </cell>
          <cell r="K1427" t="str">
            <v>FS-523 Console Finisher 
(SKU including FS-523 and RU-507)</v>
          </cell>
          <cell r="L1427">
            <v>3255</v>
          </cell>
          <cell r="M1427">
            <v>1020</v>
          </cell>
          <cell r="N1427">
            <v>1060.8</v>
          </cell>
          <cell r="O1427">
            <v>0.19971030237189935</v>
          </cell>
          <cell r="P1427">
            <v>1325.52</v>
          </cell>
          <cell r="Q1427">
            <v>1081.2</v>
          </cell>
          <cell r="R1427">
            <v>1167.7</v>
          </cell>
          <cell r="S1427">
            <v>1656.9</v>
          </cell>
          <cell r="T1427">
            <v>0.35976824189751955</v>
          </cell>
          <cell r="U1427">
            <v>1283.1033600000001</v>
          </cell>
          <cell r="V1427">
            <v>0.17325444459906963</v>
          </cell>
          <cell r="W1427">
            <v>1325.52</v>
          </cell>
          <cell r="X1427">
            <v>0.79999999999999993</v>
          </cell>
          <cell r="AA1427">
            <v>1604</v>
          </cell>
          <cell r="AB1427">
            <v>1326</v>
          </cell>
          <cell r="AC1427">
            <v>1473</v>
          </cell>
          <cell r="AD1427">
            <v>1555</v>
          </cell>
          <cell r="AE1427">
            <v>1636.44</v>
          </cell>
          <cell r="AF1427">
            <v>0.1899978001026619</v>
          </cell>
          <cell r="AG1427">
            <v>0.35176358436606298</v>
          </cell>
          <cell r="AH1427">
            <v>1820</v>
          </cell>
          <cell r="AI1427">
            <v>2002</v>
          </cell>
          <cell r="AJ1427">
            <v>0.33790209790209791</v>
          </cell>
          <cell r="AK1427">
            <v>2184.5</v>
          </cell>
          <cell r="AL1427">
            <v>2367</v>
          </cell>
          <cell r="AM1427">
            <v>0.44</v>
          </cell>
          <cell r="AN1427">
            <v>2589</v>
          </cell>
          <cell r="AO1427">
            <v>2811</v>
          </cell>
          <cell r="AP1427">
            <v>3033</v>
          </cell>
          <cell r="AQ1427">
            <v>0</v>
          </cell>
          <cell r="AS1427">
            <v>3255</v>
          </cell>
        </row>
        <row r="1428">
          <cell r="B1428" t="str">
            <v>AC</v>
          </cell>
          <cell r="C1428" t="str">
            <v>IMP</v>
          </cell>
          <cell r="D1428" t="str">
            <v>BT</v>
          </cell>
          <cell r="E1428" t="str">
            <v>DLR</v>
          </cell>
          <cell r="F1428">
            <v>39924</v>
          </cell>
          <cell r="G1428">
            <v>40001</v>
          </cell>
          <cell r="H1428" t="str">
            <v>A0PNX001</v>
          </cell>
          <cell r="I1428" t="str">
            <v>3KMKA0PNX001</v>
          </cell>
          <cell r="K1428" t="str">
            <v>Fax Kit for 751/601</v>
          </cell>
          <cell r="L1428">
            <v>1208</v>
          </cell>
          <cell r="M1428">
            <v>485</v>
          </cell>
          <cell r="N1428">
            <v>504.40000000000003</v>
          </cell>
          <cell r="O1428">
            <v>0.12974465148378189</v>
          </cell>
          <cell r="P1428">
            <v>579.6</v>
          </cell>
          <cell r="Q1428">
            <v>514.1</v>
          </cell>
          <cell r="R1428">
            <v>555.23</v>
          </cell>
          <cell r="S1428">
            <v>724.5</v>
          </cell>
          <cell r="T1428">
            <v>0.30379572118702547</v>
          </cell>
          <cell r="U1428">
            <v>561.05279999999993</v>
          </cell>
          <cell r="V1428">
            <v>0.10097587963200595</v>
          </cell>
          <cell r="W1428">
            <v>579.6</v>
          </cell>
          <cell r="X1428">
            <v>0.8</v>
          </cell>
          <cell r="AA1428">
            <v>701</v>
          </cell>
          <cell r="AB1428">
            <v>580</v>
          </cell>
          <cell r="AC1428">
            <v>644</v>
          </cell>
          <cell r="AD1428">
            <v>680</v>
          </cell>
          <cell r="AE1428">
            <v>715.56</v>
          </cell>
          <cell r="AF1428">
            <v>0.19000503102465194</v>
          </cell>
          <cell r="AG1428">
            <v>0.29509754597797522</v>
          </cell>
          <cell r="AH1428">
            <v>796</v>
          </cell>
          <cell r="AI1428">
            <v>876</v>
          </cell>
          <cell r="AJ1428">
            <v>0.33835616438356164</v>
          </cell>
          <cell r="AK1428">
            <v>955.5</v>
          </cell>
          <cell r="AL1428">
            <v>1035</v>
          </cell>
          <cell r="AM1428">
            <v>0.44</v>
          </cell>
          <cell r="AN1428">
            <v>1078.25</v>
          </cell>
          <cell r="AO1428">
            <v>1121.5</v>
          </cell>
          <cell r="AP1428">
            <v>1164.75</v>
          </cell>
          <cell r="AQ1428">
            <v>0</v>
          </cell>
          <cell r="AS1428">
            <v>1208</v>
          </cell>
        </row>
        <row r="1429">
          <cell r="B1429" t="str">
            <v>MB</v>
          </cell>
          <cell r="C1429" t="str">
            <v>IMP</v>
          </cell>
          <cell r="D1429" t="str">
            <v>BT</v>
          </cell>
          <cell r="E1429" t="str">
            <v>P3</v>
          </cell>
          <cell r="F1429">
            <v>39924</v>
          </cell>
          <cell r="G1429">
            <v>40318</v>
          </cell>
          <cell r="H1429" t="str">
            <v>A0R6011</v>
          </cell>
          <cell r="I1429" t="str">
            <v>9KMBH421_N</v>
          </cell>
          <cell r="K1429" t="str">
            <v>bizhub 421</v>
          </cell>
          <cell r="L1429">
            <v>10206</v>
          </cell>
          <cell r="M1429">
            <v>2805</v>
          </cell>
          <cell r="N1429">
            <v>2917.2000000000003</v>
          </cell>
          <cell r="O1429">
            <v>-0.17647058823529407</v>
          </cell>
          <cell r="P1429">
            <v>2479.6200000000003</v>
          </cell>
          <cell r="Q1429">
            <v>2973.3</v>
          </cell>
          <cell r="R1429">
            <v>3211.16</v>
          </cell>
          <cell r="S1429">
            <v>4987.5</v>
          </cell>
          <cell r="T1429">
            <v>0.41509774436090219</v>
          </cell>
          <cell r="U1429">
            <v>3491</v>
          </cell>
          <cell r="V1429">
            <v>0.16436551131480942</v>
          </cell>
          <cell r="W1429">
            <v>2479.6200000000003</v>
          </cell>
          <cell r="X1429">
            <v>0.49716691729323315</v>
          </cell>
          <cell r="Y1429">
            <v>150</v>
          </cell>
          <cell r="Z1429">
            <v>300</v>
          </cell>
          <cell r="AA1429">
            <v>3000</v>
          </cell>
          <cell r="AB1429">
            <v>2480</v>
          </cell>
          <cell r="AC1429">
            <v>2756</v>
          </cell>
          <cell r="AD1429">
            <v>2909</v>
          </cell>
          <cell r="AE1429">
            <v>3061.26</v>
          </cell>
          <cell r="AF1429">
            <v>0.19000019599772638</v>
          </cell>
          <cell r="AG1429">
            <v>4.7059054114972243E-2</v>
          </cell>
          <cell r="AH1429">
            <v>3124</v>
          </cell>
          <cell r="AI1429">
            <v>3185</v>
          </cell>
          <cell r="AJ1429">
            <v>0.22146938775510194</v>
          </cell>
          <cell r="AK1429">
            <v>3246</v>
          </cell>
          <cell r="AL1429">
            <v>3307</v>
          </cell>
          <cell r="AM1429">
            <v>0.25019050498941631</v>
          </cell>
          <cell r="AN1429">
            <v>3771.72</v>
          </cell>
          <cell r="AO1429">
            <v>4236.4399999999996</v>
          </cell>
          <cell r="AP1429">
            <v>4701.16</v>
          </cell>
          <cell r="AQ1429">
            <v>0</v>
          </cell>
          <cell r="AR1429">
            <v>288</v>
          </cell>
          <cell r="AS1429">
            <v>10206</v>
          </cell>
        </row>
        <row r="1430">
          <cell r="B1430" t="str">
            <v>MB</v>
          </cell>
          <cell r="C1430" t="str">
            <v>IMP</v>
          </cell>
          <cell r="D1430" t="str">
            <v>BT</v>
          </cell>
          <cell r="E1430" t="str">
            <v>p3</v>
          </cell>
          <cell r="F1430">
            <v>39924</v>
          </cell>
          <cell r="G1430">
            <v>40997</v>
          </cell>
          <cell r="H1430" t="str">
            <v>A0R6012</v>
          </cell>
          <cell r="I1430" t="str">
            <v>9KMBH421GSA_N</v>
          </cell>
          <cell r="K1430" t="str">
            <v>bizhub 421 GSA</v>
          </cell>
          <cell r="L1430">
            <v>10206</v>
          </cell>
          <cell r="M1430">
            <v>2805</v>
          </cell>
          <cell r="N1430">
            <v>2917.2000000000003</v>
          </cell>
          <cell r="O1430">
            <v>-0.17647058823529407</v>
          </cell>
          <cell r="P1430">
            <v>2479.6200000000003</v>
          </cell>
          <cell r="Q1430">
            <v>2973.3</v>
          </cell>
          <cell r="R1430">
            <v>3211.16</v>
          </cell>
          <cell r="S1430">
            <v>4987.5</v>
          </cell>
          <cell r="T1430">
            <v>0.41509774436090219</v>
          </cell>
          <cell r="U1430">
            <v>3491</v>
          </cell>
          <cell r="V1430">
            <v>0.16436551131480942</v>
          </cell>
          <cell r="W1430">
            <v>2479.6200000000003</v>
          </cell>
          <cell r="X1430">
            <v>0.49716691729323315</v>
          </cell>
          <cell r="Y1430">
            <v>150</v>
          </cell>
          <cell r="Z1430">
            <v>300</v>
          </cell>
          <cell r="AA1430">
            <v>3000</v>
          </cell>
          <cell r="AB1430">
            <v>2480</v>
          </cell>
          <cell r="AC1430">
            <v>2756</v>
          </cell>
          <cell r="AD1430">
            <v>2909</v>
          </cell>
          <cell r="AE1430">
            <v>3061.26</v>
          </cell>
          <cell r="AF1430">
            <v>0.19000019599772638</v>
          </cell>
          <cell r="AG1430">
            <v>4.7059054114972243E-2</v>
          </cell>
          <cell r="AH1430">
            <v>3124</v>
          </cell>
          <cell r="AI1430">
            <v>3185</v>
          </cell>
          <cell r="AJ1430">
            <v>0.22146938775510194</v>
          </cell>
          <cell r="AK1430">
            <v>3246</v>
          </cell>
          <cell r="AL1430">
            <v>3307</v>
          </cell>
          <cell r="AM1430">
            <v>0.25019050498941631</v>
          </cell>
          <cell r="AN1430">
            <v>3771.72</v>
          </cell>
          <cell r="AO1430">
            <v>4236.4399999999996</v>
          </cell>
          <cell r="AP1430">
            <v>4701.16</v>
          </cell>
          <cell r="AQ1430">
            <v>0</v>
          </cell>
          <cell r="AR1430">
            <v>288</v>
          </cell>
          <cell r="AS1430">
            <v>10206</v>
          </cell>
        </row>
        <row r="1431">
          <cell r="B1431" t="str">
            <v>MB</v>
          </cell>
          <cell r="C1431" t="str">
            <v>IMP</v>
          </cell>
          <cell r="D1431" t="str">
            <v>BT</v>
          </cell>
          <cell r="E1431" t="str">
            <v>P3</v>
          </cell>
          <cell r="F1431">
            <v>39924</v>
          </cell>
          <cell r="G1431">
            <v>40318</v>
          </cell>
          <cell r="H1431" t="str">
            <v>A0R7011</v>
          </cell>
          <cell r="I1431" t="str">
            <v>9KMBH361_N</v>
          </cell>
          <cell r="K1431" t="str">
            <v>bizhub 361</v>
          </cell>
          <cell r="L1431">
            <v>9660</v>
          </cell>
          <cell r="M1431">
            <v>2652</v>
          </cell>
          <cell r="N1431">
            <v>2758.08</v>
          </cell>
          <cell r="O1431">
            <v>-0.17647058823529413</v>
          </cell>
          <cell r="P1431">
            <v>2344.3679999999999</v>
          </cell>
          <cell r="Q1431">
            <v>2811.12</v>
          </cell>
          <cell r="R1431">
            <v>3036.01</v>
          </cell>
          <cell r="S1431">
            <v>4446.8</v>
          </cell>
          <cell r="T1431">
            <v>0.37976072681478823</v>
          </cell>
          <cell r="U1431">
            <v>3113</v>
          </cell>
          <cell r="V1431">
            <v>0.11401220687439771</v>
          </cell>
          <cell r="W1431">
            <v>2344.3679999999999</v>
          </cell>
          <cell r="X1431">
            <v>0.52720338220743002</v>
          </cell>
          <cell r="Y1431">
            <v>150</v>
          </cell>
          <cell r="Z1431">
            <v>300</v>
          </cell>
          <cell r="AA1431">
            <v>2836</v>
          </cell>
          <cell r="AB1431">
            <v>2345</v>
          </cell>
          <cell r="AC1431">
            <v>2605</v>
          </cell>
          <cell r="AD1431">
            <v>2750</v>
          </cell>
          <cell r="AE1431">
            <v>2894.28</v>
          </cell>
          <cell r="AF1431">
            <v>0.18999958538911241</v>
          </cell>
          <cell r="AG1431">
            <v>4.7058335751896933E-2</v>
          </cell>
          <cell r="AH1431">
            <v>2953</v>
          </cell>
          <cell r="AI1431">
            <v>3011</v>
          </cell>
          <cell r="AJ1431">
            <v>0.22139887080704088</v>
          </cell>
          <cell r="AK1431">
            <v>3068.5</v>
          </cell>
          <cell r="AL1431">
            <v>3126</v>
          </cell>
          <cell r="AM1431">
            <v>0.250042226487524</v>
          </cell>
          <cell r="AN1431">
            <v>3565.53</v>
          </cell>
          <cell r="AO1431">
            <v>4005.06</v>
          </cell>
          <cell r="AP1431">
            <v>4444.59</v>
          </cell>
          <cell r="AQ1431">
            <v>0</v>
          </cell>
          <cell r="AR1431">
            <v>288</v>
          </cell>
          <cell r="AS1431">
            <v>9660</v>
          </cell>
        </row>
        <row r="1432">
          <cell r="B1432" t="str">
            <v>MB</v>
          </cell>
          <cell r="C1432" t="str">
            <v>IMP</v>
          </cell>
          <cell r="D1432" t="str">
            <v>BT</v>
          </cell>
          <cell r="E1432" t="str">
            <v>08</v>
          </cell>
          <cell r="F1432">
            <v>39924</v>
          </cell>
          <cell r="G1432">
            <v>40001</v>
          </cell>
          <cell r="H1432" t="str">
            <v>A0R7012</v>
          </cell>
          <cell r="I1432" t="str">
            <v>9KMBH361GSA_N</v>
          </cell>
          <cell r="K1432" t="str">
            <v>bizhub 361 GSA</v>
          </cell>
          <cell r="L1432">
            <v>9660</v>
          </cell>
          <cell r="M1432">
            <v>2652</v>
          </cell>
          <cell r="N1432">
            <v>2758.08</v>
          </cell>
          <cell r="O1432">
            <v>0.11394389544969746</v>
          </cell>
          <cell r="P1432">
            <v>3112.76</v>
          </cell>
          <cell r="Q1432">
            <v>2811.12</v>
          </cell>
          <cell r="R1432">
            <v>3036.01</v>
          </cell>
          <cell r="S1432">
            <v>4446.8</v>
          </cell>
          <cell r="T1432">
            <v>0.37976072681478823</v>
          </cell>
          <cell r="U1432">
            <v>3113</v>
          </cell>
          <cell r="V1432">
            <v>0.11401220687439771</v>
          </cell>
          <cell r="W1432">
            <v>3112.76</v>
          </cell>
          <cell r="X1432">
            <v>0.70000000000000007</v>
          </cell>
          <cell r="Y1432">
            <v>150</v>
          </cell>
          <cell r="Z1432">
            <v>300</v>
          </cell>
          <cell r="AA1432">
            <v>4122</v>
          </cell>
          <cell r="AB1432">
            <v>3113</v>
          </cell>
          <cell r="AC1432">
            <v>3797</v>
          </cell>
          <cell r="AD1432">
            <v>4054</v>
          </cell>
          <cell r="AE1432">
            <v>4206.43</v>
          </cell>
          <cell r="AF1432">
            <v>0.2599995720836909</v>
          </cell>
          <cell r="AG1432">
            <v>0.3443181034749182</v>
          </cell>
          <cell r="AH1432">
            <v>4385</v>
          </cell>
          <cell r="AI1432">
            <v>4864</v>
          </cell>
          <cell r="AJ1432">
            <v>0.36004111842105258</v>
          </cell>
          <cell r="AK1432">
            <v>5366.83</v>
          </cell>
          <cell r="AL1432">
            <v>6056</v>
          </cell>
          <cell r="AM1432">
            <v>0.48600396301188897</v>
          </cell>
          <cell r="AN1432">
            <v>6957</v>
          </cell>
          <cell r="AO1432">
            <v>7858</v>
          </cell>
          <cell r="AP1432">
            <v>8759</v>
          </cell>
          <cell r="AQ1432">
            <v>0</v>
          </cell>
          <cell r="AR1432">
            <v>288</v>
          </cell>
          <cell r="AS1432">
            <v>9660</v>
          </cell>
        </row>
        <row r="1433">
          <cell r="B1433" t="str">
            <v>SPC</v>
          </cell>
          <cell r="C1433" t="str">
            <v>IMP</v>
          </cell>
          <cell r="D1433" t="str">
            <v>BT</v>
          </cell>
          <cell r="E1433" t="str">
            <v>08</v>
          </cell>
          <cell r="F1433">
            <v>40038</v>
          </cell>
          <cell r="G1433">
            <v>40038</v>
          </cell>
          <cell r="H1433" t="str">
            <v>A0TH030</v>
          </cell>
          <cell r="I1433" t="str">
            <v>STKMA0TH030</v>
          </cell>
          <cell r="K1433" t="str">
            <v>TN-011 Toner 1200/1051</v>
          </cell>
          <cell r="L1433">
            <v>111</v>
          </cell>
          <cell r="M1433">
            <v>44</v>
          </cell>
          <cell r="N1433">
            <v>45.760000000000005</v>
          </cell>
          <cell r="O1433">
            <v>0.26250000000000001</v>
          </cell>
          <cell r="P1433">
            <v>62.047457627118654</v>
          </cell>
          <cell r="Q1433">
            <v>46.64</v>
          </cell>
          <cell r="R1433">
            <v>50.37</v>
          </cell>
          <cell r="S1433">
            <v>77.559322033898312</v>
          </cell>
          <cell r="T1433">
            <v>0.41</v>
          </cell>
          <cell r="W1433">
            <v>62.047457627118654</v>
          </cell>
          <cell r="X1433">
            <v>0.8</v>
          </cell>
          <cell r="AA1433">
            <v>107</v>
          </cell>
          <cell r="AB1433">
            <v>73</v>
          </cell>
          <cell r="AC1433">
            <v>78</v>
          </cell>
          <cell r="AD1433">
            <v>94</v>
          </cell>
          <cell r="AE1433">
            <v>108.86</v>
          </cell>
          <cell r="AF1433">
            <v>0.43002519174059661</v>
          </cell>
          <cell r="AG1433">
            <v>0.57964357890869</v>
          </cell>
          <cell r="AH1433">
            <v>110</v>
          </cell>
          <cell r="AI1433">
            <v>110</v>
          </cell>
          <cell r="AJ1433">
            <v>0.43593220338983041</v>
          </cell>
          <cell r="AK1433">
            <v>110.5</v>
          </cell>
          <cell r="AL1433">
            <v>111</v>
          </cell>
          <cell r="AM1433">
            <v>0.44101389525118329</v>
          </cell>
          <cell r="AN1433">
            <v>111</v>
          </cell>
          <cell r="AO1433">
            <v>111</v>
          </cell>
          <cell r="AP1433">
            <v>111</v>
          </cell>
          <cell r="AQ1433">
            <v>0</v>
          </cell>
          <cell r="AS1433">
            <v>111</v>
          </cell>
        </row>
        <row r="1434">
          <cell r="B1434" t="str">
            <v>SPC</v>
          </cell>
          <cell r="C1434" t="str">
            <v>IMP</v>
          </cell>
          <cell r="D1434" t="str">
            <v>BT</v>
          </cell>
          <cell r="E1434" t="str">
            <v>08</v>
          </cell>
          <cell r="F1434">
            <v>40038</v>
          </cell>
          <cell r="G1434">
            <v>41115</v>
          </cell>
          <cell r="H1434" t="str">
            <v>A0TH500-2times</v>
          </cell>
          <cell r="I1434" t="e">
            <v>#N/A</v>
          </cell>
          <cell r="K1434" t="str">
            <v>DV-011 Developer 1200/1051</v>
          </cell>
          <cell r="L1434">
            <v>360</v>
          </cell>
          <cell r="M1434">
            <v>78</v>
          </cell>
          <cell r="N1434">
            <v>81.12</v>
          </cell>
          <cell r="O1434">
            <v>0.24999999999999994</v>
          </cell>
          <cell r="P1434">
            <v>108.16</v>
          </cell>
          <cell r="Q1434">
            <v>82.68</v>
          </cell>
          <cell r="R1434">
            <v>89.29</v>
          </cell>
          <cell r="S1434">
            <v>135.19999999999999</v>
          </cell>
          <cell r="T1434">
            <v>0.39999999999999991</v>
          </cell>
          <cell r="W1434">
            <v>108.16</v>
          </cell>
          <cell r="X1434">
            <v>0.8</v>
          </cell>
          <cell r="AA1434">
            <v>186</v>
          </cell>
          <cell r="AB1434">
            <v>128</v>
          </cell>
          <cell r="AC1434">
            <v>136</v>
          </cell>
          <cell r="AD1434">
            <v>163</v>
          </cell>
          <cell r="AE1434">
            <v>189.75</v>
          </cell>
          <cell r="AF1434">
            <v>0.42998682476943351</v>
          </cell>
          <cell r="AG1434">
            <v>0.5724901185770751</v>
          </cell>
          <cell r="AH1434">
            <v>233</v>
          </cell>
          <cell r="AI1434">
            <v>275</v>
          </cell>
          <cell r="AJ1434">
            <v>0.60669090909090906</v>
          </cell>
          <cell r="AK1434">
            <v>317.5</v>
          </cell>
          <cell r="AL1434">
            <v>360</v>
          </cell>
          <cell r="AM1434">
            <v>0.6995555555555556</v>
          </cell>
          <cell r="AN1434">
            <v>360</v>
          </cell>
          <cell r="AO1434">
            <v>360</v>
          </cell>
          <cell r="AP1434">
            <v>360</v>
          </cell>
          <cell r="AQ1434">
            <v>0</v>
          </cell>
          <cell r="AS1434">
            <v>360</v>
          </cell>
        </row>
        <row r="1435">
          <cell r="B1435" t="str">
            <v>SPC</v>
          </cell>
          <cell r="C1435" t="str">
            <v>IMP</v>
          </cell>
          <cell r="D1435" t="str">
            <v>BT</v>
          </cell>
          <cell r="E1435" t="str">
            <v>08</v>
          </cell>
          <cell r="F1435">
            <v>40038</v>
          </cell>
          <cell r="G1435">
            <v>40038</v>
          </cell>
          <cell r="H1435" t="str">
            <v>A0THP10</v>
          </cell>
          <cell r="I1435" t="e">
            <v>#N/A</v>
          </cell>
          <cell r="K1435" t="str">
            <v>DR-011 Drum 1200/1051</v>
          </cell>
          <cell r="L1435">
            <v>341</v>
          </cell>
          <cell r="M1435">
            <v>105</v>
          </cell>
          <cell r="N1435">
            <v>109.2</v>
          </cell>
          <cell r="O1435">
            <v>0.24999999999999994</v>
          </cell>
          <cell r="P1435">
            <v>145.6</v>
          </cell>
          <cell r="Q1435">
            <v>111.3</v>
          </cell>
          <cell r="R1435">
            <v>120.2</v>
          </cell>
          <cell r="S1435">
            <v>182</v>
          </cell>
          <cell r="T1435">
            <v>0.39999999999999997</v>
          </cell>
          <cell r="W1435">
            <v>145.6</v>
          </cell>
          <cell r="X1435">
            <v>0.79999999999999993</v>
          </cell>
          <cell r="AA1435">
            <v>250</v>
          </cell>
          <cell r="AB1435">
            <v>172</v>
          </cell>
          <cell r="AC1435">
            <v>182</v>
          </cell>
          <cell r="AD1435">
            <v>219</v>
          </cell>
          <cell r="AE1435">
            <v>255.44</v>
          </cell>
          <cell r="AF1435">
            <v>0.43000313185092393</v>
          </cell>
          <cell r="AG1435">
            <v>0.57250234888819296</v>
          </cell>
          <cell r="AH1435">
            <v>278</v>
          </cell>
          <cell r="AI1435">
            <v>299</v>
          </cell>
          <cell r="AJ1435">
            <v>0.5130434782608696</v>
          </cell>
          <cell r="AK1435">
            <v>320</v>
          </cell>
          <cell r="AL1435">
            <v>341</v>
          </cell>
          <cell r="AM1435">
            <v>0.57302052785923752</v>
          </cell>
          <cell r="AN1435">
            <v>341</v>
          </cell>
          <cell r="AO1435">
            <v>341</v>
          </cell>
          <cell r="AP1435">
            <v>341</v>
          </cell>
          <cell r="AQ1435">
            <v>0</v>
          </cell>
          <cell r="AS1435">
            <v>341</v>
          </cell>
        </row>
        <row r="1436">
          <cell r="B1436" t="str">
            <v>SP</v>
          </cell>
          <cell r="C1436" t="str">
            <v>IMP</v>
          </cell>
          <cell r="D1436" t="str">
            <v>BT</v>
          </cell>
          <cell r="E1436" t="str">
            <v>08</v>
          </cell>
          <cell r="F1436">
            <v>39924</v>
          </cell>
          <cell r="G1436">
            <v>39924</v>
          </cell>
          <cell r="H1436" t="str">
            <v>A0TK03D</v>
          </cell>
          <cell r="I1436" t="str">
            <v>A0TK03D_</v>
          </cell>
          <cell r="K1436" t="str">
            <v>DV-612K Developing Unit (Yield: 1,140K)</v>
          </cell>
          <cell r="L1436">
            <v>364</v>
          </cell>
          <cell r="M1436">
            <v>70</v>
          </cell>
          <cell r="N1436">
            <v>72.8</v>
          </cell>
          <cell r="O1436">
            <v>0.43125000000000002</v>
          </cell>
          <cell r="P1436">
            <v>128</v>
          </cell>
          <cell r="Q1436">
            <v>74.2</v>
          </cell>
          <cell r="R1436">
            <v>80.14</v>
          </cell>
          <cell r="S1436">
            <v>160</v>
          </cell>
          <cell r="T1436">
            <v>0.54500000000000004</v>
          </cell>
          <cell r="W1436">
            <v>128</v>
          </cell>
          <cell r="X1436">
            <v>0.8</v>
          </cell>
          <cell r="Y1436" t="str">
            <v>Act freight</v>
          </cell>
          <cell r="AA1436">
            <v>251</v>
          </cell>
          <cell r="AB1436">
            <v>183</v>
          </cell>
          <cell r="AC1436">
            <v>214</v>
          </cell>
          <cell r="AD1436">
            <v>235</v>
          </cell>
          <cell r="AE1436">
            <v>256</v>
          </cell>
          <cell r="AF1436">
            <v>0.5</v>
          </cell>
          <cell r="AG1436">
            <v>0.71562499999999996</v>
          </cell>
          <cell r="AH1436">
            <v>283</v>
          </cell>
          <cell r="AI1436">
            <v>310</v>
          </cell>
          <cell r="AJ1436">
            <v>0.58709677419354833</v>
          </cell>
          <cell r="AK1436">
            <v>337</v>
          </cell>
          <cell r="AL1436">
            <v>364</v>
          </cell>
          <cell r="AM1436">
            <v>0.64835164835164838</v>
          </cell>
          <cell r="AN1436">
            <v>364</v>
          </cell>
          <cell r="AO1436">
            <v>364</v>
          </cell>
          <cell r="AP1436">
            <v>364</v>
          </cell>
          <cell r="AQ1436">
            <v>0</v>
          </cell>
          <cell r="AS1436">
            <v>364</v>
          </cell>
        </row>
        <row r="1437">
          <cell r="B1437" t="str">
            <v>SP</v>
          </cell>
          <cell r="C1437" t="str">
            <v>IMP</v>
          </cell>
          <cell r="D1437" t="str">
            <v>BT</v>
          </cell>
          <cell r="E1437" t="str">
            <v>08</v>
          </cell>
          <cell r="F1437">
            <v>39924</v>
          </cell>
          <cell r="G1437">
            <v>39924</v>
          </cell>
          <cell r="H1437" t="str">
            <v>A0TK08D</v>
          </cell>
          <cell r="I1437" t="str">
            <v>A0TK08D_</v>
          </cell>
          <cell r="K1437" t="str">
            <v>IU-612Y Imaging Unit (Yield: 120K)</v>
          </cell>
          <cell r="L1437">
            <v>953</v>
          </cell>
          <cell r="M1437">
            <v>195</v>
          </cell>
          <cell r="N1437">
            <v>202.8</v>
          </cell>
          <cell r="O1437">
            <v>0.42386363636363633</v>
          </cell>
          <cell r="P1437">
            <v>352</v>
          </cell>
          <cell r="Q1437">
            <v>206.7</v>
          </cell>
          <cell r="R1437">
            <v>223.24</v>
          </cell>
          <cell r="S1437">
            <v>440</v>
          </cell>
          <cell r="T1437">
            <v>0.53909090909090907</v>
          </cell>
          <cell r="W1437">
            <v>352</v>
          </cell>
          <cell r="X1437">
            <v>0.8</v>
          </cell>
          <cell r="Y1437" t="str">
            <v>Act freight</v>
          </cell>
          <cell r="AA1437">
            <v>690</v>
          </cell>
          <cell r="AB1437">
            <v>503</v>
          </cell>
          <cell r="AC1437">
            <v>587</v>
          </cell>
          <cell r="AD1437">
            <v>646</v>
          </cell>
          <cell r="AE1437">
            <v>704</v>
          </cell>
          <cell r="AF1437">
            <v>0.5</v>
          </cell>
          <cell r="AG1437">
            <v>0.71193181818181817</v>
          </cell>
          <cell r="AH1437">
            <v>767</v>
          </cell>
          <cell r="AI1437">
            <v>829</v>
          </cell>
          <cell r="AJ1437">
            <v>0.57539203860072374</v>
          </cell>
          <cell r="AK1437">
            <v>891</v>
          </cell>
          <cell r="AL1437">
            <v>953</v>
          </cell>
          <cell r="AM1437">
            <v>0.63064008394543547</v>
          </cell>
          <cell r="AN1437">
            <v>953</v>
          </cell>
          <cell r="AO1437">
            <v>953</v>
          </cell>
          <cell r="AP1437">
            <v>953</v>
          </cell>
          <cell r="AQ1437">
            <v>0</v>
          </cell>
          <cell r="AS1437">
            <v>953</v>
          </cell>
        </row>
        <row r="1438">
          <cell r="B1438" t="str">
            <v>SP</v>
          </cell>
          <cell r="C1438" t="str">
            <v>IMP</v>
          </cell>
          <cell r="D1438" t="str">
            <v>BT</v>
          </cell>
          <cell r="E1438" t="str">
            <v>08</v>
          </cell>
          <cell r="F1438">
            <v>39924</v>
          </cell>
          <cell r="G1438">
            <v>39924</v>
          </cell>
          <cell r="H1438" t="str">
            <v>A0TK0ED</v>
          </cell>
          <cell r="I1438" t="str">
            <v>A0TK0ED_</v>
          </cell>
          <cell r="K1438" t="str">
            <v>IU-612M Imaging Unit (Yield: 120K)</v>
          </cell>
          <cell r="L1438">
            <v>953</v>
          </cell>
          <cell r="M1438">
            <v>195</v>
          </cell>
          <cell r="N1438">
            <v>202.8</v>
          </cell>
          <cell r="O1438">
            <v>0.42386363636363633</v>
          </cell>
          <cell r="P1438">
            <v>352</v>
          </cell>
          <cell r="Q1438">
            <v>206.7</v>
          </cell>
          <cell r="R1438">
            <v>223.24</v>
          </cell>
          <cell r="S1438">
            <v>440</v>
          </cell>
          <cell r="T1438">
            <v>0.53909090909090907</v>
          </cell>
          <cell r="W1438">
            <v>352</v>
          </cell>
          <cell r="X1438">
            <v>0.8</v>
          </cell>
          <cell r="Y1438" t="str">
            <v>Act freight</v>
          </cell>
          <cell r="AA1438">
            <v>690</v>
          </cell>
          <cell r="AB1438">
            <v>503</v>
          </cell>
          <cell r="AC1438">
            <v>587</v>
          </cell>
          <cell r="AD1438">
            <v>646</v>
          </cell>
          <cell r="AE1438">
            <v>704</v>
          </cell>
          <cell r="AF1438">
            <v>0.5</v>
          </cell>
          <cell r="AG1438">
            <v>0.71193181818181817</v>
          </cell>
          <cell r="AH1438">
            <v>767</v>
          </cell>
          <cell r="AI1438">
            <v>829</v>
          </cell>
          <cell r="AJ1438">
            <v>0.57539203860072374</v>
          </cell>
          <cell r="AK1438">
            <v>891</v>
          </cell>
          <cell r="AL1438">
            <v>953</v>
          </cell>
          <cell r="AM1438">
            <v>0.63064008394543547</v>
          </cell>
          <cell r="AN1438">
            <v>953</v>
          </cell>
          <cell r="AO1438">
            <v>953</v>
          </cell>
          <cell r="AP1438">
            <v>953</v>
          </cell>
          <cell r="AQ1438">
            <v>0</v>
          </cell>
          <cell r="AS1438">
            <v>953</v>
          </cell>
        </row>
        <row r="1439">
          <cell r="B1439" t="str">
            <v>SP</v>
          </cell>
          <cell r="C1439" t="str">
            <v>IMP</v>
          </cell>
          <cell r="D1439" t="str">
            <v>BT</v>
          </cell>
          <cell r="E1439" t="str">
            <v>08</v>
          </cell>
          <cell r="F1439">
            <v>39924</v>
          </cell>
          <cell r="G1439">
            <v>39924</v>
          </cell>
          <cell r="H1439" t="str">
            <v>A0TK0KD</v>
          </cell>
          <cell r="I1439" t="str">
            <v>A0TK0KD_</v>
          </cell>
          <cell r="K1439" t="str">
            <v>IU-612C Imaging Unit (Yield: 120K)</v>
          </cell>
          <cell r="L1439">
            <v>953</v>
          </cell>
          <cell r="M1439">
            <v>195</v>
          </cell>
          <cell r="N1439">
            <v>202.8</v>
          </cell>
          <cell r="O1439">
            <v>0.42386363636363633</v>
          </cell>
          <cell r="P1439">
            <v>352</v>
          </cell>
          <cell r="Q1439">
            <v>206.7</v>
          </cell>
          <cell r="R1439">
            <v>223.24</v>
          </cell>
          <cell r="S1439">
            <v>440</v>
          </cell>
          <cell r="T1439">
            <v>0.53909090909090907</v>
          </cell>
          <cell r="W1439">
            <v>352</v>
          </cell>
          <cell r="X1439">
            <v>0.8</v>
          </cell>
          <cell r="Y1439" t="str">
            <v>Act freight</v>
          </cell>
          <cell r="AA1439">
            <v>690</v>
          </cell>
          <cell r="AB1439">
            <v>503</v>
          </cell>
          <cell r="AC1439">
            <v>587</v>
          </cell>
          <cell r="AD1439">
            <v>646</v>
          </cell>
          <cell r="AE1439">
            <v>704</v>
          </cell>
          <cell r="AF1439">
            <v>0.5</v>
          </cell>
          <cell r="AG1439">
            <v>0.71193181818181817</v>
          </cell>
          <cell r="AH1439">
            <v>767</v>
          </cell>
          <cell r="AI1439">
            <v>829</v>
          </cell>
          <cell r="AJ1439">
            <v>0.57539203860072374</v>
          </cell>
          <cell r="AK1439">
            <v>891</v>
          </cell>
          <cell r="AL1439">
            <v>953</v>
          </cell>
          <cell r="AM1439">
            <v>0.63064008394543547</v>
          </cell>
          <cell r="AN1439">
            <v>953</v>
          </cell>
          <cell r="AO1439">
            <v>953</v>
          </cell>
          <cell r="AP1439">
            <v>953</v>
          </cell>
          <cell r="AQ1439">
            <v>0</v>
          </cell>
          <cell r="AS1439">
            <v>953</v>
          </cell>
        </row>
        <row r="1440">
          <cell r="B1440" t="str">
            <v>SP</v>
          </cell>
          <cell r="C1440" t="str">
            <v>IMP</v>
          </cell>
          <cell r="D1440" t="str">
            <v>BT</v>
          </cell>
          <cell r="E1440" t="str">
            <v>08</v>
          </cell>
          <cell r="F1440">
            <v>39924</v>
          </cell>
          <cell r="G1440">
            <v>39924</v>
          </cell>
          <cell r="H1440" t="str">
            <v>A0TK0RD</v>
          </cell>
          <cell r="I1440" t="str">
            <v>A0TK0RD_</v>
          </cell>
          <cell r="K1440" t="str">
            <v>DR-612K Drum Unit (Yield: 285K)</v>
          </cell>
          <cell r="L1440">
            <v>364</v>
          </cell>
          <cell r="M1440">
            <v>100</v>
          </cell>
          <cell r="N1440">
            <v>104</v>
          </cell>
          <cell r="O1440">
            <v>0.1875</v>
          </cell>
          <cell r="P1440">
            <v>128</v>
          </cell>
          <cell r="Q1440">
            <v>106</v>
          </cell>
          <cell r="R1440">
            <v>114.48</v>
          </cell>
          <cell r="S1440">
            <v>160</v>
          </cell>
          <cell r="T1440">
            <v>0.35</v>
          </cell>
          <cell r="W1440">
            <v>128</v>
          </cell>
          <cell r="X1440">
            <v>0.8</v>
          </cell>
          <cell r="Y1440" t="str">
            <v>Act freight</v>
          </cell>
          <cell r="AA1440">
            <v>251</v>
          </cell>
          <cell r="AB1440">
            <v>183</v>
          </cell>
          <cell r="AC1440">
            <v>214</v>
          </cell>
          <cell r="AD1440">
            <v>235</v>
          </cell>
          <cell r="AE1440">
            <v>256</v>
          </cell>
          <cell r="AF1440">
            <v>0.5</v>
          </cell>
          <cell r="AG1440">
            <v>0.59375</v>
          </cell>
          <cell r="AH1440">
            <v>283</v>
          </cell>
          <cell r="AI1440">
            <v>310</v>
          </cell>
          <cell r="AJ1440">
            <v>0.58709677419354833</v>
          </cell>
          <cell r="AK1440">
            <v>337</v>
          </cell>
          <cell r="AL1440">
            <v>364</v>
          </cell>
          <cell r="AM1440">
            <v>0.64835164835164838</v>
          </cell>
          <cell r="AN1440">
            <v>364</v>
          </cell>
          <cell r="AO1440">
            <v>364</v>
          </cell>
          <cell r="AP1440">
            <v>364</v>
          </cell>
          <cell r="AQ1440">
            <v>0</v>
          </cell>
          <cell r="AS1440">
            <v>364</v>
          </cell>
        </row>
        <row r="1441">
          <cell r="B1441" t="str">
            <v>SPC</v>
          </cell>
          <cell r="C1441" t="str">
            <v>IMP</v>
          </cell>
          <cell r="D1441" t="str">
            <v>BT</v>
          </cell>
          <cell r="E1441" t="str">
            <v>08</v>
          </cell>
          <cell r="F1441">
            <v>39924</v>
          </cell>
          <cell r="G1441">
            <v>39924</v>
          </cell>
          <cell r="H1441" t="str">
            <v>A0TM130</v>
          </cell>
          <cell r="I1441" t="str">
            <v>STKMA0TM130</v>
          </cell>
          <cell r="K1441" t="str">
            <v>TN-613K Toner Black (Yield: 45K)</v>
          </cell>
          <cell r="L1441">
            <v>80</v>
          </cell>
          <cell r="M1441">
            <v>23</v>
          </cell>
          <cell r="N1441">
            <v>23.92</v>
          </cell>
          <cell r="O1441">
            <v>0.14571428571428566</v>
          </cell>
          <cell r="P1441">
            <v>28</v>
          </cell>
          <cell r="Q1441">
            <v>24.38</v>
          </cell>
          <cell r="R1441">
            <v>26.33</v>
          </cell>
          <cell r="S1441">
            <v>35</v>
          </cell>
          <cell r="T1441">
            <v>0.3165714285714285</v>
          </cell>
          <cell r="W1441">
            <v>28</v>
          </cell>
          <cell r="X1441">
            <v>0.8</v>
          </cell>
          <cell r="Y1441" t="str">
            <v>Act freight</v>
          </cell>
          <cell r="AA1441">
            <v>48</v>
          </cell>
          <cell r="AB1441">
            <v>33</v>
          </cell>
          <cell r="AC1441">
            <v>35</v>
          </cell>
          <cell r="AD1441">
            <v>43</v>
          </cell>
          <cell r="AE1441">
            <v>49.12</v>
          </cell>
          <cell r="AF1441">
            <v>0.42996742671009769</v>
          </cell>
          <cell r="AG1441">
            <v>0.51302931596091195</v>
          </cell>
          <cell r="AH1441">
            <v>58</v>
          </cell>
          <cell r="AI1441">
            <v>65</v>
          </cell>
          <cell r="AJ1441">
            <v>0.56923076923076921</v>
          </cell>
          <cell r="AK1441">
            <v>72.5</v>
          </cell>
          <cell r="AL1441">
            <v>80</v>
          </cell>
          <cell r="AM1441">
            <v>0.65</v>
          </cell>
          <cell r="AN1441">
            <v>80</v>
          </cell>
          <cell r="AO1441">
            <v>80</v>
          </cell>
          <cell r="AP1441">
            <v>80</v>
          </cell>
          <cell r="AQ1441">
            <v>0</v>
          </cell>
          <cell r="AS1441">
            <v>80</v>
          </cell>
        </row>
        <row r="1442">
          <cell r="H1442" t="str">
            <v>A0TM131</v>
          </cell>
        </row>
        <row r="1443">
          <cell r="H1443" t="str">
            <v>A0TM132</v>
          </cell>
        </row>
        <row r="1444">
          <cell r="H1444" t="str">
            <v>A0TM230</v>
          </cell>
        </row>
        <row r="1445">
          <cell r="H1445" t="str">
            <v>A0TM330</v>
          </cell>
        </row>
        <row r="1446">
          <cell r="H1446" t="str">
            <v>A0TM430</v>
          </cell>
        </row>
        <row r="1447">
          <cell r="H1447" t="str">
            <v>A0TUWY0</v>
          </cell>
        </row>
        <row r="1448">
          <cell r="H1448" t="str">
            <v>A0TVWY0</v>
          </cell>
        </row>
        <row r="1449">
          <cell r="H1449" t="str">
            <v>A0U0011</v>
          </cell>
        </row>
        <row r="1450">
          <cell r="H1450" t="str">
            <v>A0U0012</v>
          </cell>
        </row>
        <row r="1451">
          <cell r="H1451" t="str">
            <v>A0U1011</v>
          </cell>
        </row>
        <row r="1452">
          <cell r="H1452" t="str">
            <v>A0U2011</v>
          </cell>
        </row>
        <row r="1453">
          <cell r="H1453" t="str">
            <v>A0V9011</v>
          </cell>
        </row>
        <row r="1454">
          <cell r="H1454" t="str">
            <v>A0VW130</v>
          </cell>
        </row>
        <row r="1455">
          <cell r="H1455" t="str">
            <v>A0VW134</v>
          </cell>
        </row>
        <row r="1456">
          <cell r="H1456" t="str">
            <v>A0VW135</v>
          </cell>
        </row>
        <row r="1457">
          <cell r="H1457" t="str">
            <v>A0VW230</v>
          </cell>
        </row>
        <row r="1458">
          <cell r="H1458" t="str">
            <v>A0VW234</v>
          </cell>
        </row>
        <row r="1459">
          <cell r="H1459" t="str">
            <v>A0VW235</v>
          </cell>
        </row>
        <row r="1460">
          <cell r="H1460" t="str">
            <v>A0VW330</v>
          </cell>
        </row>
        <row r="1461">
          <cell r="H1461" t="str">
            <v>A0VW334</v>
          </cell>
        </row>
        <row r="1462">
          <cell r="H1462" t="str">
            <v>A0VW335</v>
          </cell>
        </row>
        <row r="1463">
          <cell r="H1463" t="str">
            <v>A0VW430</v>
          </cell>
        </row>
        <row r="1464">
          <cell r="H1464" t="str">
            <v>A0VW434</v>
          </cell>
        </row>
        <row r="1465">
          <cell r="H1465" t="str">
            <v>A0VW435</v>
          </cell>
        </row>
        <row r="1466">
          <cell r="H1466" t="str">
            <v>A0VW800</v>
          </cell>
        </row>
        <row r="1467">
          <cell r="H1467" t="str">
            <v>A0VW900</v>
          </cell>
        </row>
        <row r="1468">
          <cell r="H1468" t="str">
            <v>A0WG03G</v>
          </cell>
        </row>
        <row r="1469">
          <cell r="H1469" t="str">
            <v>A0WG08G</v>
          </cell>
        </row>
        <row r="1470">
          <cell r="H1470" t="str">
            <v>A0WG0EG</v>
          </cell>
        </row>
        <row r="1471">
          <cell r="H1471" t="str">
            <v>A0WG0KG</v>
          </cell>
        </row>
        <row r="1472">
          <cell r="H1472" t="str">
            <v>A0X1600P</v>
          </cell>
        </row>
        <row r="1473">
          <cell r="H1473" t="str">
            <v>A0X2000P</v>
          </cell>
        </row>
        <row r="1474">
          <cell r="H1474" t="str">
            <v>A0X2500P</v>
          </cell>
        </row>
        <row r="1475">
          <cell r="H1475" t="str">
            <v>A0X3PP6500</v>
          </cell>
        </row>
        <row r="1476">
          <cell r="H1476" t="str">
            <v>A0X3PP8Q00</v>
          </cell>
        </row>
        <row r="1477">
          <cell r="H1477" t="str">
            <v>A0X5132</v>
          </cell>
        </row>
        <row r="1478">
          <cell r="H1478" t="str">
            <v>A0X5232</v>
          </cell>
        </row>
        <row r="1479">
          <cell r="H1479" t="str">
            <v>A0X5332</v>
          </cell>
        </row>
        <row r="1480">
          <cell r="H1480" t="str">
            <v>A0X5432</v>
          </cell>
        </row>
        <row r="1481">
          <cell r="H1481" t="str">
            <v>A0XD011</v>
          </cell>
        </row>
        <row r="1482">
          <cell r="H1482" t="str">
            <v>A0XE011</v>
          </cell>
        </row>
        <row r="1483">
          <cell r="H1483" t="str">
            <v>A0XF0Y0</v>
          </cell>
        </row>
        <row r="1484">
          <cell r="H1484" t="str">
            <v>A0XF0Y2</v>
          </cell>
        </row>
        <row r="1485">
          <cell r="H1485" t="str">
            <v>A0XF0Y3</v>
          </cell>
        </row>
        <row r="1486">
          <cell r="H1486" t="str">
            <v>A0XF0Y5</v>
          </cell>
        </row>
        <row r="1487">
          <cell r="H1487" t="str">
            <v>A0XF0Y6</v>
          </cell>
        </row>
        <row r="1488">
          <cell r="H1488" t="str">
            <v>A0XF0Y7</v>
          </cell>
        </row>
        <row r="1489">
          <cell r="H1489" t="str">
            <v>A0XF0Y8</v>
          </cell>
        </row>
        <row r="1490">
          <cell r="H1490" t="str">
            <v>A0XF0Y9</v>
          </cell>
        </row>
        <row r="1491">
          <cell r="H1491" t="str">
            <v>A0XF0YA</v>
          </cell>
        </row>
        <row r="1492">
          <cell r="H1492" t="str">
            <v>A0XF0YC</v>
          </cell>
        </row>
        <row r="1493">
          <cell r="H1493" t="str">
            <v>A0XJ011</v>
          </cell>
        </row>
        <row r="1494">
          <cell r="H1494" t="str">
            <v>A0XK011</v>
          </cell>
        </row>
        <row r="1495">
          <cell r="H1495" t="str">
            <v>A0XN012</v>
          </cell>
        </row>
        <row r="1496">
          <cell r="H1496" t="str">
            <v>A0XPWY1</v>
          </cell>
        </row>
        <row r="1497">
          <cell r="H1497" t="str">
            <v>A0XU030</v>
          </cell>
        </row>
        <row r="1498">
          <cell r="H1498" t="str">
            <v>A0XUF30</v>
          </cell>
        </row>
        <row r="1499">
          <cell r="H1499" t="str">
            <v>A0XUP30</v>
          </cell>
        </row>
        <row r="1500">
          <cell r="H1500" t="str">
            <v>A0XV03D</v>
          </cell>
        </row>
        <row r="1501">
          <cell r="H1501" t="str">
            <v>A0XV08D</v>
          </cell>
        </row>
        <row r="1502">
          <cell r="H1502" t="str">
            <v>A0XV0ED</v>
          </cell>
        </row>
        <row r="1503">
          <cell r="H1503" t="str">
            <v>A0XV0KD</v>
          </cell>
        </row>
        <row r="1504">
          <cell r="H1504" t="str">
            <v>A0XV0RD</v>
          </cell>
        </row>
        <row r="1505">
          <cell r="H1505" t="str">
            <v>A0XV0TD</v>
          </cell>
        </row>
        <row r="1506">
          <cell r="H1506" t="str">
            <v>A0XX001</v>
          </cell>
        </row>
        <row r="1507">
          <cell r="H1507" t="str">
            <v>A0YEWY1</v>
          </cell>
        </row>
        <row r="1508">
          <cell r="H1508" t="str">
            <v>A0YM131</v>
          </cell>
        </row>
        <row r="1509">
          <cell r="H1509" t="str">
            <v>A0YM231</v>
          </cell>
        </row>
        <row r="1510">
          <cell r="H1510" t="str">
            <v>A0YM331</v>
          </cell>
        </row>
        <row r="1511">
          <cell r="H1511" t="str">
            <v>A0YM431</v>
          </cell>
        </row>
        <row r="1512">
          <cell r="H1512" t="str">
            <v>A0YP030</v>
          </cell>
        </row>
        <row r="1513">
          <cell r="H1513" t="str">
            <v>A0YP031</v>
          </cell>
        </row>
        <row r="1514">
          <cell r="H1514" t="str">
            <v>A0YP032</v>
          </cell>
        </row>
        <row r="1515">
          <cell r="H1515" t="str">
            <v>A0YT031</v>
          </cell>
        </row>
        <row r="1516">
          <cell r="H1516" t="str">
            <v>A11G130</v>
          </cell>
        </row>
        <row r="1517">
          <cell r="H1517" t="str">
            <v>A11G131</v>
          </cell>
        </row>
        <row r="1518">
          <cell r="H1518" t="str">
            <v>A11G230</v>
          </cell>
        </row>
        <row r="1519">
          <cell r="H1519" t="str">
            <v>A11G231</v>
          </cell>
        </row>
        <row r="1520">
          <cell r="H1520" t="str">
            <v>A11G330</v>
          </cell>
        </row>
        <row r="1521">
          <cell r="H1521" t="str">
            <v>A11G331</v>
          </cell>
        </row>
        <row r="1522">
          <cell r="H1522" t="str">
            <v>A11G430</v>
          </cell>
        </row>
        <row r="1523">
          <cell r="H1523" t="str">
            <v>A11G431</v>
          </cell>
        </row>
        <row r="1524">
          <cell r="H1524" t="str">
            <v>A11U011</v>
          </cell>
        </row>
        <row r="1525">
          <cell r="H1525" t="str">
            <v>A11V011</v>
          </cell>
        </row>
        <row r="1526">
          <cell r="H1526" t="str">
            <v>A11V012</v>
          </cell>
        </row>
        <row r="1527">
          <cell r="H1527" t="str">
            <v>A11W011</v>
          </cell>
        </row>
        <row r="1528">
          <cell r="H1528" t="str">
            <v>A126011</v>
          </cell>
        </row>
        <row r="1529">
          <cell r="H1529" t="str">
            <v>A127WY1</v>
          </cell>
        </row>
        <row r="1530">
          <cell r="H1530" t="str">
            <v>A15E011</v>
          </cell>
        </row>
        <row r="1531">
          <cell r="H1531" t="str">
            <v>A15F011</v>
          </cell>
        </row>
        <row r="1532">
          <cell r="H1532" t="str">
            <v>A15G011</v>
          </cell>
        </row>
        <row r="1533">
          <cell r="H1533" t="str">
            <v>A15K011</v>
          </cell>
        </row>
        <row r="1534">
          <cell r="H1534" t="str">
            <v>A15M011</v>
          </cell>
        </row>
        <row r="1535">
          <cell r="H1535" t="str">
            <v>A15P011</v>
          </cell>
        </row>
        <row r="1536">
          <cell r="H1536" t="str">
            <v>A15R011</v>
          </cell>
        </row>
        <row r="1537">
          <cell r="H1537" t="str">
            <v>A15T011</v>
          </cell>
        </row>
        <row r="1538">
          <cell r="H1538" t="str">
            <v>A162WY1</v>
          </cell>
        </row>
        <row r="1539">
          <cell r="H1539" t="str">
            <v>A1AU0Y1</v>
          </cell>
        </row>
        <row r="1540">
          <cell r="H1540" t="str">
            <v>A1DY130</v>
          </cell>
        </row>
        <row r="1541">
          <cell r="H1541" t="str">
            <v>A1DY230</v>
          </cell>
        </row>
        <row r="1542">
          <cell r="H1542" t="str">
            <v>A1DY330</v>
          </cell>
        </row>
        <row r="1543">
          <cell r="H1543" t="str">
            <v>A1DY430</v>
          </cell>
        </row>
        <row r="1544">
          <cell r="H1544" t="str">
            <v>A1DY600</v>
          </cell>
        </row>
        <row r="1545">
          <cell r="H1545" t="str">
            <v>A1DY700</v>
          </cell>
        </row>
        <row r="1546">
          <cell r="H1546" t="str">
            <v>A1DY800</v>
          </cell>
        </row>
        <row r="1547">
          <cell r="H1547" t="str">
            <v>A1DY900</v>
          </cell>
        </row>
        <row r="1548">
          <cell r="H1548" t="str">
            <v>A1H60Y1</v>
          </cell>
        </row>
        <row r="1549">
          <cell r="H1549" t="str">
            <v>A1H60Y2</v>
          </cell>
        </row>
        <row r="1550">
          <cell r="H1550" t="str">
            <v>A1H60Y3</v>
          </cell>
        </row>
        <row r="1551">
          <cell r="H1551" t="str">
            <v>A1H70Y1</v>
          </cell>
        </row>
        <row r="1552">
          <cell r="H1552" t="str">
            <v>A1H70Y2</v>
          </cell>
        </row>
        <row r="1553">
          <cell r="H1553" t="str">
            <v>A1H70Y3</v>
          </cell>
        </row>
        <row r="1554">
          <cell r="H1554" t="str">
            <v>A1H70Y4</v>
          </cell>
        </row>
        <row r="1555">
          <cell r="H1555" t="str">
            <v>A1H70Y5</v>
          </cell>
        </row>
        <row r="1556">
          <cell r="H1556" t="str">
            <v>A1H80Y1</v>
          </cell>
        </row>
        <row r="1557">
          <cell r="H1557" t="str">
            <v>A1H80Y2</v>
          </cell>
        </row>
        <row r="1558">
          <cell r="H1558" t="str">
            <v>A1H80Y3</v>
          </cell>
        </row>
        <row r="1559">
          <cell r="H1559" t="str">
            <v>A1U9130</v>
          </cell>
        </row>
        <row r="1560">
          <cell r="H1560" t="str">
            <v>A1U9131</v>
          </cell>
        </row>
        <row r="1561">
          <cell r="H1561" t="str">
            <v>A1U9132</v>
          </cell>
        </row>
        <row r="1562">
          <cell r="H1562" t="str">
            <v>A1U9230</v>
          </cell>
        </row>
        <row r="1563">
          <cell r="H1563" t="str">
            <v>A1U9231</v>
          </cell>
        </row>
        <row r="1564">
          <cell r="H1564" t="str">
            <v>A1U9232</v>
          </cell>
        </row>
        <row r="1565">
          <cell r="H1565" t="str">
            <v>A1U9330</v>
          </cell>
        </row>
        <row r="1566">
          <cell r="H1566" t="str">
            <v>A1U9331</v>
          </cell>
        </row>
        <row r="1567">
          <cell r="H1567" t="str">
            <v>A1U9332</v>
          </cell>
        </row>
        <row r="1568">
          <cell r="H1568" t="str">
            <v>A1U9430</v>
          </cell>
        </row>
        <row r="1569">
          <cell r="H1569" t="str">
            <v>A1U9431</v>
          </cell>
        </row>
        <row r="1570">
          <cell r="H1570" t="str">
            <v>A1U9432</v>
          </cell>
        </row>
        <row r="1571">
          <cell r="H1571" t="str">
            <v>A1UDR70500</v>
          </cell>
        </row>
        <row r="1572">
          <cell r="H1572" t="str">
            <v>A1UDR70900</v>
          </cell>
        </row>
        <row r="1573">
          <cell r="H1573" t="str">
            <v>A202030</v>
          </cell>
        </row>
        <row r="1574">
          <cell r="H1574" t="str">
            <v>A202031</v>
          </cell>
        </row>
        <row r="1575">
          <cell r="H1575" t="str">
            <v>A202032</v>
          </cell>
        </row>
        <row r="1576">
          <cell r="H1576" t="str">
            <v>A202500</v>
          </cell>
        </row>
        <row r="1577">
          <cell r="H1577" t="str">
            <v>A21D0Y1</v>
          </cell>
        </row>
        <row r="1578">
          <cell r="H1578" t="str">
            <v>A22C0Y1</v>
          </cell>
        </row>
        <row r="1579">
          <cell r="H1579" t="str">
            <v>A2A103D</v>
          </cell>
        </row>
        <row r="1580">
          <cell r="H1580" t="str">
            <v>A2WYWY1</v>
          </cell>
        </row>
        <row r="1581">
          <cell r="H1581" t="str">
            <v>A3E70Y1</v>
          </cell>
        </row>
        <row r="1582">
          <cell r="H1582" t="str">
            <v>A49EYYB</v>
          </cell>
        </row>
        <row r="1583">
          <cell r="H1583" t="str">
            <v>D42GEPM25</v>
          </cell>
        </row>
        <row r="1584">
          <cell r="H1584" t="str">
            <v>D50GEPM25</v>
          </cell>
        </row>
        <row r="1585">
          <cell r="H1585" t="str">
            <v>DA0G6PM750</v>
          </cell>
        </row>
        <row r="1586">
          <cell r="H1586" t="str">
            <v>DA0PNPM25</v>
          </cell>
        </row>
        <row r="1587">
          <cell r="H1587" t="str">
            <v>DA0U1X001</v>
          </cell>
        </row>
        <row r="1588">
          <cell r="H1588" t="str">
            <v>DA0Y5PM500</v>
          </cell>
        </row>
        <row r="1589">
          <cell r="H1589" t="str">
            <v>DA0Y8X001</v>
          </cell>
        </row>
        <row r="1590">
          <cell r="H1590" t="str">
            <v>DA0Y8X002</v>
          </cell>
        </row>
        <row r="1591">
          <cell r="H1591" t="str">
            <v>DC651PM100</v>
          </cell>
        </row>
        <row r="1592">
          <cell r="H1592" t="str">
            <v>DC651PM200</v>
          </cell>
        </row>
        <row r="1593">
          <cell r="H1593" t="str">
            <v>DC65PM100</v>
          </cell>
        </row>
        <row r="1594">
          <cell r="H1594" t="str">
            <v>DC65PM200</v>
          </cell>
        </row>
        <row r="1595">
          <cell r="H1595" t="str">
            <v>DC65X001</v>
          </cell>
        </row>
        <row r="1596">
          <cell r="H1596" t="str">
            <v>DC65X002</v>
          </cell>
        </row>
        <row r="1597">
          <cell r="H1597" t="str">
            <v>KN000286700</v>
          </cell>
        </row>
        <row r="1598">
          <cell r="H1598" t="str">
            <v>TBD-EX300FS</v>
          </cell>
        </row>
        <row r="1599">
          <cell r="H1599" t="str">
            <v>TBD-EX300KIT 110</v>
          </cell>
        </row>
        <row r="1600">
          <cell r="H1600" t="str">
            <v>TBD-EX300KIT 125</v>
          </cell>
        </row>
        <row r="1601">
          <cell r="H1601" t="str">
            <v>TBD-EX300KIT 138</v>
          </cell>
        </row>
        <row r="1602">
          <cell r="H1602" t="str">
            <v>TBD-EX300KIT 150</v>
          </cell>
        </row>
        <row r="1603">
          <cell r="H1603" t="str">
            <v>VCAREACT</v>
          </cell>
        </row>
        <row r="1604">
          <cell r="H1604" t="str">
            <v>VCAREACT-O</v>
          </cell>
        </row>
        <row r="1607">
          <cell r="H1607" t="str">
            <v>A03NWY2</v>
          </cell>
        </row>
        <row r="1608">
          <cell r="H1608" t="str">
            <v>A092WW1</v>
          </cell>
        </row>
        <row r="1609">
          <cell r="H1609" t="str">
            <v>A0PD016</v>
          </cell>
        </row>
        <row r="1610">
          <cell r="H1610" t="str">
            <v>A0PD017</v>
          </cell>
        </row>
        <row r="1611">
          <cell r="H1611" t="str">
            <v>A0PD018</v>
          </cell>
        </row>
        <row r="1612">
          <cell r="H1612" t="str">
            <v>A0PD01H</v>
          </cell>
        </row>
        <row r="1613">
          <cell r="H1613" t="str">
            <v>A0TJWY4</v>
          </cell>
        </row>
        <row r="1614">
          <cell r="H1614" t="str">
            <v>A109W12</v>
          </cell>
        </row>
        <row r="1615">
          <cell r="H1615" t="str">
            <v>4623474</v>
          </cell>
        </row>
        <row r="1616">
          <cell r="H1616" t="str">
            <v>A0W4WY2</v>
          </cell>
        </row>
        <row r="1617">
          <cell r="H1617" t="str">
            <v>A4MGWY1</v>
          </cell>
        </row>
        <row r="1618">
          <cell r="H1618" t="str">
            <v>A3VU130</v>
          </cell>
        </row>
        <row r="1619">
          <cell r="H1619" t="str">
            <v>A3VU230</v>
          </cell>
        </row>
        <row r="1620">
          <cell r="H1620" t="str">
            <v>A3VU330</v>
          </cell>
        </row>
        <row r="1621">
          <cell r="H1621" t="str">
            <v>A3VU430</v>
          </cell>
        </row>
        <row r="1622">
          <cell r="H1622" t="str">
            <v>A2X203D</v>
          </cell>
        </row>
        <row r="1623">
          <cell r="H1623" t="str">
            <v>A2X208D</v>
          </cell>
        </row>
        <row r="1624">
          <cell r="H1624" t="str">
            <v>A2X20ED</v>
          </cell>
        </row>
        <row r="1625">
          <cell r="H1625" t="str">
            <v>A2X20KD</v>
          </cell>
        </row>
        <row r="1626">
          <cell r="H1626" t="str">
            <v>A2X20RD</v>
          </cell>
        </row>
        <row r="1627">
          <cell r="H1627" t="str">
            <v>A0PD019</v>
          </cell>
        </row>
        <row r="1628">
          <cell r="H1628" t="str">
            <v>A0PD01F</v>
          </cell>
        </row>
        <row r="1629">
          <cell r="H1629" t="str">
            <v>A0PD01G</v>
          </cell>
        </row>
        <row r="1630">
          <cell r="H1630" t="str">
            <v>A2X0011</v>
          </cell>
        </row>
        <row r="1631">
          <cell r="H1631" t="str">
            <v>A2X0012</v>
          </cell>
        </row>
        <row r="1632">
          <cell r="H1632" t="str">
            <v>A2X1011</v>
          </cell>
        </row>
        <row r="1633">
          <cell r="H1633" t="str">
            <v>A2X1012</v>
          </cell>
        </row>
        <row r="1634">
          <cell r="H1634" t="str">
            <v>A2Y1WY1</v>
          </cell>
        </row>
        <row r="1635">
          <cell r="H1635" t="str">
            <v>A2Y2WY1</v>
          </cell>
        </row>
        <row r="1636">
          <cell r="H1636" t="str">
            <v>A2YRW11</v>
          </cell>
        </row>
        <row r="1637">
          <cell r="H1637" t="str">
            <v>A3EPWY1</v>
          </cell>
        </row>
        <row r="1638">
          <cell r="H1638" t="str">
            <v>A3ERWY1</v>
          </cell>
        </row>
        <row r="1639">
          <cell r="H1639" t="str">
            <v>A3ETW11</v>
          </cell>
        </row>
        <row r="1640">
          <cell r="H1640" t="str">
            <v>A4FRWY1</v>
          </cell>
        </row>
        <row r="1641">
          <cell r="H1641" t="str">
            <v>A4MF011</v>
          </cell>
        </row>
        <row r="1642">
          <cell r="H1642" t="str">
            <v>A4MHWY1</v>
          </cell>
        </row>
        <row r="1643">
          <cell r="H1643" t="str">
            <v>A4MMWY1</v>
          </cell>
        </row>
        <row r="1644">
          <cell r="H1644" t="str">
            <v>A4NMWY1</v>
          </cell>
        </row>
        <row r="1645">
          <cell r="H1645" t="str">
            <v>A4NPWY1</v>
          </cell>
        </row>
        <row r="1646">
          <cell r="H1646" t="str">
            <v>A4NRWY1</v>
          </cell>
        </row>
        <row r="1648">
          <cell r="H1648" t="str">
            <v>7640016922</v>
          </cell>
        </row>
        <row r="1650">
          <cell r="H1650" t="str">
            <v>A1DV013X002</v>
          </cell>
        </row>
        <row r="1651">
          <cell r="H1651" t="str">
            <v>7640017030</v>
          </cell>
        </row>
        <row r="1653">
          <cell r="H1653" t="str">
            <v>A3PE011</v>
          </cell>
        </row>
        <row r="1654">
          <cell r="H1654" t="str">
            <v>A3JHWY1</v>
          </cell>
        </row>
        <row r="1655">
          <cell r="H1655" t="str">
            <v>A4M4WY1</v>
          </cell>
        </row>
        <row r="1656">
          <cell r="H1656" t="str">
            <v>A3PFWY1</v>
          </cell>
        </row>
        <row r="1657">
          <cell r="H1657" t="str">
            <v>A3PHWY1</v>
          </cell>
        </row>
        <row r="1658">
          <cell r="H1658" t="str">
            <v>A3PGWY1</v>
          </cell>
        </row>
        <row r="1659">
          <cell r="H1659" t="str">
            <v>A4M6WY1</v>
          </cell>
        </row>
        <row r="1660">
          <cell r="H1660" t="str">
            <v>A4M1WY1</v>
          </cell>
        </row>
        <row r="1661">
          <cell r="H1661" t="str">
            <v>A4M3WY1</v>
          </cell>
        </row>
        <row r="1662">
          <cell r="H1662" t="str">
            <v>A4M2011</v>
          </cell>
        </row>
        <row r="1663">
          <cell r="H1663" t="str">
            <v>7640017023</v>
          </cell>
        </row>
        <row r="1664">
          <cell r="H1664" t="str">
            <v>7640017520</v>
          </cell>
        </row>
        <row r="1665">
          <cell r="H1665" t="str">
            <v>A3VW030</v>
          </cell>
        </row>
        <row r="1667">
          <cell r="H1667" t="str">
            <v>7640014558</v>
          </cell>
        </row>
        <row r="1668">
          <cell r="H1668" t="str">
            <v>7640014559</v>
          </cell>
        </row>
        <row r="1669">
          <cell r="H1669" t="str">
            <v>7640014560</v>
          </cell>
        </row>
        <row r="1670">
          <cell r="H1670" t="str">
            <v>7640014561</v>
          </cell>
        </row>
        <row r="1671">
          <cell r="H1671" t="str">
            <v>7640014562</v>
          </cell>
        </row>
        <row r="1673">
          <cell r="H1673" t="str">
            <v>7640016304</v>
          </cell>
        </row>
        <row r="1675">
          <cell r="H1675" t="str">
            <v>A2XK011</v>
          </cell>
        </row>
        <row r="1676">
          <cell r="H1676" t="str">
            <v>A2XK012</v>
          </cell>
        </row>
        <row r="1677">
          <cell r="H1677" t="str">
            <v>A4FJ011</v>
          </cell>
        </row>
        <row r="1678">
          <cell r="H1678" t="str">
            <v>A4FJ012</v>
          </cell>
        </row>
        <row r="1679">
          <cell r="H1679" t="str">
            <v>A161011</v>
          </cell>
        </row>
        <row r="1680">
          <cell r="H1680" t="str">
            <v>A161012</v>
          </cell>
        </row>
        <row r="1681">
          <cell r="H1681" t="str">
            <v>A4FK011</v>
          </cell>
        </row>
        <row r="1682">
          <cell r="H1682" t="str">
            <v>A4FK012</v>
          </cell>
        </row>
        <row r="1683">
          <cell r="H1683" t="str">
            <v>A4FM011</v>
          </cell>
        </row>
        <row r="1685">
          <cell r="H1685" t="str">
            <v>A3PMWY1</v>
          </cell>
        </row>
        <row r="1686">
          <cell r="H1686" t="str">
            <v>A3CFWY1</v>
          </cell>
        </row>
        <row r="1687">
          <cell r="H1687" t="str">
            <v>A3CEWY1</v>
          </cell>
        </row>
        <row r="1688">
          <cell r="H1688" t="str">
            <v>A2XM013</v>
          </cell>
        </row>
        <row r="1689">
          <cell r="H1689" t="str">
            <v>A2XMWY2</v>
          </cell>
        </row>
        <row r="1690">
          <cell r="H1690" t="str">
            <v>A2XMWY1</v>
          </cell>
        </row>
        <row r="1691">
          <cell r="H1691" t="str">
            <v>7640017610</v>
          </cell>
        </row>
        <row r="1692">
          <cell r="H1692" t="str">
            <v>A2YVWY1</v>
          </cell>
        </row>
        <row r="1693">
          <cell r="H1693" t="str">
            <v>A2YUWY1</v>
          </cell>
        </row>
        <row r="1694">
          <cell r="H1694" t="str">
            <v>A3EUW11</v>
          </cell>
        </row>
        <row r="1695">
          <cell r="H1695" t="str">
            <v>A4MEWY1</v>
          </cell>
        </row>
        <row r="1696">
          <cell r="H1696" t="str">
            <v>A4MJWY1</v>
          </cell>
        </row>
        <row r="1697">
          <cell r="H1697" t="str">
            <v>A4MDWY1</v>
          </cell>
        </row>
        <row r="1698">
          <cell r="H1698" t="str">
            <v>A4FRWY2</v>
          </cell>
        </row>
        <row r="1699">
          <cell r="H1699" t="str">
            <v>A4MKWY1</v>
          </cell>
        </row>
        <row r="1701">
          <cell r="H1701" t="str">
            <v>A33K130</v>
          </cell>
        </row>
        <row r="1702">
          <cell r="H1702" t="str">
            <v>A33K430</v>
          </cell>
        </row>
        <row r="1703">
          <cell r="H1703" t="str">
            <v>A33K330</v>
          </cell>
        </row>
        <row r="1704">
          <cell r="H1704" t="str">
            <v>A33K230</v>
          </cell>
        </row>
        <row r="1705">
          <cell r="H1705" t="str">
            <v>A33K132</v>
          </cell>
        </row>
        <row r="1706">
          <cell r="H1706" t="str">
            <v>A33K432</v>
          </cell>
        </row>
        <row r="1707">
          <cell r="H1707" t="str">
            <v>A33K332</v>
          </cell>
        </row>
        <row r="1708">
          <cell r="H1708" t="str">
            <v>A33K232</v>
          </cell>
        </row>
        <row r="1709">
          <cell r="H1709" t="str">
            <v>A4NNWY1</v>
          </cell>
        </row>
        <row r="1710">
          <cell r="H1710" t="str">
            <v>A2XN03D</v>
          </cell>
        </row>
        <row r="1711">
          <cell r="H1711" t="str">
            <v>A2XN0KD</v>
          </cell>
        </row>
        <row r="1712">
          <cell r="H1712" t="str">
            <v>A2XN0ED</v>
          </cell>
        </row>
        <row r="1713">
          <cell r="H1713" t="str">
            <v>A2XN08D</v>
          </cell>
        </row>
        <row r="1714">
          <cell r="H1714" t="str">
            <v>A2XN0RD</v>
          </cell>
        </row>
        <row r="1715">
          <cell r="H1715" t="str">
            <v>A2XN0TD</v>
          </cell>
        </row>
        <row r="1717">
          <cell r="H1717" t="str">
            <v>A4EW011</v>
          </cell>
        </row>
        <row r="1718">
          <cell r="H1718" t="str">
            <v>A4F3WY1</v>
          </cell>
        </row>
        <row r="1719">
          <cell r="H1719" t="str">
            <v>A4F4WY1</v>
          </cell>
        </row>
        <row r="1720">
          <cell r="H1720" t="str">
            <v>A4FAW11</v>
          </cell>
        </row>
        <row r="1721">
          <cell r="H1721" t="str">
            <v>A4F8WY2</v>
          </cell>
        </row>
        <row r="1722">
          <cell r="H1722" t="str">
            <v>A4EYWY1</v>
          </cell>
        </row>
        <row r="1723">
          <cell r="H1723" t="str">
            <v>A4F6W11</v>
          </cell>
        </row>
        <row r="1724">
          <cell r="H1724" t="str">
            <v>A4F5WY1</v>
          </cell>
        </row>
        <row r="1725">
          <cell r="H1725" t="str">
            <v>A5A8WY1</v>
          </cell>
        </row>
        <row r="1726">
          <cell r="H1726" t="str">
            <v>A4F0WY1</v>
          </cell>
        </row>
        <row r="1727">
          <cell r="H1727" t="str">
            <v>A4F1WY1</v>
          </cell>
        </row>
        <row r="1728">
          <cell r="H1728" t="str">
            <v>A4F7WY1</v>
          </cell>
        </row>
        <row r="1729">
          <cell r="H1729" t="str">
            <v>A4F7WY2</v>
          </cell>
        </row>
        <row r="1730">
          <cell r="H1730" t="str">
            <v>A4F7WY3</v>
          </cell>
        </row>
        <row r="1731">
          <cell r="H1731" t="str">
            <v>A4F7WY4</v>
          </cell>
        </row>
        <row r="1732">
          <cell r="H1732" t="str">
            <v>A4RCWY1</v>
          </cell>
        </row>
        <row r="1733">
          <cell r="H1733" t="str">
            <v>A04HWY2</v>
          </cell>
        </row>
        <row r="1734">
          <cell r="H1734" t="str">
            <v>A0W6WY2</v>
          </cell>
        </row>
        <row r="1735">
          <cell r="H1735" t="str">
            <v>A3VV131</v>
          </cell>
        </row>
        <row r="1736">
          <cell r="H1736" t="str">
            <v>A3VVP00</v>
          </cell>
        </row>
        <row r="1737">
          <cell r="H1737" t="str">
            <v>A0TH500</v>
          </cell>
        </row>
        <row r="1739">
          <cell r="H1739" t="str">
            <v>7670525504</v>
          </cell>
        </row>
        <row r="1740">
          <cell r="H1740" t="str">
            <v>7670525505</v>
          </cell>
        </row>
        <row r="1741">
          <cell r="H1741" t="str">
            <v>7670525506</v>
          </cell>
        </row>
        <row r="1742">
          <cell r="H1742" t="str">
            <v>7670525507</v>
          </cell>
        </row>
        <row r="1743">
          <cell r="H1743" t="str">
            <v>7670525508</v>
          </cell>
        </row>
        <row r="1744">
          <cell r="H1744" t="str">
            <v>7670525509</v>
          </cell>
        </row>
        <row r="1745">
          <cell r="H1745" t="str">
            <v>7670525510</v>
          </cell>
        </row>
        <row r="1747">
          <cell r="H1747" t="str">
            <v>7640017668</v>
          </cell>
        </row>
        <row r="1749">
          <cell r="H1749" t="str">
            <v>7640018091</v>
          </cell>
        </row>
        <row r="1750">
          <cell r="H1750" t="str">
            <v>7640018092</v>
          </cell>
        </row>
        <row r="1751">
          <cell r="H1751" t="str">
            <v>7640018093</v>
          </cell>
        </row>
        <row r="1752">
          <cell r="H1752" t="str">
            <v>7640018094</v>
          </cell>
        </row>
        <row r="1753">
          <cell r="H1753" t="str">
            <v>7640018095</v>
          </cell>
        </row>
        <row r="1754">
          <cell r="H1754" t="str">
            <v>7640018096</v>
          </cell>
        </row>
        <row r="1755">
          <cell r="H1755" t="str">
            <v>7640018097</v>
          </cell>
        </row>
        <row r="1756">
          <cell r="H1756" t="str">
            <v>7640018098</v>
          </cell>
        </row>
        <row r="1758">
          <cell r="H1758" t="str">
            <v>A4EU011</v>
          </cell>
        </row>
        <row r="1759">
          <cell r="H1759" t="str">
            <v>A4EX011</v>
          </cell>
        </row>
        <row r="1760">
          <cell r="H1760" t="str">
            <v>A4EV011</v>
          </cell>
        </row>
        <row r="1761">
          <cell r="H1761" t="str">
            <v>A4FCWY1</v>
          </cell>
        </row>
        <row r="1762">
          <cell r="H1762" t="str">
            <v>A4F2WY1</v>
          </cell>
        </row>
        <row r="1763">
          <cell r="H1763" t="str">
            <v>A3VV130</v>
          </cell>
        </row>
        <row r="1765">
          <cell r="H1765" t="str">
            <v>7640008082</v>
          </cell>
        </row>
        <row r="1767">
          <cell r="H1767" t="str">
            <v>A15XW12</v>
          </cell>
        </row>
        <row r="1768">
          <cell r="H1768" t="str">
            <v>A2A2W12</v>
          </cell>
        </row>
        <row r="1769">
          <cell r="H1769" t="str">
            <v>A2A3WY2</v>
          </cell>
        </row>
        <row r="1771">
          <cell r="H1771" t="str">
            <v>3000005452</v>
          </cell>
        </row>
        <row r="1772">
          <cell r="H1772" t="str">
            <v>45109642</v>
          </cell>
        </row>
        <row r="1773">
          <cell r="H1773" t="str">
            <v>3000005453</v>
          </cell>
        </row>
        <row r="1774">
          <cell r="H1774" t="str">
            <v>3000005455</v>
          </cell>
        </row>
        <row r="1775">
          <cell r="H1775" t="str">
            <v>100000006105</v>
          </cell>
        </row>
        <row r="1776">
          <cell r="H1776" t="str">
            <v>9967001680</v>
          </cell>
        </row>
        <row r="1777">
          <cell r="H1777" t="str">
            <v>9967002016</v>
          </cell>
        </row>
        <row r="1778">
          <cell r="H1778" t="str">
            <v>KMCURVECORE</v>
          </cell>
        </row>
        <row r="1780">
          <cell r="H1780" t="str">
            <v>A55V011</v>
          </cell>
        </row>
        <row r="1781">
          <cell r="H1781" t="str">
            <v>A5YN011</v>
          </cell>
        </row>
        <row r="1782">
          <cell r="H1782" t="str">
            <v>A55V011(PROD $)</v>
          </cell>
        </row>
        <row r="1783">
          <cell r="H1783" t="str">
            <v>A5YN011(PROD $)</v>
          </cell>
        </row>
        <row r="1784">
          <cell r="H1784" t="str">
            <v>A55V012</v>
          </cell>
        </row>
        <row r="1785">
          <cell r="H1785" t="str">
            <v>A5YN012</v>
          </cell>
        </row>
        <row r="1786">
          <cell r="H1786" t="str">
            <v>A64TWY1</v>
          </cell>
        </row>
        <row r="1787">
          <cell r="H1787" t="str">
            <v>A3VU030</v>
          </cell>
        </row>
        <row r="1788">
          <cell r="H1788" t="str">
            <v>A161192000</v>
          </cell>
        </row>
        <row r="1790">
          <cell r="H1790" t="str">
            <v>7640014357</v>
          </cell>
        </row>
        <row r="1792">
          <cell r="H1792" t="str">
            <v>3000005607</v>
          </cell>
        </row>
        <row r="1793">
          <cell r="H1793" t="str">
            <v>3000005608</v>
          </cell>
        </row>
        <row r="1794">
          <cell r="H1794" t="str">
            <v>45091367</v>
          </cell>
        </row>
        <row r="1795">
          <cell r="H1795" t="str">
            <v>45091393</v>
          </cell>
        </row>
        <row r="1796">
          <cell r="H1796" t="str">
            <v>45091394</v>
          </cell>
        </row>
        <row r="1797">
          <cell r="H1797" t="str">
            <v>45091409</v>
          </cell>
        </row>
        <row r="1798">
          <cell r="H1798" t="str">
            <v>45095825</v>
          </cell>
        </row>
        <row r="1799">
          <cell r="H1799" t="str">
            <v>45091475</v>
          </cell>
        </row>
        <row r="1800">
          <cell r="H1800" t="str">
            <v>45091399</v>
          </cell>
        </row>
        <row r="1801">
          <cell r="H1801" t="str">
            <v>45091410</v>
          </cell>
        </row>
        <row r="1802">
          <cell r="H1802" t="str">
            <v>45111634</v>
          </cell>
        </row>
        <row r="1803">
          <cell r="H1803" t="str">
            <v>100000006250</v>
          </cell>
        </row>
        <row r="1804">
          <cell r="H1804" t="str">
            <v>100000006251</v>
          </cell>
        </row>
        <row r="1805">
          <cell r="H1805" t="str">
            <v>100000006252</v>
          </cell>
        </row>
        <row r="1807">
          <cell r="H1807" t="str">
            <v>EO2AST</v>
          </cell>
        </row>
        <row r="1808">
          <cell r="H1808" t="str">
            <v>EO2BAS</v>
          </cell>
        </row>
        <row r="1810">
          <cell r="H1810" t="str">
            <v>7640015252</v>
          </cell>
        </row>
        <row r="1812">
          <cell r="H1812" t="str">
            <v>7640018268</v>
          </cell>
        </row>
        <row r="1813">
          <cell r="H1813" t="str">
            <v>7640018269</v>
          </cell>
        </row>
        <row r="1814">
          <cell r="H1814" t="str">
            <v>7640018271</v>
          </cell>
        </row>
        <row r="1816">
          <cell r="H1816" t="str">
            <v>A5AY011</v>
          </cell>
        </row>
        <row r="1817">
          <cell r="H1817" t="str">
            <v>A5AY012</v>
          </cell>
        </row>
        <row r="1818">
          <cell r="H1818" t="str">
            <v>A5C0011</v>
          </cell>
        </row>
        <row r="1819">
          <cell r="H1819" t="str">
            <v>A5C0012</v>
          </cell>
        </row>
        <row r="1820">
          <cell r="H1820" t="str">
            <v>A5C1011</v>
          </cell>
        </row>
        <row r="1821">
          <cell r="H1821" t="str">
            <v>A5C1012</v>
          </cell>
        </row>
        <row r="1822">
          <cell r="H1822" t="str">
            <v>A5C2011</v>
          </cell>
        </row>
        <row r="1823">
          <cell r="H1823" t="str">
            <v>A5C2012</v>
          </cell>
        </row>
        <row r="1824">
          <cell r="H1824" t="str">
            <v>A5C4011</v>
          </cell>
        </row>
        <row r="1825">
          <cell r="H1825" t="str">
            <v>A4MJWY2</v>
          </cell>
        </row>
        <row r="1826">
          <cell r="H1826" t="str">
            <v>A4MKWY2</v>
          </cell>
        </row>
        <row r="1827">
          <cell r="H1827" t="str">
            <v>A4MF012</v>
          </cell>
        </row>
        <row r="1828">
          <cell r="H1828" t="str">
            <v>A0PD01J</v>
          </cell>
        </row>
        <row r="1829">
          <cell r="H1829" t="str">
            <v>A0PD01K</v>
          </cell>
        </row>
        <row r="1830">
          <cell r="H1830" t="str">
            <v>A68VWY1</v>
          </cell>
        </row>
        <row r="1831">
          <cell r="H1831" t="str">
            <v>A68UWY1</v>
          </cell>
        </row>
        <row r="1833">
          <cell r="H1833" t="str">
            <v>7640018408</v>
          </cell>
        </row>
        <row r="1834">
          <cell r="H1834" t="str">
            <v>7640018420</v>
          </cell>
        </row>
        <row r="1836">
          <cell r="H1836" t="str">
            <v>A2X0017</v>
          </cell>
        </row>
        <row r="1837">
          <cell r="H1837" t="str">
            <v>A2X0018</v>
          </cell>
        </row>
        <row r="1838">
          <cell r="H1838" t="str">
            <v>A2X1017</v>
          </cell>
        </row>
        <row r="1839">
          <cell r="H1839" t="str">
            <v>A2X1018</v>
          </cell>
        </row>
        <row r="1840">
          <cell r="H1840" t="str">
            <v>A3EPWYA</v>
          </cell>
        </row>
        <row r="1842">
          <cell r="H1842" t="str">
            <v>7640018460</v>
          </cell>
        </row>
        <row r="1844">
          <cell r="H1844" t="str">
            <v>45118572</v>
          </cell>
        </row>
        <row r="1846">
          <cell r="H1846" t="str">
            <v>DD1361</v>
          </cell>
        </row>
        <row r="1847">
          <cell r="H1847" t="str">
            <v>DD1667</v>
          </cell>
        </row>
        <row r="1848">
          <cell r="H1848" t="str">
            <v>DD1668</v>
          </cell>
        </row>
        <row r="1849">
          <cell r="H1849" t="str">
            <v>DD1631</v>
          </cell>
        </row>
        <row r="1850">
          <cell r="H1850" t="str">
            <v>DD1632</v>
          </cell>
        </row>
        <row r="1851">
          <cell r="H1851" t="str">
            <v>DD1633</v>
          </cell>
        </row>
        <row r="1852">
          <cell r="H1852" t="str">
            <v>DD1634</v>
          </cell>
        </row>
        <row r="1853">
          <cell r="H1853" t="str">
            <v>SX4600WAN</v>
          </cell>
        </row>
        <row r="1854">
          <cell r="H1854" t="str">
            <v>DD1630</v>
          </cell>
        </row>
        <row r="1855">
          <cell r="H1855" t="str">
            <v>DD25EF</v>
          </cell>
        </row>
        <row r="1856">
          <cell r="H1856" t="str">
            <v>DD25ES</v>
          </cell>
        </row>
        <row r="1857">
          <cell r="H1857" t="str">
            <v>56530</v>
          </cell>
        </row>
        <row r="1858">
          <cell r="H1858" t="str">
            <v>56540</v>
          </cell>
        </row>
        <row r="1859">
          <cell r="H1859" t="str">
            <v>DD1A002G3X</v>
          </cell>
        </row>
        <row r="1860">
          <cell r="H1860" t="str">
            <v>DD1A001F3X</v>
          </cell>
        </row>
        <row r="1862">
          <cell r="H1862" t="str">
            <v>A61D011</v>
          </cell>
        </row>
        <row r="1863">
          <cell r="H1863" t="str">
            <v>A61E011</v>
          </cell>
        </row>
        <row r="1864">
          <cell r="H1864" t="str">
            <v>A61F011</v>
          </cell>
        </row>
        <row r="1865">
          <cell r="H1865" t="str">
            <v>A61G011</v>
          </cell>
        </row>
        <row r="1866">
          <cell r="H1866" t="str">
            <v>A61H011</v>
          </cell>
        </row>
        <row r="1867">
          <cell r="H1867" t="str">
            <v>A61D012</v>
          </cell>
        </row>
        <row r="1868">
          <cell r="H1868" t="str">
            <v>A61E012</v>
          </cell>
        </row>
        <row r="1869">
          <cell r="H1869" t="str">
            <v>A61F012</v>
          </cell>
        </row>
        <row r="1870">
          <cell r="H1870" t="str">
            <v>A61G012</v>
          </cell>
        </row>
        <row r="1871">
          <cell r="H1871" t="str">
            <v>A33K031</v>
          </cell>
        </row>
        <row r="1872">
          <cell r="H1872" t="str">
            <v>A33K030</v>
          </cell>
        </row>
        <row r="1874">
          <cell r="H1874" t="str">
            <v>45120072</v>
          </cell>
        </row>
        <row r="1875">
          <cell r="H1875" t="str">
            <v>45120075</v>
          </cell>
        </row>
        <row r="1876">
          <cell r="H1876" t="str">
            <v>LES402A-OLD</v>
          </cell>
        </row>
        <row r="1878">
          <cell r="H1878" t="str">
            <v>A55V017</v>
          </cell>
        </row>
        <row r="1879">
          <cell r="H1879" t="str">
            <v>A5YN017</v>
          </cell>
        </row>
        <row r="1880">
          <cell r="H1880" t="str">
            <v>A55V018</v>
          </cell>
        </row>
        <row r="1881">
          <cell r="H1881" t="str">
            <v>A5YN018</v>
          </cell>
        </row>
        <row r="1883">
          <cell r="H1883" t="str">
            <v>7640018680</v>
          </cell>
        </row>
        <row r="1885">
          <cell r="H1885" t="str">
            <v>XGPCS15DKM</v>
          </cell>
        </row>
        <row r="1886">
          <cell r="H1886" t="str">
            <v>XGPCS20DKM</v>
          </cell>
        </row>
        <row r="1887">
          <cell r="H1887" t="str">
            <v>XGPCS20820DKM</v>
          </cell>
        </row>
        <row r="1888">
          <cell r="H1888" t="str">
            <v>XGPCSL630KM</v>
          </cell>
        </row>
        <row r="1889">
          <cell r="H1889" t="str">
            <v>XGPCSL630GNSKM</v>
          </cell>
        </row>
        <row r="1890">
          <cell r="H1890" t="str">
            <v>AC1</v>
          </cell>
        </row>
        <row r="1891">
          <cell r="H1891" t="str">
            <v>SMT1500</v>
          </cell>
        </row>
        <row r="1893">
          <cell r="H1893" t="str">
            <v>A6F7011</v>
          </cell>
        </row>
        <row r="1894">
          <cell r="H1894" t="str">
            <v>A6VF011</v>
          </cell>
        </row>
        <row r="1895">
          <cell r="H1895" t="str">
            <v>A6VHWY1</v>
          </cell>
        </row>
        <row r="1896">
          <cell r="H1896" t="str">
            <v>A6VGWY1</v>
          </cell>
        </row>
        <row r="1897">
          <cell r="H1897" t="str">
            <v>A6XNWY1</v>
          </cell>
        </row>
        <row r="1898">
          <cell r="H1898" t="str">
            <v>A6XYWY1</v>
          </cell>
        </row>
        <row r="1899">
          <cell r="H1899" t="str">
            <v>A6Y8WY1</v>
          </cell>
        </row>
        <row r="1900">
          <cell r="H1900" t="str">
            <v>9967002761</v>
          </cell>
        </row>
        <row r="1901">
          <cell r="H1901" t="str">
            <v>A6VK01F</v>
          </cell>
        </row>
        <row r="1902">
          <cell r="H1902" t="str">
            <v>A6VK01W</v>
          </cell>
        </row>
        <row r="1903">
          <cell r="H1903" t="str">
            <v>A6VM03V</v>
          </cell>
        </row>
        <row r="1904">
          <cell r="H1904" t="str">
            <v>A6VM03W</v>
          </cell>
        </row>
        <row r="1906">
          <cell r="H1906" t="str">
            <v>A63Y0Y1</v>
          </cell>
        </row>
        <row r="1907">
          <cell r="H1907" t="str">
            <v>A6440Y1</v>
          </cell>
        </row>
        <row r="1909">
          <cell r="H1909" t="str">
            <v>A3GN011</v>
          </cell>
        </row>
        <row r="1910">
          <cell r="H1910" t="str">
            <v>A4Y4011</v>
          </cell>
        </row>
        <row r="1911">
          <cell r="H1911" t="str">
            <v>A6VDWY1</v>
          </cell>
        </row>
        <row r="1912">
          <cell r="H1912" t="str">
            <v>A4Y6WY1</v>
          </cell>
        </row>
        <row r="1913">
          <cell r="H1913" t="str">
            <v>A732WY1</v>
          </cell>
        </row>
        <row r="1914">
          <cell r="H1914" t="str">
            <v>A6VCWY1</v>
          </cell>
        </row>
        <row r="1915">
          <cell r="H1915" t="str">
            <v>A6XXWY1</v>
          </cell>
        </row>
        <row r="1916">
          <cell r="H1916" t="str">
            <v>A6EDW11</v>
          </cell>
        </row>
        <row r="1917">
          <cell r="H1917" t="str">
            <v>9967002766</v>
          </cell>
        </row>
        <row r="1918">
          <cell r="H1918" t="str">
            <v>A5X0430</v>
          </cell>
        </row>
        <row r="1919">
          <cell r="H1919" t="str">
            <v>A5X0130</v>
          </cell>
        </row>
        <row r="1920">
          <cell r="H1920" t="str">
            <v>A5X0330</v>
          </cell>
        </row>
        <row r="1921">
          <cell r="H1921" t="str">
            <v>A5X0230</v>
          </cell>
        </row>
        <row r="1922">
          <cell r="H1922" t="str">
            <v>A3GP0HD</v>
          </cell>
        </row>
        <row r="1923">
          <cell r="H1923" t="str">
            <v>A3GP01D</v>
          </cell>
        </row>
        <row r="1924">
          <cell r="H1924" t="str">
            <v>A3GP0CD</v>
          </cell>
        </row>
        <row r="1925">
          <cell r="H1925" t="str">
            <v>A3GP06D</v>
          </cell>
        </row>
        <row r="1926">
          <cell r="H1926" t="str">
            <v>A4Y5WY1</v>
          </cell>
        </row>
        <row r="1928">
          <cell r="H1928" t="str">
            <v>A50U011</v>
          </cell>
        </row>
        <row r="1929">
          <cell r="H1929" t="str">
            <v>A57P011</v>
          </cell>
        </row>
        <row r="1930">
          <cell r="H1930" t="str">
            <v>A50V011</v>
          </cell>
        </row>
        <row r="1931">
          <cell r="H1931" t="str">
            <v>A5VM011X002</v>
          </cell>
        </row>
        <row r="1932">
          <cell r="H1932" t="str">
            <v>A5VM011X001</v>
          </cell>
        </row>
        <row r="1933">
          <cell r="H1933" t="str">
            <v>A0HUWY2</v>
          </cell>
        </row>
        <row r="1934">
          <cell r="H1934" t="str">
            <v>A55CWY1</v>
          </cell>
        </row>
        <row r="1935">
          <cell r="H1935" t="str">
            <v>A57WWY1</v>
          </cell>
        </row>
        <row r="1936">
          <cell r="H1936" t="str">
            <v>A5VKWY1</v>
          </cell>
        </row>
        <row r="1937">
          <cell r="H1937" t="str">
            <v>A57UWY1</v>
          </cell>
        </row>
        <row r="1938">
          <cell r="H1938" t="str">
            <v>A5URWY1</v>
          </cell>
        </row>
        <row r="1939">
          <cell r="H1939" t="str">
            <v>IC309OLD</v>
          </cell>
        </row>
        <row r="1940">
          <cell r="H1940" t="str">
            <v>A5UTWY1</v>
          </cell>
        </row>
        <row r="1941">
          <cell r="H1941" t="str">
            <v>A5A90Y1</v>
          </cell>
        </row>
        <row r="1942">
          <cell r="H1942" t="str">
            <v>A5XG0Y1</v>
          </cell>
        </row>
        <row r="1943">
          <cell r="H1943" t="str">
            <v>A5A7WY1</v>
          </cell>
        </row>
        <row r="1944">
          <cell r="H1944" t="str">
            <v>A5XJWY1</v>
          </cell>
        </row>
        <row r="1945">
          <cell r="H1945" t="str">
            <v>A5AAWY1</v>
          </cell>
        </row>
        <row r="1946">
          <cell r="H1946" t="str">
            <v>A5XHWY1</v>
          </cell>
        </row>
        <row r="1947">
          <cell r="H1947" t="str">
            <v>A3VX430</v>
          </cell>
        </row>
        <row r="1948">
          <cell r="H1948" t="str">
            <v>A3VX130</v>
          </cell>
        </row>
        <row r="1949">
          <cell r="H1949" t="str">
            <v>A3VX330</v>
          </cell>
        </row>
        <row r="1950">
          <cell r="H1950" t="str">
            <v>A3VX230</v>
          </cell>
        </row>
        <row r="1951">
          <cell r="H1951" t="str">
            <v>A3VX900</v>
          </cell>
        </row>
        <row r="1952">
          <cell r="H1952" t="str">
            <v>A3VX600</v>
          </cell>
        </row>
        <row r="1953">
          <cell r="H1953" t="str">
            <v>A3VX800</v>
          </cell>
        </row>
        <row r="1954">
          <cell r="H1954" t="str">
            <v>A3VX700</v>
          </cell>
        </row>
        <row r="1955">
          <cell r="H1955" t="str">
            <v>A5WH0Y0</v>
          </cell>
        </row>
        <row r="1956">
          <cell r="H1956" t="str">
            <v>A3VX431</v>
          </cell>
        </row>
        <row r="1957">
          <cell r="H1957" t="str">
            <v>A3VX131</v>
          </cell>
        </row>
        <row r="1958">
          <cell r="H1958" t="str">
            <v>A3VX331</v>
          </cell>
        </row>
        <row r="1959">
          <cell r="H1959" t="str">
            <v>A3VX231</v>
          </cell>
        </row>
        <row r="1960">
          <cell r="H1960" t="str">
            <v>A5WJ0Y0</v>
          </cell>
        </row>
        <row r="1961">
          <cell r="H1961" t="str">
            <v>DU5UPPM400</v>
          </cell>
        </row>
        <row r="1963">
          <cell r="H1963" t="str">
            <v>7714357</v>
          </cell>
        </row>
        <row r="1964">
          <cell r="H1964" t="str">
            <v>7714355</v>
          </cell>
        </row>
        <row r="1965">
          <cell r="H1965" t="str">
            <v>7714356</v>
          </cell>
        </row>
        <row r="1967">
          <cell r="H1967" t="str">
            <v>A0U4WY2</v>
          </cell>
        </row>
        <row r="1968">
          <cell r="H1968" t="str">
            <v>A4F3WY2</v>
          </cell>
        </row>
        <row r="1969">
          <cell r="H1969" t="str">
            <v>A4FAW12</v>
          </cell>
        </row>
        <row r="1970">
          <cell r="H1970" t="str">
            <v>A0430Y2</v>
          </cell>
        </row>
        <row r="1971">
          <cell r="H1971" t="str">
            <v>A4F6W12</v>
          </cell>
        </row>
        <row r="1973">
          <cell r="H1973" t="str">
            <v>45111156</v>
          </cell>
        </row>
        <row r="1974">
          <cell r="H1974" t="str">
            <v>45111136</v>
          </cell>
        </row>
        <row r="1975">
          <cell r="H1975" t="str">
            <v>45111138</v>
          </cell>
        </row>
        <row r="1976">
          <cell r="H1976" t="str">
            <v>45111153</v>
          </cell>
        </row>
        <row r="1977">
          <cell r="H1977" t="str">
            <v>45111142</v>
          </cell>
        </row>
        <row r="1978">
          <cell r="H1978" t="str">
            <v>45111094</v>
          </cell>
        </row>
        <row r="1979">
          <cell r="H1979" t="str">
            <v>45111100</v>
          </cell>
        </row>
        <row r="1980">
          <cell r="H1980" t="str">
            <v>45052707</v>
          </cell>
        </row>
        <row r="1981">
          <cell r="H1981" t="str">
            <v>45125832</v>
          </cell>
        </row>
        <row r="1982">
          <cell r="H1982" t="str">
            <v>45111134</v>
          </cell>
        </row>
        <row r="1983">
          <cell r="H1983" t="str">
            <v>45112179</v>
          </cell>
        </row>
        <row r="1984">
          <cell r="H1984" t="str">
            <v>100000006366</v>
          </cell>
        </row>
        <row r="1985">
          <cell r="H1985" t="str">
            <v>45087436</v>
          </cell>
        </row>
        <row r="1987">
          <cell r="H1987" t="str">
            <v>DA4EPM2MM</v>
          </cell>
        </row>
        <row r="1988">
          <cell r="H1988" t="str">
            <v>764018667</v>
          </cell>
        </row>
        <row r="1989">
          <cell r="H1989" t="str">
            <v>7640018634</v>
          </cell>
        </row>
        <row r="1990">
          <cell r="H1990" t="str">
            <v>7640018635</v>
          </cell>
        </row>
        <row r="1992">
          <cell r="H1992" t="str">
            <v>A2A2W13</v>
          </cell>
        </row>
        <row r="1994">
          <cell r="H1994" t="str">
            <v>45123432</v>
          </cell>
        </row>
        <row r="1995">
          <cell r="H1995" t="str">
            <v>45125126</v>
          </cell>
        </row>
        <row r="1996">
          <cell r="H1996" t="str">
            <v>45123430</v>
          </cell>
        </row>
        <row r="1997">
          <cell r="H1997" t="str">
            <v>45123438</v>
          </cell>
        </row>
        <row r="1999">
          <cell r="H1999" t="str">
            <v>45122521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sheetName val="Overall"/>
      <sheetName val="Year 1"/>
      <sheetName val="Year 2"/>
      <sheetName val="Year 3"/>
      <sheetName val="Year 4"/>
      <sheetName val="Year 5"/>
      <sheetName val="Maintenance"/>
      <sheetName val="Estimated Operating GP"/>
      <sheetName val="BAFO "/>
      <sheetName val="Summary Page"/>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Rules"/>
      <sheetName val="Profile"/>
      <sheetName val="MFP-FAX"/>
      <sheetName val="Printers"/>
    </sheetNames>
    <sheetDataSet>
      <sheetData sheetId="0">
        <row r="2">
          <cell r="A2" t="str">
            <v>X</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Approved Pricing Old"/>
      <sheetName val="Profile"/>
      <sheetName val="MFP's"/>
      <sheetName val="B&amp;W Maintenance"/>
      <sheetName val="Color Maintenance"/>
      <sheetName val="Sheet1"/>
    </sheetNames>
    <sheetDataSet>
      <sheetData sheetId="0"/>
      <sheetData sheetId="1"/>
      <sheetData sheetId="2"/>
      <sheetData sheetId="3">
        <row r="8">
          <cell r="A8" t="str">
            <v>DD1361</v>
          </cell>
          <cell r="B8" t="str">
            <v>bizhub 25e</v>
          </cell>
          <cell r="C8">
            <v>2500</v>
          </cell>
        </row>
        <row r="9">
          <cell r="A9" t="str">
            <v>Optional Accessories</v>
          </cell>
          <cell r="B9">
            <v>0</v>
          </cell>
          <cell r="C9">
            <v>0</v>
          </cell>
        </row>
        <row r="10">
          <cell r="A10" t="str">
            <v>PAPER SUPPLY OPTION:</v>
          </cell>
          <cell r="B10">
            <v>0</v>
          </cell>
          <cell r="C10">
            <v>0</v>
          </cell>
        </row>
        <row r="11">
          <cell r="A11" t="str">
            <v>DD1667</v>
          </cell>
          <cell r="B11" t="str">
            <v>PF-508 Paper Cassette (500-sheet)</v>
          </cell>
          <cell r="C11">
            <v>320</v>
          </cell>
        </row>
        <row r="12">
          <cell r="A12" t="str">
            <v>DD1668</v>
          </cell>
          <cell r="B12" t="str">
            <v>JS-604 External Job Separator</v>
          </cell>
          <cell r="C12">
            <v>120</v>
          </cell>
        </row>
        <row r="13">
          <cell r="A13" t="str">
            <v>56540</v>
          </cell>
          <cell r="B13" t="str">
            <v>SCD- 26L Paper Storage Cabinet - Large</v>
          </cell>
          <cell r="C13">
            <v>184</v>
          </cell>
        </row>
        <row r="14">
          <cell r="A14" t="str">
            <v>56530</v>
          </cell>
          <cell r="B14" t="str">
            <v>SCD-26S Paper Storage Cabinet - Small</v>
          </cell>
          <cell r="C14">
            <v>160</v>
          </cell>
        </row>
        <row r="15">
          <cell r="A15" t="str">
            <v>OUTPUT OPTIONS:</v>
          </cell>
          <cell r="B15">
            <v>0</v>
          </cell>
          <cell r="C15">
            <v>0</v>
          </cell>
        </row>
        <row r="16">
          <cell r="A16" t="str">
            <v>DD1631</v>
          </cell>
          <cell r="B16" t="str">
            <v>PS-505 Postscript 3 Enabler</v>
          </cell>
          <cell r="C16">
            <v>159</v>
          </cell>
        </row>
        <row r="17">
          <cell r="A17" t="str">
            <v>DD1632</v>
          </cell>
          <cell r="B17" t="str">
            <v>BC-904 Barcode Printing/OCR Enabler</v>
          </cell>
          <cell r="C17">
            <v>260</v>
          </cell>
        </row>
        <row r="18">
          <cell r="A18" t="str">
            <v>DD1633</v>
          </cell>
          <cell r="B18" t="str">
            <v>PS-506 Postscript 3/Barcode Printing/OCR Enabler</v>
          </cell>
          <cell r="C18">
            <v>398</v>
          </cell>
        </row>
        <row r="19">
          <cell r="A19" t="str">
            <v>DD1634</v>
          </cell>
          <cell r="B19" t="str">
            <v>EM-905 Postscript Memory Upgrade (1GB)</v>
          </cell>
          <cell r="C19">
            <v>199</v>
          </cell>
        </row>
        <row r="20">
          <cell r="A20" t="str">
            <v>MISC. OPTIONS:</v>
          </cell>
          <cell r="B20">
            <v>0</v>
          </cell>
          <cell r="C20">
            <v>0</v>
          </cell>
        </row>
        <row r="21">
          <cell r="A21" t="str">
            <v>SX4600WAN</v>
          </cell>
          <cell r="B21" t="str">
            <v>SX-4600WAN Wireless LAN Adaptor</v>
          </cell>
          <cell r="C21">
            <v>260</v>
          </cell>
        </row>
        <row r="22">
          <cell r="A22" t="str">
            <v>DD1630</v>
          </cell>
          <cell r="B22" t="str">
            <v>SP-504 Fax Stamp Kit</v>
          </cell>
          <cell r="C22">
            <v>52</v>
          </cell>
        </row>
        <row r="23">
          <cell r="A23" t="str">
            <v>7640014749</v>
          </cell>
          <cell r="B23" t="str">
            <v>ESP Power Filter Next Gen PCS 120V/15A</v>
          </cell>
          <cell r="C23">
            <v>233</v>
          </cell>
        </row>
        <row r="24">
          <cell r="A24" t="str">
            <v>7640013463</v>
          </cell>
          <cell r="B24" t="str">
            <v>CS-1 Convenience Stapler</v>
          </cell>
          <cell r="C24">
            <v>317</v>
          </cell>
        </row>
        <row r="25">
          <cell r="A25" t="str">
            <v>7640015039</v>
          </cell>
          <cell r="B25" t="str">
            <v>Mechanical Page Counter</v>
          </cell>
          <cell r="C25">
            <v>42</v>
          </cell>
        </row>
        <row r="26">
          <cell r="A26" t="str">
            <v>DD25EF</v>
          </cell>
          <cell r="B26" t="str">
            <v>bizhub 25e French Overlay Kit</v>
          </cell>
          <cell r="C26">
            <v>35</v>
          </cell>
        </row>
        <row r="27">
          <cell r="A27" t="str">
            <v>DD25ES</v>
          </cell>
          <cell r="B27" t="str">
            <v>bizhub 25e Spanish Overlay Kit</v>
          </cell>
          <cell r="C27">
            <v>35</v>
          </cell>
        </row>
        <row r="28">
          <cell r="A28">
            <v>0</v>
          </cell>
          <cell r="B28">
            <v>0</v>
          </cell>
          <cell r="C28">
            <v>0</v>
          </cell>
        </row>
        <row r="29">
          <cell r="A29">
            <v>0</v>
          </cell>
          <cell r="B29">
            <v>0</v>
          </cell>
          <cell r="C29">
            <v>0</v>
          </cell>
        </row>
        <row r="30">
          <cell r="A30" t="str">
            <v>A6VF011</v>
          </cell>
          <cell r="B30" t="str">
            <v>bizhub 4050</v>
          </cell>
          <cell r="C30">
            <v>3499</v>
          </cell>
        </row>
        <row r="31">
          <cell r="A31" t="str">
            <v>Optional Accessories</v>
          </cell>
          <cell r="B31">
            <v>0</v>
          </cell>
          <cell r="C31">
            <v>0</v>
          </cell>
        </row>
        <row r="32">
          <cell r="A32" t="str">
            <v>PAPER SUPPLY OPTIONS:</v>
          </cell>
          <cell r="B32">
            <v>0</v>
          </cell>
          <cell r="C32">
            <v>0</v>
          </cell>
        </row>
        <row r="33">
          <cell r="A33" t="str">
            <v>A63Y0Y1</v>
          </cell>
          <cell r="B33" t="str">
            <v>PF-P11 Cassette 250P</v>
          </cell>
          <cell r="C33">
            <v>166</v>
          </cell>
        </row>
        <row r="34">
          <cell r="A34" t="str">
            <v>A6440Y1</v>
          </cell>
          <cell r="B34" t="str">
            <v>PF-P12 Cassette 550P</v>
          </cell>
          <cell r="C34">
            <v>256</v>
          </cell>
        </row>
        <row r="35">
          <cell r="A35" t="str">
            <v>9967002761</v>
          </cell>
          <cell r="B35" t="str">
            <v>DK-P02 Copy Desk</v>
          </cell>
          <cell r="C35">
            <v>299</v>
          </cell>
        </row>
        <row r="36">
          <cell r="A36" t="str">
            <v>OUTPUT OPTIONS:</v>
          </cell>
          <cell r="B36">
            <v>0</v>
          </cell>
          <cell r="C36">
            <v>0</v>
          </cell>
        </row>
        <row r="37">
          <cell r="A37" t="str">
            <v>A6VHWY1</v>
          </cell>
          <cell r="B37" t="str">
            <v>Finisher FS-P02</v>
          </cell>
          <cell r="C37">
            <v>319</v>
          </cell>
        </row>
        <row r="38">
          <cell r="A38" t="str">
            <v>FAX OPTIONS:</v>
          </cell>
          <cell r="B38">
            <v>0</v>
          </cell>
          <cell r="C38">
            <v>0</v>
          </cell>
        </row>
        <row r="39">
          <cell r="A39" t="str">
            <v>A6EDW11</v>
          </cell>
          <cell r="B39" t="str">
            <v>FK-512 Fax Kit</v>
          </cell>
          <cell r="C39">
            <v>239</v>
          </cell>
        </row>
        <row r="40">
          <cell r="A40" t="str">
            <v>A6VGWY1</v>
          </cell>
          <cell r="B40" t="str">
            <v>Mount Kit MK-P03</v>
          </cell>
          <cell r="C40">
            <v>68</v>
          </cell>
        </row>
        <row r="41">
          <cell r="A41" t="str">
            <v>i-Option ACCESSORIES:</v>
          </cell>
          <cell r="B41">
            <v>0</v>
          </cell>
          <cell r="C41">
            <v>0</v>
          </cell>
        </row>
        <row r="42">
          <cell r="A42" t="str">
            <v>A0PD019</v>
          </cell>
          <cell r="B42" t="str">
            <v>LK-106 i-Option License Kit (Bar Code Font)</v>
          </cell>
          <cell r="C42">
            <v>821</v>
          </cell>
        </row>
        <row r="43">
          <cell r="A43" t="str">
            <v>A0PD01F</v>
          </cell>
          <cell r="B43" t="str">
            <v>LK-107 i-Option License Kit (Unicode Font)</v>
          </cell>
          <cell r="C43">
            <v>690</v>
          </cell>
        </row>
        <row r="44">
          <cell r="A44" t="str">
            <v>A0PD01G</v>
          </cell>
          <cell r="B44" t="str">
            <v>LK-108 i-Option License Kit (OCR Font)</v>
          </cell>
          <cell r="C44">
            <v>191</v>
          </cell>
        </row>
        <row r="45">
          <cell r="A45" t="str">
            <v>A0PD01K</v>
          </cell>
          <cell r="B45" t="str">
            <v>LK-111 i-Option License Kit (ThinPrint Client Support)</v>
          </cell>
          <cell r="C45">
            <v>250</v>
          </cell>
        </row>
        <row r="46">
          <cell r="A46" t="str">
            <v>MISC. OPTIONS:</v>
          </cell>
          <cell r="B46">
            <v>0</v>
          </cell>
          <cell r="C46">
            <v>0</v>
          </cell>
        </row>
        <row r="47">
          <cell r="A47" t="str">
            <v>A6XYWY1</v>
          </cell>
          <cell r="B47" t="str">
            <v>Keypad KP-P01</v>
          </cell>
          <cell r="C47">
            <v>212</v>
          </cell>
        </row>
        <row r="48">
          <cell r="A48" t="str">
            <v>7640008394</v>
          </cell>
          <cell r="B48" t="str">
            <v>AU-202H iClass Card Reader</v>
          </cell>
          <cell r="C48">
            <v>476</v>
          </cell>
        </row>
        <row r="49">
          <cell r="A49" t="str">
            <v>7640005064</v>
          </cell>
          <cell r="B49" t="str">
            <v>AU-201H HID Proximity Card Authentication Unit</v>
          </cell>
          <cell r="C49">
            <v>423</v>
          </cell>
        </row>
        <row r="50">
          <cell r="A50" t="str">
            <v>7640005261</v>
          </cell>
          <cell r="B50" t="str">
            <v>HID Proximity Cards - 10 pack</v>
          </cell>
          <cell r="C50">
            <v>69</v>
          </cell>
        </row>
        <row r="51">
          <cell r="A51" t="str">
            <v>7640013463</v>
          </cell>
          <cell r="B51" t="str">
            <v>CS-1 Convenience Stapler</v>
          </cell>
          <cell r="C51">
            <v>317</v>
          </cell>
        </row>
        <row r="52">
          <cell r="A52" t="str">
            <v>PROFESSIONAL SERVICES:</v>
          </cell>
          <cell r="B52">
            <v>0</v>
          </cell>
          <cell r="C52">
            <v>0</v>
          </cell>
        </row>
        <row r="53">
          <cell r="A53" t="str">
            <v>7640018745</v>
          </cell>
          <cell r="B53" t="str">
            <v>bizhub SECURE Small MFP</v>
          </cell>
          <cell r="C53">
            <v>100</v>
          </cell>
        </row>
        <row r="54">
          <cell r="A54">
            <v>0</v>
          </cell>
          <cell r="B54">
            <v>0</v>
          </cell>
          <cell r="C54">
            <v>0</v>
          </cell>
        </row>
        <row r="55">
          <cell r="A55" t="str">
            <v>A6F7011</v>
          </cell>
          <cell r="B55" t="str">
            <v>bizhub 4750</v>
          </cell>
          <cell r="C55">
            <v>4199</v>
          </cell>
        </row>
        <row r="56">
          <cell r="A56" t="str">
            <v>Optional Accessories</v>
          </cell>
          <cell r="B56">
            <v>0</v>
          </cell>
          <cell r="C56">
            <v>0</v>
          </cell>
        </row>
        <row r="57">
          <cell r="A57" t="str">
            <v>PAPER SUPPLY OPTIONS:</v>
          </cell>
          <cell r="B57">
            <v>0</v>
          </cell>
          <cell r="C57">
            <v>0</v>
          </cell>
        </row>
        <row r="58">
          <cell r="A58" t="str">
            <v>A63Y0Y1</v>
          </cell>
          <cell r="B58" t="str">
            <v>PF-P11 Cassette 250P</v>
          </cell>
          <cell r="C58">
            <v>166</v>
          </cell>
        </row>
        <row r="59">
          <cell r="A59" t="str">
            <v>A6440Y1</v>
          </cell>
          <cell r="B59" t="str">
            <v>PF-P12 Cassette 550P</v>
          </cell>
          <cell r="C59">
            <v>256</v>
          </cell>
        </row>
        <row r="60">
          <cell r="A60" t="str">
            <v>9967002761</v>
          </cell>
          <cell r="B60" t="str">
            <v>DK-P02 Copy Desk</v>
          </cell>
          <cell r="C60">
            <v>299</v>
          </cell>
        </row>
        <row r="61">
          <cell r="A61" t="str">
            <v>OUTPUT OPTIONS:</v>
          </cell>
          <cell r="B61">
            <v>0</v>
          </cell>
          <cell r="C61">
            <v>0</v>
          </cell>
        </row>
        <row r="62">
          <cell r="A62" t="str">
            <v>A6VHWY1</v>
          </cell>
          <cell r="B62" t="str">
            <v>Finisher FS-P02</v>
          </cell>
          <cell r="C62">
            <v>319</v>
          </cell>
        </row>
        <row r="63">
          <cell r="A63" t="str">
            <v>FAX OPTIONS:</v>
          </cell>
          <cell r="B63">
            <v>0</v>
          </cell>
          <cell r="C63">
            <v>0</v>
          </cell>
        </row>
        <row r="64">
          <cell r="A64" t="str">
            <v>A6EDW11</v>
          </cell>
          <cell r="B64" t="str">
            <v>FK-512 Fax Kit</v>
          </cell>
          <cell r="C64">
            <v>239</v>
          </cell>
        </row>
        <row r="65">
          <cell r="A65" t="str">
            <v>A6VGWY1</v>
          </cell>
          <cell r="B65" t="str">
            <v>Mount Kit MK-P03</v>
          </cell>
          <cell r="C65">
            <v>68</v>
          </cell>
        </row>
        <row r="66">
          <cell r="A66" t="str">
            <v>i-Option ACCESSORIES:</v>
          </cell>
          <cell r="B66">
            <v>0</v>
          </cell>
          <cell r="C66">
            <v>0</v>
          </cell>
        </row>
        <row r="67">
          <cell r="A67" t="str">
            <v>A0PD019</v>
          </cell>
          <cell r="B67" t="str">
            <v>LK-106 i-Option License Kit (Bar Code Font)</v>
          </cell>
          <cell r="C67">
            <v>821</v>
          </cell>
        </row>
        <row r="68">
          <cell r="A68" t="str">
            <v>A0PD01F</v>
          </cell>
          <cell r="B68" t="str">
            <v>LK-107 i-Option License Kit (Unicode Font)</v>
          </cell>
          <cell r="C68">
            <v>690</v>
          </cell>
        </row>
        <row r="69">
          <cell r="A69" t="str">
            <v>A0PD01G</v>
          </cell>
          <cell r="B69" t="str">
            <v>LK-108 i-Option License Kit (OCR Font)</v>
          </cell>
          <cell r="C69">
            <v>191</v>
          </cell>
        </row>
        <row r="70">
          <cell r="A70" t="str">
            <v>A0PD01K</v>
          </cell>
          <cell r="B70" t="str">
            <v>LK-111 i-Option License Kit (ThinPrint Client Support)</v>
          </cell>
          <cell r="C70">
            <v>250</v>
          </cell>
        </row>
        <row r="71">
          <cell r="A71" t="str">
            <v>MISC. OPTIONS:</v>
          </cell>
          <cell r="B71">
            <v>0</v>
          </cell>
          <cell r="C71">
            <v>0</v>
          </cell>
        </row>
        <row r="72">
          <cell r="A72" t="str">
            <v>A6XYWY1</v>
          </cell>
          <cell r="B72" t="str">
            <v>Keypad KP-P01</v>
          </cell>
          <cell r="C72">
            <v>212</v>
          </cell>
        </row>
        <row r="73">
          <cell r="A73" t="str">
            <v>7640008394</v>
          </cell>
          <cell r="B73" t="str">
            <v>AU-202H iClass Card Reader</v>
          </cell>
          <cell r="C73">
            <v>476</v>
          </cell>
        </row>
        <row r="74">
          <cell r="A74" t="str">
            <v>7640005064</v>
          </cell>
          <cell r="B74" t="str">
            <v>AU-201H HID Proximity Card Authentication Unit</v>
          </cell>
          <cell r="C74">
            <v>423</v>
          </cell>
        </row>
        <row r="75">
          <cell r="A75" t="str">
            <v>7640005261</v>
          </cell>
          <cell r="B75" t="str">
            <v>HID Proximity Cards - 10 pack</v>
          </cell>
          <cell r="C75">
            <v>69</v>
          </cell>
        </row>
        <row r="76">
          <cell r="A76" t="str">
            <v>7640013463</v>
          </cell>
          <cell r="B76" t="str">
            <v>CS-1 Convenience Stapler</v>
          </cell>
          <cell r="C76">
            <v>317</v>
          </cell>
        </row>
        <row r="77">
          <cell r="A77" t="str">
            <v>PROFESSIONAL SERVICES:</v>
          </cell>
          <cell r="B77">
            <v>0</v>
          </cell>
          <cell r="C77">
            <v>0</v>
          </cell>
        </row>
        <row r="78">
          <cell r="A78" t="str">
            <v>7640018745</v>
          </cell>
          <cell r="B78" t="str">
            <v>bizhub SECURE Small MFP</v>
          </cell>
          <cell r="C78">
            <v>100</v>
          </cell>
        </row>
        <row r="79">
          <cell r="A79">
            <v>0</v>
          </cell>
          <cell r="B79">
            <v>0</v>
          </cell>
          <cell r="C79">
            <v>0</v>
          </cell>
        </row>
        <row r="80">
          <cell r="A80" t="str">
            <v>A3PE011</v>
          </cell>
          <cell r="B80" t="str">
            <v>bizhub 215 -  Includes 250-sheet Paper Capacity, Mechanical Counter, 128 MB Standard Memory, USB 2.0 Interface (Scan-to-USB), Developer and Drum</v>
          </cell>
          <cell r="C80">
            <v>2970</v>
          </cell>
        </row>
        <row r="81">
          <cell r="A81" t="str">
            <v>Optional Accessories</v>
          </cell>
          <cell r="B81">
            <v>0</v>
          </cell>
          <cell r="C81">
            <v>0</v>
          </cell>
        </row>
        <row r="82">
          <cell r="A82" t="str">
            <v>A3JHWY1</v>
          </cell>
          <cell r="B82" t="str">
            <v>DF-625 ADFR</v>
          </cell>
          <cell r="C82">
            <v>1392</v>
          </cell>
        </row>
        <row r="83">
          <cell r="A83" t="str">
            <v>A4M4WY1</v>
          </cell>
          <cell r="B83" t="str">
            <v>OC-512 Original Cover</v>
          </cell>
          <cell r="C83">
            <v>87</v>
          </cell>
        </row>
        <row r="84">
          <cell r="A84" t="str">
            <v>A3PFWY1</v>
          </cell>
          <cell r="B84" t="str">
            <v>PF-507 Paper Cassette (250-Sheet)</v>
          </cell>
          <cell r="C84">
            <v>226</v>
          </cell>
        </row>
        <row r="85">
          <cell r="A85" t="str">
            <v>A3PHWY1</v>
          </cell>
          <cell r="B85" t="str">
            <v>MB-505 Bypass Tray (100-Sheet)</v>
          </cell>
          <cell r="C85">
            <v>153</v>
          </cell>
        </row>
        <row r="86">
          <cell r="A86" t="str">
            <v>A3PGWY1</v>
          </cell>
          <cell r="B86" t="str">
            <v>AD-509 Automatic Duplex Unit</v>
          </cell>
          <cell r="C86">
            <v>210</v>
          </cell>
        </row>
        <row r="87">
          <cell r="A87" t="str">
            <v>7640017023</v>
          </cell>
          <cell r="B87" t="str">
            <v>DK-707 Copy Desk</v>
          </cell>
          <cell r="C87">
            <v>195</v>
          </cell>
        </row>
        <row r="88">
          <cell r="A88" t="str">
            <v>7640017520</v>
          </cell>
          <cell r="B88" t="str">
            <v>DK-708 Small Copy Desk</v>
          </cell>
          <cell r="C88">
            <v>160</v>
          </cell>
        </row>
        <row r="89">
          <cell r="A89" t="str">
            <v>A4M1WY1</v>
          </cell>
          <cell r="B89" t="str">
            <v>IC-209 Image Controller PCL/NIC</v>
          </cell>
          <cell r="C89">
            <v>630</v>
          </cell>
        </row>
        <row r="90">
          <cell r="A90" t="str">
            <v>A4M3WY1</v>
          </cell>
          <cell r="B90" t="str">
            <v>NC-504 Network Card - NIC</v>
          </cell>
          <cell r="C90">
            <v>405</v>
          </cell>
        </row>
        <row r="91">
          <cell r="A91" t="str">
            <v>A4M2011</v>
          </cell>
          <cell r="B91" t="str">
            <v>FK-510 Fax Kit</v>
          </cell>
          <cell r="C91">
            <v>672</v>
          </cell>
        </row>
        <row r="92">
          <cell r="A92" t="str">
            <v>A4M6WY1</v>
          </cell>
          <cell r="B92" t="str">
            <v>MK-733 Panel Extension</v>
          </cell>
          <cell r="C92">
            <v>94</v>
          </cell>
        </row>
        <row r="93">
          <cell r="A93" t="str">
            <v>7640013463</v>
          </cell>
          <cell r="B93" t="str">
            <v>CS-1 Convenience Stapler</v>
          </cell>
          <cell r="C93">
            <v>317</v>
          </cell>
        </row>
        <row r="94">
          <cell r="A94" t="str">
            <v>XGPCS15DKM</v>
          </cell>
          <cell r="B94" t="str">
            <v>ESP Diagnostic Power Filter 120V/15A</v>
          </cell>
          <cell r="C94">
            <v>275</v>
          </cell>
        </row>
        <row r="95">
          <cell r="A95" t="str">
            <v xml:space="preserve">PROFESSIONAL SERVICES: </v>
          </cell>
          <cell r="B95">
            <v>0</v>
          </cell>
          <cell r="C95">
            <v>0</v>
          </cell>
        </row>
        <row r="96">
          <cell r="A96" t="str">
            <v>7640015657</v>
          </cell>
          <cell r="B96" t="str">
            <v>bizhub SECURE</v>
          </cell>
          <cell r="C96">
            <v>250</v>
          </cell>
        </row>
        <row r="97">
          <cell r="A97" t="str">
            <v/>
          </cell>
          <cell r="B97">
            <v>0</v>
          </cell>
          <cell r="C97">
            <v>0</v>
          </cell>
        </row>
        <row r="98">
          <cell r="A98">
            <v>0</v>
          </cell>
          <cell r="B98">
            <v>0</v>
          </cell>
          <cell r="C98">
            <v>0</v>
          </cell>
        </row>
        <row r="99">
          <cell r="A99" t="str">
            <v xml:space="preserve">A61H011 </v>
          </cell>
          <cell r="B99" t="str">
            <v>bizhub 224e - Includes PS, PCL &amp; XPS Controller, 2 GB Standard Memory, Duplex Unit, 250 GB HDD, USB Interfaces for Scan-to-USB Thumb Drive/Print-from-USB Thumb Drive, USB Local Printing, Optional Authentication Device Connection, Service USB Firmware Updates, Developer Unit, and Drum Unit</v>
          </cell>
          <cell r="C99">
            <v>6166</v>
          </cell>
        </row>
        <row r="100">
          <cell r="A100" t="str">
            <v xml:space="preserve">Document Handling Options: </v>
          </cell>
          <cell r="B100">
            <v>0</v>
          </cell>
          <cell r="C100">
            <v>0</v>
          </cell>
        </row>
        <row r="101">
          <cell r="A101" t="str">
            <v>A3CEWY1</v>
          </cell>
          <cell r="B101" t="str">
            <v>DF-701 Single Pass Dual Scan Document Feeder</v>
          </cell>
          <cell r="C101">
            <v>1802</v>
          </cell>
        </row>
        <row r="102">
          <cell r="A102" t="str">
            <v>A3PMWY1</v>
          </cell>
          <cell r="B102" t="str">
            <v>OC-511 Original Cover</v>
          </cell>
          <cell r="C102">
            <v>94</v>
          </cell>
        </row>
        <row r="103">
          <cell r="A103" t="str">
            <v>A3CFWY1</v>
          </cell>
          <cell r="B103" t="str">
            <v>DF-624 Reverse Automatic Document Feeder</v>
          </cell>
          <cell r="C103">
            <v>1631</v>
          </cell>
        </row>
        <row r="104">
          <cell r="A104" t="str">
            <v xml:space="preserve">Paper Supply Options: </v>
          </cell>
          <cell r="B104">
            <v>0</v>
          </cell>
          <cell r="C104">
            <v>0</v>
          </cell>
        </row>
        <row r="105">
          <cell r="A105" t="str">
            <v>A2XM013</v>
          </cell>
          <cell r="B105" t="str">
            <v>PC-410 Large Capacity Cassette</v>
          </cell>
          <cell r="C105">
            <v>1402</v>
          </cell>
        </row>
        <row r="106">
          <cell r="A106" t="str">
            <v>A2XMWY1</v>
          </cell>
          <cell r="B106" t="str">
            <v>PC-110 Paper Feed Cabinet</v>
          </cell>
          <cell r="C106">
            <v>913</v>
          </cell>
        </row>
        <row r="107">
          <cell r="A107" t="str">
            <v>A2XMWY2</v>
          </cell>
          <cell r="B107" t="str">
            <v>PC-210 2-way Paper Feed Cabinet</v>
          </cell>
          <cell r="C107">
            <v>1191</v>
          </cell>
        </row>
        <row r="108">
          <cell r="A108" t="str">
            <v>7640018680</v>
          </cell>
          <cell r="B108" t="str">
            <v>DK-510 Enhanced Copy Desk</v>
          </cell>
          <cell r="C108">
            <v>222</v>
          </cell>
        </row>
        <row r="109">
          <cell r="A109" t="str">
            <v xml:space="preserve">Output Options: </v>
          </cell>
          <cell r="B109">
            <v>0</v>
          </cell>
          <cell r="C109">
            <v>0</v>
          </cell>
        </row>
        <row r="110">
          <cell r="A110" t="str">
            <v>A2YUWY1</v>
          </cell>
          <cell r="B110" t="str">
            <v>FS-533 Inner Finisher</v>
          </cell>
          <cell r="C110">
            <v>1553</v>
          </cell>
        </row>
        <row r="111">
          <cell r="A111" t="str">
            <v>A2YVWY1</v>
          </cell>
          <cell r="B111" t="str">
            <v>JS-506 Job Separator Tray</v>
          </cell>
          <cell r="C111">
            <v>500</v>
          </cell>
        </row>
        <row r="112">
          <cell r="A112" t="str">
            <v>A3EPWY1</v>
          </cell>
          <cell r="B112" t="str">
            <v>FS-534 50-Sheet Stapling Finisher</v>
          </cell>
          <cell r="C112">
            <v>1855</v>
          </cell>
        </row>
        <row r="113">
          <cell r="A113" t="str">
            <v>A3EPWYA</v>
          </cell>
          <cell r="B113" t="str">
            <v>FS-534 + SD-511 50-Sheet Stapling Finisher+Saddle Stitcher Kit</v>
          </cell>
          <cell r="C113">
            <v>3305</v>
          </cell>
        </row>
        <row r="114">
          <cell r="A114" t="str">
            <v>A3ETW11</v>
          </cell>
          <cell r="B114" t="str">
            <v>PK-520 Punch Kit (2/3 Holes) for FS-534</v>
          </cell>
          <cell r="C114">
            <v>586</v>
          </cell>
        </row>
        <row r="115">
          <cell r="A115" t="str">
            <v>A3EUW11</v>
          </cell>
          <cell r="B115" t="str">
            <v>PK-519 2/3 Hole Punch Unit (FS-533)</v>
          </cell>
          <cell r="C115">
            <v>585</v>
          </cell>
        </row>
        <row r="116">
          <cell r="A116" t="str">
            <v xml:space="preserve">Fax / Scan Options: </v>
          </cell>
          <cell r="B116">
            <v>0</v>
          </cell>
          <cell r="C116">
            <v>0</v>
          </cell>
        </row>
        <row r="117">
          <cell r="A117">
            <v>4614506</v>
          </cell>
          <cell r="B117" t="str">
            <v>Fax Stamp Unit</v>
          </cell>
          <cell r="C117">
            <v>48</v>
          </cell>
        </row>
        <row r="118">
          <cell r="A118">
            <v>4614511</v>
          </cell>
          <cell r="B118" t="str">
            <v>Spare Tx Marker Stamp 2</v>
          </cell>
          <cell r="C118">
            <v>27</v>
          </cell>
        </row>
        <row r="119">
          <cell r="A119" t="str">
            <v>A22M011</v>
          </cell>
          <cell r="B119" t="str">
            <v>Fax Kit (Fax Line 3, Fax Line 4)</v>
          </cell>
          <cell r="C119">
            <v>1068</v>
          </cell>
        </row>
        <row r="120">
          <cell r="A120" t="str">
            <v>A4MF012</v>
          </cell>
          <cell r="B120" t="str">
            <v>FK-511 Fax Kit</v>
          </cell>
          <cell r="C120">
            <v>1070</v>
          </cell>
        </row>
        <row r="121">
          <cell r="A121" t="str">
            <v>A4NPWY1</v>
          </cell>
          <cell r="B121" t="str">
            <v>Fax Mount Kit (for FK-508)</v>
          </cell>
          <cell r="C121">
            <v>120</v>
          </cell>
        </row>
        <row r="122">
          <cell r="A122" t="str">
            <v xml:space="preserve">Security Options: </v>
          </cell>
          <cell r="B122">
            <v>0</v>
          </cell>
          <cell r="C122">
            <v>0</v>
          </cell>
        </row>
        <row r="123">
          <cell r="A123">
            <v>7640005064</v>
          </cell>
          <cell r="B123" t="str">
            <v>AU-201H HID Proximity Card Authentication Unit</v>
          </cell>
          <cell r="C123">
            <v>423</v>
          </cell>
        </row>
        <row r="124">
          <cell r="A124">
            <v>7640005261</v>
          </cell>
          <cell r="B124" t="str">
            <v>HID Proximity Card 10 Pack</v>
          </cell>
          <cell r="C124">
            <v>69</v>
          </cell>
        </row>
        <row r="125">
          <cell r="A125">
            <v>7640008394</v>
          </cell>
          <cell r="B125" t="str">
            <v>AU-202H HID iClass Card Authentication Unit</v>
          </cell>
          <cell r="C125">
            <v>476</v>
          </cell>
        </row>
        <row r="126">
          <cell r="A126">
            <v>7640013468</v>
          </cell>
          <cell r="B126" t="str">
            <v>AU-204H Mag Stripe Card Reader</v>
          </cell>
          <cell r="C126">
            <v>423</v>
          </cell>
        </row>
        <row r="127">
          <cell r="A127" t="str">
            <v xml:space="preserve">Misc. Options: </v>
          </cell>
          <cell r="B127">
            <v>0</v>
          </cell>
          <cell r="C127">
            <v>0</v>
          </cell>
        </row>
        <row r="128">
          <cell r="A128">
            <v>7640006869</v>
          </cell>
          <cell r="B128" t="str">
            <v>External Keyboard</v>
          </cell>
          <cell r="C128">
            <v>223</v>
          </cell>
        </row>
        <row r="129">
          <cell r="A129" t="str">
            <v>A0PD016</v>
          </cell>
          <cell r="B129" t="str">
            <v>LK-102 V3 - i-Option License Kit (Enhanced PDF Encryption, PDF/A, Linearized PDF)</v>
          </cell>
          <cell r="C129">
            <v>1100</v>
          </cell>
        </row>
        <row r="130">
          <cell r="A130" t="str">
            <v>A0PD017</v>
          </cell>
          <cell r="B130" t="str">
            <v>LK-104 v3 - i-Option License Kit (Voice Guidance)</v>
          </cell>
          <cell r="C130">
            <v>785</v>
          </cell>
        </row>
        <row r="131">
          <cell r="A131" t="str">
            <v>A0PD018</v>
          </cell>
          <cell r="B131" t="str">
            <v>LK-105 v3 - i-Option License Kit (Searchable PDF)</v>
          </cell>
          <cell r="C131">
            <v>668</v>
          </cell>
        </row>
        <row r="132">
          <cell r="A132" t="str">
            <v>A0PD019</v>
          </cell>
          <cell r="B132" t="str">
            <v>LK-106 - i-Option License Kit (Bar Code Font)</v>
          </cell>
          <cell r="C132">
            <v>821</v>
          </cell>
        </row>
        <row r="133">
          <cell r="A133" t="str">
            <v>A0PD01F</v>
          </cell>
          <cell r="B133" t="str">
            <v>LK-107 - i-Option License Kit (Unicode)</v>
          </cell>
          <cell r="C133">
            <v>690</v>
          </cell>
        </row>
        <row r="134">
          <cell r="A134" t="str">
            <v>A0PD01G</v>
          </cell>
          <cell r="B134" t="str">
            <v>LK-108 - i-Option License Kit (OCR Font)</v>
          </cell>
          <cell r="C134">
            <v>191</v>
          </cell>
        </row>
        <row r="135">
          <cell r="A135" t="str">
            <v>A0PD01H</v>
          </cell>
          <cell r="B135" t="str">
            <v>LK-101 v3 - i-Option License Kit (Web Browser)</v>
          </cell>
          <cell r="C135">
            <v>53</v>
          </cell>
        </row>
        <row r="136">
          <cell r="A136" t="str">
            <v>A0PD01J</v>
          </cell>
          <cell r="B136" t="str">
            <v>LK-110 - i-Option License kit (OOXML File Conversion, Enhanced Image Data)</v>
          </cell>
          <cell r="C136">
            <v>1500</v>
          </cell>
        </row>
        <row r="137">
          <cell r="A137" t="str">
            <v>A0PD01K</v>
          </cell>
          <cell r="B137" t="str">
            <v>LK-111 - i-Option License Kit (ThinPrint Client Support)</v>
          </cell>
          <cell r="C137">
            <v>250</v>
          </cell>
        </row>
        <row r="138">
          <cell r="A138" t="str">
            <v>A4MHWY1</v>
          </cell>
          <cell r="B138" t="str">
            <v>UK-204 - 2 GB Memory Upgrade Kit (for i-Option)</v>
          </cell>
          <cell r="C138">
            <v>290</v>
          </cell>
        </row>
        <row r="139">
          <cell r="A139" t="str">
            <v>A0W4WY2</v>
          </cell>
          <cell r="B139" t="str">
            <v>WT-506 - Working Table</v>
          </cell>
          <cell r="C139">
            <v>112</v>
          </cell>
        </row>
        <row r="140">
          <cell r="A140" t="str">
            <v>A0X9WY1</v>
          </cell>
          <cell r="B140" t="str">
            <v>AU-102 - Biometric Authentication Unit</v>
          </cell>
          <cell r="C140">
            <v>947</v>
          </cell>
        </row>
        <row r="141">
          <cell r="A141" t="str">
            <v>A161192000</v>
          </cell>
          <cell r="B141" t="str">
            <v>INFO-Palette Stylus PenStylus Pen for INFO-Palette Series</v>
          </cell>
          <cell r="C141">
            <v>30</v>
          </cell>
        </row>
        <row r="142">
          <cell r="A142" t="str">
            <v>A4MJWY2</v>
          </cell>
          <cell r="B142" t="str">
            <v>EK-606 - USB Host Board (Local Interface Kit)</v>
          </cell>
          <cell r="C142">
            <v>200</v>
          </cell>
        </row>
        <row r="143">
          <cell r="A143" t="str">
            <v>A4MKWY2</v>
          </cell>
          <cell r="B143" t="str">
            <v>EK-607 - USB Host Board (Local Interface Kit) with Bluetooth Printing Support</v>
          </cell>
          <cell r="C143">
            <v>279</v>
          </cell>
        </row>
        <row r="144">
          <cell r="A144" t="str">
            <v>A4MMWY1</v>
          </cell>
          <cell r="B144" t="str">
            <v>SC-508 - Copy Guard Kit</v>
          </cell>
          <cell r="C144">
            <v>1225</v>
          </cell>
        </row>
        <row r="145">
          <cell r="A145" t="str">
            <v>A4NMWY1</v>
          </cell>
          <cell r="B145" t="str">
            <v>MK-735 - Mount Kit (Internally mounts AU-201H or AU-202H Card Authentication Unit)</v>
          </cell>
          <cell r="C145">
            <v>60</v>
          </cell>
        </row>
        <row r="146">
          <cell r="A146" t="str">
            <v>XGPCS15DKM</v>
          </cell>
          <cell r="B146" t="str">
            <v>ESP Diagnostic Power Filter 120V/15A</v>
          </cell>
          <cell r="C146">
            <v>275</v>
          </cell>
        </row>
        <row r="147">
          <cell r="A147" t="str">
            <v>A4NRWY1</v>
          </cell>
          <cell r="B147" t="str">
            <v>KH-102 - Keyboard Holder (for External Keyboard)</v>
          </cell>
          <cell r="C147">
            <v>123</v>
          </cell>
        </row>
        <row r="148">
          <cell r="A148" t="str">
            <v>A64TWY1</v>
          </cell>
          <cell r="B148" t="str">
            <v>KP-101 10-Key Pad</v>
          </cell>
          <cell r="C148">
            <v>126</v>
          </cell>
        </row>
        <row r="149">
          <cell r="A149">
            <v>7640013463</v>
          </cell>
          <cell r="B149" t="str">
            <v>CS-1 Convenience Stapler</v>
          </cell>
          <cell r="C149">
            <v>317</v>
          </cell>
        </row>
        <row r="150">
          <cell r="A150" t="str">
            <v>A4MEWY1</v>
          </cell>
          <cell r="B150" t="str">
            <v>MK-730 Banner Paper Guide</v>
          </cell>
          <cell r="C150">
            <v>846</v>
          </cell>
        </row>
        <row r="151">
          <cell r="A151" t="str">
            <v xml:space="preserve">PROFESSIONAL SERVICES: </v>
          </cell>
          <cell r="B151">
            <v>0</v>
          </cell>
          <cell r="C151">
            <v>0</v>
          </cell>
        </row>
        <row r="152">
          <cell r="A152" t="str">
            <v>7640015657</v>
          </cell>
          <cell r="B152" t="str">
            <v>bizhub SECURE</v>
          </cell>
          <cell r="C152">
            <v>250</v>
          </cell>
        </row>
        <row r="153">
          <cell r="A153">
            <v>0</v>
          </cell>
          <cell r="B153">
            <v>0</v>
          </cell>
          <cell r="C153">
            <v>0</v>
          </cell>
        </row>
        <row r="154">
          <cell r="A154" t="str">
            <v>A61G011</v>
          </cell>
          <cell r="B154" t="str">
            <v>bizhub 284e -Includes PS, PCL &amp; XPS Controller, 2 GB Standard Memory, Duplex Unit, 250 GB HDD, USB Interfaces for Scan-to-USB Thumb Drive/Print-from-USB Thumb Drive, USB Local Printing, Optional Authentication Device Connection, Service USB Firmware Updates, Developer Unit, and Drum Unit.</v>
          </cell>
          <cell r="C154">
            <v>7743</v>
          </cell>
        </row>
        <row r="155">
          <cell r="A155" t="str">
            <v xml:space="preserve">Document Handling Options: </v>
          </cell>
          <cell r="B155">
            <v>0</v>
          </cell>
          <cell r="C155">
            <v>0</v>
          </cell>
        </row>
        <row r="156">
          <cell r="A156" t="str">
            <v>A3CEWY1</v>
          </cell>
          <cell r="B156" t="str">
            <v>DF-701 Single Pass Dual Scan Document Feeder</v>
          </cell>
          <cell r="C156">
            <v>1802</v>
          </cell>
        </row>
        <row r="157">
          <cell r="A157" t="str">
            <v>A3PMWY1</v>
          </cell>
          <cell r="B157" t="str">
            <v>OC-511 Original Cover</v>
          </cell>
          <cell r="C157">
            <v>94</v>
          </cell>
        </row>
        <row r="158">
          <cell r="A158" t="str">
            <v>A3CFWY1</v>
          </cell>
          <cell r="B158" t="str">
            <v>DF-624 Reverse Automatic Document Feeder</v>
          </cell>
          <cell r="C158">
            <v>1631</v>
          </cell>
        </row>
        <row r="159">
          <cell r="A159" t="str">
            <v xml:space="preserve">Paper Supply Options: </v>
          </cell>
          <cell r="B159">
            <v>0</v>
          </cell>
          <cell r="C159">
            <v>0</v>
          </cell>
        </row>
        <row r="160">
          <cell r="A160" t="str">
            <v>A2XM013</v>
          </cell>
          <cell r="B160" t="str">
            <v>PC-410 Large Capacity Cassette</v>
          </cell>
          <cell r="C160">
            <v>1402</v>
          </cell>
        </row>
        <row r="161">
          <cell r="A161" t="str">
            <v>A2XMWY1</v>
          </cell>
          <cell r="B161" t="str">
            <v>PC-110 Paper Feed Cabinet</v>
          </cell>
          <cell r="C161">
            <v>913</v>
          </cell>
        </row>
        <row r="162">
          <cell r="A162" t="str">
            <v>A2XMWY2</v>
          </cell>
          <cell r="B162" t="str">
            <v>PC-210 2-way Paper Feed Cabinet</v>
          </cell>
          <cell r="C162">
            <v>1191</v>
          </cell>
        </row>
        <row r="163">
          <cell r="A163" t="str">
            <v>7640018680</v>
          </cell>
          <cell r="B163" t="str">
            <v>DK-510 Enhanced Copy Desk</v>
          </cell>
          <cell r="C163">
            <v>222</v>
          </cell>
        </row>
        <row r="164">
          <cell r="A164" t="str">
            <v xml:space="preserve">Output Options: </v>
          </cell>
          <cell r="B164">
            <v>0</v>
          </cell>
          <cell r="C164">
            <v>0</v>
          </cell>
        </row>
        <row r="165">
          <cell r="A165" t="str">
            <v>A2YUWY1</v>
          </cell>
          <cell r="B165" t="str">
            <v>FS-533 Inner Finisher</v>
          </cell>
          <cell r="C165">
            <v>1553</v>
          </cell>
        </row>
        <row r="166">
          <cell r="A166" t="str">
            <v>A2YVWY1</v>
          </cell>
          <cell r="B166" t="str">
            <v>JS-506 Job Separator Tray</v>
          </cell>
          <cell r="C166">
            <v>500</v>
          </cell>
        </row>
        <row r="167">
          <cell r="A167" t="str">
            <v>A3EPWY1</v>
          </cell>
          <cell r="B167" t="str">
            <v>FS-534 50-Sheet Stapling Finisher</v>
          </cell>
          <cell r="C167">
            <v>1855</v>
          </cell>
        </row>
        <row r="168">
          <cell r="A168" t="str">
            <v>A3EPWYA</v>
          </cell>
          <cell r="B168" t="str">
            <v>FS-534 + SD-511 50-Sheet Stapling Finisher+Saddle Stitcher Kit</v>
          </cell>
          <cell r="C168">
            <v>3305</v>
          </cell>
        </row>
        <row r="169">
          <cell r="A169" t="str">
            <v>A3ETW11</v>
          </cell>
          <cell r="B169" t="str">
            <v>PK-520 Punch Kit (2/3 Holes) for FS-534</v>
          </cell>
          <cell r="C169">
            <v>586</v>
          </cell>
        </row>
        <row r="170">
          <cell r="A170" t="str">
            <v>A3EUW11</v>
          </cell>
          <cell r="B170" t="str">
            <v>PK-519 2/3 Hole Punch Unit (FS-533)</v>
          </cell>
          <cell r="C170">
            <v>585</v>
          </cell>
        </row>
        <row r="171">
          <cell r="A171" t="str">
            <v xml:space="preserve">Fax / Scan Options: </v>
          </cell>
          <cell r="B171">
            <v>0</v>
          </cell>
          <cell r="C171">
            <v>0</v>
          </cell>
        </row>
        <row r="172">
          <cell r="A172">
            <v>4614506</v>
          </cell>
          <cell r="B172" t="str">
            <v>Fax Stamp Unit</v>
          </cell>
          <cell r="C172">
            <v>48</v>
          </cell>
        </row>
        <row r="173">
          <cell r="A173">
            <v>4614511</v>
          </cell>
          <cell r="B173" t="str">
            <v>Spare Tx Marker Stamp 2</v>
          </cell>
          <cell r="C173">
            <v>27</v>
          </cell>
        </row>
        <row r="174">
          <cell r="A174" t="str">
            <v>A22M011</v>
          </cell>
          <cell r="B174" t="str">
            <v>Fax Kit (Fax Line 3, Fax Line 4)</v>
          </cell>
          <cell r="C174">
            <v>1068</v>
          </cell>
        </row>
        <row r="175">
          <cell r="A175" t="str">
            <v>A4MF012</v>
          </cell>
          <cell r="B175" t="str">
            <v>FK-511 Fax Kit</v>
          </cell>
          <cell r="C175">
            <v>1070</v>
          </cell>
        </row>
        <row r="176">
          <cell r="A176" t="str">
            <v>A4NPWY1</v>
          </cell>
          <cell r="B176" t="str">
            <v>Fax Mount Kit (for FK-508)</v>
          </cell>
          <cell r="C176">
            <v>120</v>
          </cell>
        </row>
        <row r="177">
          <cell r="A177" t="str">
            <v xml:space="preserve">Security Options: </v>
          </cell>
          <cell r="B177">
            <v>0</v>
          </cell>
          <cell r="C177">
            <v>0</v>
          </cell>
        </row>
        <row r="178">
          <cell r="A178">
            <v>7640005064</v>
          </cell>
          <cell r="B178" t="str">
            <v>AU-201H HID Proximity Card Authentication Unit</v>
          </cell>
          <cell r="C178">
            <v>423</v>
          </cell>
        </row>
        <row r="179">
          <cell r="A179">
            <v>7640005261</v>
          </cell>
          <cell r="B179" t="str">
            <v>HID Proximity Card 10 Pack</v>
          </cell>
          <cell r="C179">
            <v>69</v>
          </cell>
        </row>
        <row r="180">
          <cell r="A180">
            <v>7640008394</v>
          </cell>
          <cell r="B180" t="str">
            <v>AU-202H HID iClass Card Authentication Unit</v>
          </cell>
          <cell r="C180">
            <v>476</v>
          </cell>
        </row>
        <row r="181">
          <cell r="A181">
            <v>7640013468</v>
          </cell>
          <cell r="B181" t="str">
            <v>AU-204H Mag Stripe Card Reader</v>
          </cell>
          <cell r="C181">
            <v>423</v>
          </cell>
        </row>
        <row r="182">
          <cell r="A182" t="str">
            <v xml:space="preserve">Misc. Options: </v>
          </cell>
          <cell r="B182">
            <v>0</v>
          </cell>
          <cell r="C182">
            <v>0</v>
          </cell>
        </row>
        <row r="183">
          <cell r="A183">
            <v>7640006869</v>
          </cell>
          <cell r="B183" t="str">
            <v>External Keyboard</v>
          </cell>
          <cell r="C183">
            <v>223</v>
          </cell>
        </row>
        <row r="184">
          <cell r="A184" t="str">
            <v>A0PD016</v>
          </cell>
          <cell r="B184" t="str">
            <v>LK-102 V3 - i-Option License Kit (Enhanced PDF Encryption, PDF/A, Linearized PDF)</v>
          </cell>
          <cell r="C184">
            <v>1100</v>
          </cell>
        </row>
        <row r="185">
          <cell r="A185" t="str">
            <v>A0PD017</v>
          </cell>
          <cell r="B185" t="str">
            <v>LK-104 v3 - i-Option License Kit (Voice Guidance)</v>
          </cell>
          <cell r="C185">
            <v>785</v>
          </cell>
        </row>
        <row r="186">
          <cell r="A186" t="str">
            <v>A0PD018</v>
          </cell>
          <cell r="B186" t="str">
            <v>LK-105 v3 - i-Option License Kit (Searchable PDF)</v>
          </cell>
          <cell r="C186">
            <v>668</v>
          </cell>
        </row>
        <row r="187">
          <cell r="A187" t="str">
            <v>A0PD019</v>
          </cell>
          <cell r="B187" t="str">
            <v>LK-106 - i-Option License Kit (Bar Code Font)</v>
          </cell>
          <cell r="C187">
            <v>821</v>
          </cell>
        </row>
        <row r="188">
          <cell r="A188" t="str">
            <v>A0PD01F</v>
          </cell>
          <cell r="B188" t="str">
            <v>LK-107 - i-Option License Kit (Unicode)</v>
          </cell>
          <cell r="C188">
            <v>690</v>
          </cell>
        </row>
        <row r="189">
          <cell r="A189" t="str">
            <v>A0PD01G</v>
          </cell>
          <cell r="B189" t="str">
            <v>LK-108 - i-Option License Kit (OCR Font)</v>
          </cell>
          <cell r="C189">
            <v>191</v>
          </cell>
        </row>
        <row r="190">
          <cell r="A190" t="str">
            <v>A0PD01H</v>
          </cell>
          <cell r="B190" t="str">
            <v>LK-101 v3 - i-Option License Kit (Web Browser)</v>
          </cell>
          <cell r="C190">
            <v>53</v>
          </cell>
        </row>
        <row r="191">
          <cell r="A191" t="str">
            <v>A0PD01J</v>
          </cell>
          <cell r="B191" t="str">
            <v>LK-110 - i-Option License kit (OOXML File Conversion, Enhanced Image Data)</v>
          </cell>
          <cell r="C191">
            <v>1500</v>
          </cell>
        </row>
        <row r="192">
          <cell r="A192" t="str">
            <v>A0PD01K</v>
          </cell>
          <cell r="B192" t="str">
            <v>LK-111 - i-Option License Kit (ThinPrint Client Support)</v>
          </cell>
          <cell r="C192">
            <v>250</v>
          </cell>
        </row>
        <row r="193">
          <cell r="A193" t="str">
            <v>A4MHWY1</v>
          </cell>
          <cell r="B193" t="str">
            <v>UK-204 - 2 GB Memory Upgrade Kit (for i-Option)</v>
          </cell>
          <cell r="C193">
            <v>290</v>
          </cell>
        </row>
        <row r="194">
          <cell r="A194" t="str">
            <v>A0W4WY2</v>
          </cell>
          <cell r="B194" t="str">
            <v>WT-506 - Working Table</v>
          </cell>
          <cell r="C194">
            <v>112</v>
          </cell>
        </row>
        <row r="195">
          <cell r="A195" t="str">
            <v>A0X9WY1</v>
          </cell>
          <cell r="B195" t="str">
            <v>AU-102 - Biometric Authentication Unit</v>
          </cell>
          <cell r="C195">
            <v>947</v>
          </cell>
        </row>
        <row r="196">
          <cell r="A196" t="str">
            <v>A161192000</v>
          </cell>
          <cell r="B196" t="str">
            <v>INFO-Palette Stylus PenStylus Pen for INFO-Palette Series</v>
          </cell>
          <cell r="C196">
            <v>30</v>
          </cell>
        </row>
        <row r="197">
          <cell r="A197" t="str">
            <v>A4MJWY2</v>
          </cell>
          <cell r="B197" t="str">
            <v>EK-606 - USB Host Board (Local Interface Kit)</v>
          </cell>
          <cell r="C197">
            <v>200</v>
          </cell>
        </row>
        <row r="198">
          <cell r="A198" t="str">
            <v>A4MKWY2</v>
          </cell>
          <cell r="B198" t="str">
            <v>EK-607 - USB Host Board (Local Interface Kit) with Bluetooth Printing Support</v>
          </cell>
          <cell r="C198">
            <v>279</v>
          </cell>
        </row>
        <row r="199">
          <cell r="A199" t="str">
            <v>A4MMWY1</v>
          </cell>
          <cell r="B199" t="str">
            <v>SC-508 - Copy Guard Kit</v>
          </cell>
          <cell r="C199">
            <v>1225</v>
          </cell>
        </row>
        <row r="200">
          <cell r="A200" t="str">
            <v>A4NMWY1</v>
          </cell>
          <cell r="B200" t="str">
            <v>MK-735 - Mount Kit (Internally mounts AU-201H or AU-202H Card Authentication Unit)</v>
          </cell>
          <cell r="C200">
            <v>60</v>
          </cell>
        </row>
        <row r="201">
          <cell r="A201" t="str">
            <v>XGPCS15DKM</v>
          </cell>
          <cell r="B201" t="str">
            <v>ESP Diagnostic Power Filter 120V/15A</v>
          </cell>
          <cell r="C201">
            <v>275</v>
          </cell>
        </row>
        <row r="202">
          <cell r="A202" t="str">
            <v>A4NRWY1</v>
          </cell>
          <cell r="B202" t="str">
            <v>KH-102 - Keyboard Holder (for External Keyboard)</v>
          </cell>
          <cell r="C202">
            <v>123</v>
          </cell>
        </row>
        <row r="203">
          <cell r="A203" t="str">
            <v>A64TWY1</v>
          </cell>
          <cell r="B203" t="str">
            <v>KP-101 10-Key Pad</v>
          </cell>
          <cell r="C203">
            <v>126</v>
          </cell>
        </row>
        <row r="204">
          <cell r="A204">
            <v>7640013463</v>
          </cell>
          <cell r="B204" t="str">
            <v>CS-1 Convenience Stapler</v>
          </cell>
          <cell r="C204">
            <v>317</v>
          </cell>
        </row>
        <row r="205">
          <cell r="A205" t="str">
            <v>A4MEWY1</v>
          </cell>
          <cell r="B205" t="str">
            <v>MK-730 Banner Paper Guide</v>
          </cell>
          <cell r="C205">
            <v>846</v>
          </cell>
        </row>
        <row r="206">
          <cell r="A206" t="str">
            <v xml:space="preserve">PROFESSIONAL SERVICES: </v>
          </cell>
          <cell r="B206">
            <v>0</v>
          </cell>
          <cell r="C206">
            <v>0</v>
          </cell>
        </row>
        <row r="207">
          <cell r="A207" t="str">
            <v>7640015657</v>
          </cell>
          <cell r="B207" t="str">
            <v>bizhub SECURE</v>
          </cell>
          <cell r="C207">
            <v>250</v>
          </cell>
        </row>
        <row r="208">
          <cell r="A208">
            <v>0</v>
          </cell>
          <cell r="B208">
            <v>0</v>
          </cell>
          <cell r="C208">
            <v>0</v>
          </cell>
        </row>
        <row r="209">
          <cell r="A209" t="str">
            <v>A61F011</v>
          </cell>
          <cell r="B209" t="str">
            <v>bizhub 364e -  Includes PS, PCL &amp; XPS Controller, 2 GB Standard Memory, Duplex Unit, 250 GB HDD, USB Interfaces for Scan-to-USB Thumb Drive/Print-from-USB Thumb Drive, USB Local Printing, Optional Authentication Device Connection, Service USB Firmware Updates, Developer Unit, and Drum Unit.</v>
          </cell>
          <cell r="C209">
            <v>11270</v>
          </cell>
        </row>
        <row r="210">
          <cell r="A210" t="str">
            <v xml:space="preserve">Document Handling Options: </v>
          </cell>
          <cell r="B210">
            <v>0</v>
          </cell>
          <cell r="C210">
            <v>0</v>
          </cell>
        </row>
        <row r="211">
          <cell r="A211" t="str">
            <v>A3CEWY1</v>
          </cell>
          <cell r="B211" t="str">
            <v>DF-701 Single Pass Dual Scan Document Feeder</v>
          </cell>
          <cell r="C211">
            <v>1802</v>
          </cell>
        </row>
        <row r="212">
          <cell r="A212" t="str">
            <v>A3PMWY1</v>
          </cell>
          <cell r="B212" t="str">
            <v>OC-511 Original Cover</v>
          </cell>
          <cell r="C212">
            <v>94</v>
          </cell>
        </row>
        <row r="213">
          <cell r="A213" t="str">
            <v>A3CFWY1</v>
          </cell>
          <cell r="B213" t="str">
            <v>DF-624 Reverse Automatic Document Feeder</v>
          </cell>
          <cell r="C213">
            <v>1631</v>
          </cell>
        </row>
        <row r="214">
          <cell r="A214" t="str">
            <v xml:space="preserve">Paper Supply Options: </v>
          </cell>
          <cell r="B214">
            <v>0</v>
          </cell>
          <cell r="C214">
            <v>0</v>
          </cell>
        </row>
        <row r="215">
          <cell r="A215" t="str">
            <v>A2XM013</v>
          </cell>
          <cell r="B215" t="str">
            <v>PC-410 Large Capacity Cassette</v>
          </cell>
          <cell r="C215">
            <v>1402</v>
          </cell>
        </row>
        <row r="216">
          <cell r="A216" t="str">
            <v>A2XMWY1</v>
          </cell>
          <cell r="B216" t="str">
            <v>PC-110 Paper Feed Cabinet</v>
          </cell>
          <cell r="C216">
            <v>913</v>
          </cell>
        </row>
        <row r="217">
          <cell r="A217" t="str">
            <v>A2XMWY2</v>
          </cell>
          <cell r="B217" t="str">
            <v>PC-210 2-way Paper Feed Cabinet</v>
          </cell>
          <cell r="C217">
            <v>1191</v>
          </cell>
        </row>
        <row r="218">
          <cell r="A218" t="str">
            <v>7640018680</v>
          </cell>
          <cell r="B218" t="str">
            <v>DK-510 Enhanced Copy Desk</v>
          </cell>
          <cell r="C218">
            <v>222</v>
          </cell>
        </row>
        <row r="219">
          <cell r="A219" t="str">
            <v xml:space="preserve">Output Options: </v>
          </cell>
          <cell r="B219">
            <v>0</v>
          </cell>
          <cell r="C219">
            <v>0</v>
          </cell>
        </row>
        <row r="220">
          <cell r="A220" t="str">
            <v>A2YUWY1</v>
          </cell>
          <cell r="B220" t="str">
            <v>FS-533 Inner Finisher</v>
          </cell>
          <cell r="C220">
            <v>1553</v>
          </cell>
        </row>
        <row r="221">
          <cell r="A221" t="str">
            <v>A2YVWY1</v>
          </cell>
          <cell r="B221" t="str">
            <v>JS-506 Job Separator Tray</v>
          </cell>
          <cell r="C221">
            <v>500</v>
          </cell>
        </row>
        <row r="222">
          <cell r="A222" t="str">
            <v>A3EPWY1</v>
          </cell>
          <cell r="B222" t="str">
            <v>FS-534 50-Sheet Stapling Finisher</v>
          </cell>
          <cell r="C222">
            <v>1855</v>
          </cell>
        </row>
        <row r="223">
          <cell r="A223" t="str">
            <v>A3EPWYA</v>
          </cell>
          <cell r="B223" t="str">
            <v>FS-534 + SD-511 50-Sheet Stapling Finisher+Saddle Stitcher Kit</v>
          </cell>
          <cell r="C223">
            <v>3305</v>
          </cell>
        </row>
        <row r="224">
          <cell r="A224" t="str">
            <v>A3ETW11</v>
          </cell>
          <cell r="B224" t="str">
            <v>PK-520 Punch Kit (2/3 Holes) for FS-534</v>
          </cell>
          <cell r="C224">
            <v>586</v>
          </cell>
        </row>
        <row r="225">
          <cell r="A225" t="str">
            <v>A3EUW11</v>
          </cell>
          <cell r="B225" t="str">
            <v>PK-519 2/3 Hole Punch Unit (FS-533)</v>
          </cell>
          <cell r="C225">
            <v>585</v>
          </cell>
        </row>
        <row r="226">
          <cell r="A226" t="str">
            <v xml:space="preserve">Fax / Scan Options: </v>
          </cell>
          <cell r="B226">
            <v>0</v>
          </cell>
          <cell r="C226">
            <v>0</v>
          </cell>
        </row>
        <row r="227">
          <cell r="A227">
            <v>4614506</v>
          </cell>
          <cell r="B227" t="str">
            <v>Fax Stamp Unit</v>
          </cell>
          <cell r="C227">
            <v>48</v>
          </cell>
        </row>
        <row r="228">
          <cell r="A228">
            <v>4614511</v>
          </cell>
          <cell r="B228" t="str">
            <v>Spare Tx Marker Stamp 2</v>
          </cell>
          <cell r="C228">
            <v>27</v>
          </cell>
        </row>
        <row r="229">
          <cell r="A229" t="str">
            <v>A22M011</v>
          </cell>
          <cell r="B229" t="str">
            <v>Fax Kit (Fax Line 3, Fax Line 4)</v>
          </cell>
          <cell r="C229">
            <v>1068</v>
          </cell>
        </row>
        <row r="230">
          <cell r="A230" t="str">
            <v>A4MF012</v>
          </cell>
          <cell r="B230" t="str">
            <v>FK-511 Fax Kit</v>
          </cell>
          <cell r="C230">
            <v>1070</v>
          </cell>
        </row>
        <row r="231">
          <cell r="A231" t="str">
            <v>A4NPWY1</v>
          </cell>
          <cell r="B231" t="str">
            <v>Fax Mount Kit (for FK-508)</v>
          </cell>
          <cell r="C231">
            <v>120</v>
          </cell>
        </row>
        <row r="232">
          <cell r="A232" t="str">
            <v xml:space="preserve">Security Options: </v>
          </cell>
          <cell r="B232">
            <v>0</v>
          </cell>
          <cell r="C232">
            <v>0</v>
          </cell>
        </row>
        <row r="233">
          <cell r="A233">
            <v>7640005064</v>
          </cell>
          <cell r="B233" t="str">
            <v>AU-201H HID Proximity Card Authentication Unit</v>
          </cell>
          <cell r="C233">
            <v>423</v>
          </cell>
        </row>
        <row r="234">
          <cell r="A234">
            <v>7640005261</v>
          </cell>
          <cell r="B234" t="str">
            <v>HID Proximity Card 10 Pack</v>
          </cell>
          <cell r="C234">
            <v>69</v>
          </cell>
        </row>
        <row r="235">
          <cell r="A235">
            <v>7640008394</v>
          </cell>
          <cell r="B235" t="str">
            <v>AU-202H HID iClass Card Authentication Unit</v>
          </cell>
          <cell r="C235">
            <v>476</v>
          </cell>
        </row>
        <row r="236">
          <cell r="A236">
            <v>7640013468</v>
          </cell>
          <cell r="B236" t="str">
            <v>AU-204H Mag Stripe Card Reader</v>
          </cell>
          <cell r="C236">
            <v>423</v>
          </cell>
        </row>
        <row r="237">
          <cell r="A237" t="str">
            <v xml:space="preserve">Misc. Options: </v>
          </cell>
          <cell r="B237">
            <v>0</v>
          </cell>
          <cell r="C237">
            <v>0</v>
          </cell>
        </row>
        <row r="238">
          <cell r="A238">
            <v>7640006869</v>
          </cell>
          <cell r="B238" t="str">
            <v>External Keyboard</v>
          </cell>
          <cell r="C238">
            <v>223</v>
          </cell>
        </row>
        <row r="239">
          <cell r="A239" t="str">
            <v>A0PD016</v>
          </cell>
          <cell r="B239" t="str">
            <v>LK-102 V3 - i-Option License Kit (Enhanced PDF Encryption, PDF/A, Linearized PDF)</v>
          </cell>
          <cell r="C239">
            <v>1100</v>
          </cell>
        </row>
        <row r="240">
          <cell r="A240" t="str">
            <v>A0PD017</v>
          </cell>
          <cell r="B240" t="str">
            <v>LK-104 v3 - i-Option License Kit (Voice Guidance)</v>
          </cell>
          <cell r="C240">
            <v>785</v>
          </cell>
        </row>
        <row r="241">
          <cell r="A241" t="str">
            <v>A0PD018</v>
          </cell>
          <cell r="B241" t="str">
            <v>LK-105 v3 - i-Option License Kit (Searchable PDF)</v>
          </cell>
          <cell r="C241">
            <v>668</v>
          </cell>
        </row>
        <row r="242">
          <cell r="A242" t="str">
            <v>A0PD019</v>
          </cell>
          <cell r="B242" t="str">
            <v>LK-106 - i-Option License Kit (Bar Code Font)</v>
          </cell>
          <cell r="C242">
            <v>821</v>
          </cell>
        </row>
        <row r="243">
          <cell r="A243" t="str">
            <v>A0PD01F</v>
          </cell>
          <cell r="B243" t="str">
            <v>LK-107 - i-Option License Kit (Unicode)</v>
          </cell>
          <cell r="C243">
            <v>690</v>
          </cell>
        </row>
        <row r="244">
          <cell r="A244" t="str">
            <v>A0PD01G</v>
          </cell>
          <cell r="B244" t="str">
            <v>LK-108 - i-Option License Kit (OCR Font)</v>
          </cell>
          <cell r="C244">
            <v>191</v>
          </cell>
        </row>
        <row r="245">
          <cell r="A245" t="str">
            <v>A0PD01H</v>
          </cell>
          <cell r="B245" t="str">
            <v>LK-101 v3 - i-Option License Kit (Web Browser)</v>
          </cell>
          <cell r="C245">
            <v>53</v>
          </cell>
        </row>
        <row r="246">
          <cell r="A246" t="str">
            <v>A0PD01J</v>
          </cell>
          <cell r="B246" t="str">
            <v>LK-110 - i-Option License kit (OOXML File Conversion, Enhanced Image Data)</v>
          </cell>
          <cell r="C246">
            <v>1500</v>
          </cell>
        </row>
        <row r="247">
          <cell r="A247" t="str">
            <v>A0PD01K</v>
          </cell>
          <cell r="B247" t="str">
            <v>LK-111 - i-Option License Kit (ThinPrint Client Support)</v>
          </cell>
          <cell r="C247">
            <v>250</v>
          </cell>
        </row>
        <row r="248">
          <cell r="A248" t="str">
            <v>A4MHWY1</v>
          </cell>
          <cell r="B248" t="str">
            <v>UK-204 - 2 GB Memory Upgrade Kit (for i-Option)</v>
          </cell>
          <cell r="C248">
            <v>290</v>
          </cell>
        </row>
        <row r="249">
          <cell r="A249" t="str">
            <v>A0W4WY2</v>
          </cell>
          <cell r="B249" t="str">
            <v>WT-506 - Working Table</v>
          </cell>
          <cell r="C249">
            <v>112</v>
          </cell>
        </row>
        <row r="250">
          <cell r="A250" t="str">
            <v>A0X9WY1</v>
          </cell>
          <cell r="B250" t="str">
            <v>AU-102 - Biometric Authentication Unit</v>
          </cell>
          <cell r="C250">
            <v>947</v>
          </cell>
        </row>
        <row r="251">
          <cell r="A251" t="str">
            <v>A161192000</v>
          </cell>
          <cell r="B251" t="str">
            <v>INFO-Palette Stylus PenStylus Pen for INFO-Palette Series</v>
          </cell>
          <cell r="C251">
            <v>30</v>
          </cell>
        </row>
        <row r="252">
          <cell r="A252" t="str">
            <v>A4MJWY2</v>
          </cell>
          <cell r="B252" t="str">
            <v>EK-606 - USB Host Board (Local Interface Kit)</v>
          </cell>
          <cell r="C252">
            <v>200</v>
          </cell>
        </row>
        <row r="253">
          <cell r="A253" t="str">
            <v>A4MKWY2</v>
          </cell>
          <cell r="B253" t="str">
            <v>EK-607 - USB Host Board (Local Interface Kit) with Bluetooth Printing Support</v>
          </cell>
          <cell r="C253">
            <v>279</v>
          </cell>
        </row>
        <row r="254">
          <cell r="A254" t="str">
            <v>A4MMWY1</v>
          </cell>
          <cell r="B254" t="str">
            <v>SC-508 - Copy Guard Kit</v>
          </cell>
          <cell r="C254">
            <v>1225</v>
          </cell>
        </row>
        <row r="255">
          <cell r="A255" t="str">
            <v>A4NMWY1</v>
          </cell>
          <cell r="B255" t="str">
            <v>MK-735 - Mount Kit (Internally mounts AU-201H or AU-202H Card Authentication Unit)</v>
          </cell>
          <cell r="C255">
            <v>60</v>
          </cell>
        </row>
        <row r="256">
          <cell r="A256" t="str">
            <v>XGPCS15DKM</v>
          </cell>
          <cell r="B256" t="str">
            <v>ESP Diagnostic Power Filter 120V/15A</v>
          </cell>
          <cell r="C256">
            <v>275</v>
          </cell>
        </row>
        <row r="257">
          <cell r="A257" t="str">
            <v>A4NRWY1</v>
          </cell>
          <cell r="B257" t="str">
            <v>KH-102 - Keyboard Holder (for External Keyboard)</v>
          </cell>
          <cell r="C257">
            <v>123</v>
          </cell>
        </row>
        <row r="258">
          <cell r="A258" t="str">
            <v>A64TWY1</v>
          </cell>
          <cell r="B258" t="str">
            <v>KP-101 10-Key Pad</v>
          </cell>
          <cell r="C258">
            <v>126</v>
          </cell>
        </row>
        <row r="259">
          <cell r="A259">
            <v>7640013463</v>
          </cell>
          <cell r="B259" t="str">
            <v>CS-1 Convenience Stapler</v>
          </cell>
          <cell r="C259">
            <v>317</v>
          </cell>
        </row>
        <row r="260">
          <cell r="A260" t="str">
            <v>A4MEWY1</v>
          </cell>
          <cell r="B260" t="str">
            <v>MK-730 Banner Paper Guide</v>
          </cell>
          <cell r="C260">
            <v>846</v>
          </cell>
        </row>
        <row r="261">
          <cell r="A261" t="str">
            <v xml:space="preserve">PROFESSIONAL SERVICES: </v>
          </cell>
          <cell r="B261">
            <v>0</v>
          </cell>
          <cell r="C261">
            <v>0</v>
          </cell>
        </row>
        <row r="262">
          <cell r="A262" t="str">
            <v>7640015657</v>
          </cell>
          <cell r="B262" t="str">
            <v>bizhub SECURE</v>
          </cell>
          <cell r="C262">
            <v>250</v>
          </cell>
        </row>
        <row r="263">
          <cell r="A263">
            <v>0</v>
          </cell>
          <cell r="B263">
            <v>0</v>
          </cell>
          <cell r="C263">
            <v>0</v>
          </cell>
        </row>
        <row r="264">
          <cell r="A264" t="str">
            <v>A61E011</v>
          </cell>
          <cell r="B264" t="str">
            <v>bizhub 454e -  Includes PS, PCL &amp; XPS Controller, 2 GB Standard Memory, Dual Scan Document Feeder, Duplex Unit, 250 GB HDD, USB Interfaces for Scan-to-USB Thumb Drive/Print-from-USB Thumb Drive, USB Local Printing, Optional Authentication Device Connection, Service USB Firmware Updates, Developer Unit, and Drum Unit.</v>
          </cell>
          <cell r="C264">
            <v>12617</v>
          </cell>
        </row>
        <row r="265">
          <cell r="A265" t="str">
            <v xml:space="preserve">Paper Supply Options: </v>
          </cell>
          <cell r="B265">
            <v>0</v>
          </cell>
          <cell r="C265">
            <v>0</v>
          </cell>
        </row>
        <row r="266">
          <cell r="A266" t="str">
            <v>A2XM013</v>
          </cell>
          <cell r="B266" t="str">
            <v>PC-410 Large Capacity Cassette</v>
          </cell>
          <cell r="C266">
            <v>1402</v>
          </cell>
        </row>
        <row r="267">
          <cell r="A267" t="str">
            <v>A2XMWY1</v>
          </cell>
          <cell r="B267" t="str">
            <v>PC-110 Paper Feed Cabinet</v>
          </cell>
          <cell r="C267">
            <v>913</v>
          </cell>
        </row>
        <row r="268">
          <cell r="A268" t="str">
            <v>A2XMWY2</v>
          </cell>
          <cell r="B268" t="str">
            <v>PC-210 2-way Paper Feed Cabinet</v>
          </cell>
          <cell r="C268">
            <v>1191</v>
          </cell>
        </row>
        <row r="269">
          <cell r="A269" t="str">
            <v>7640018680</v>
          </cell>
          <cell r="B269" t="str">
            <v>DK-510 Enhanced Copy Desk</v>
          </cell>
          <cell r="C269">
            <v>222</v>
          </cell>
        </row>
        <row r="270">
          <cell r="A270" t="str">
            <v xml:space="preserve">Output Options: </v>
          </cell>
          <cell r="B270">
            <v>0</v>
          </cell>
          <cell r="C270">
            <v>0</v>
          </cell>
        </row>
        <row r="271">
          <cell r="A271" t="str">
            <v>A2YUWY1</v>
          </cell>
          <cell r="B271" t="str">
            <v>FS-533 Inner Finisher</v>
          </cell>
          <cell r="C271">
            <v>1553</v>
          </cell>
        </row>
        <row r="272">
          <cell r="A272" t="str">
            <v>A2YVWY1</v>
          </cell>
          <cell r="B272" t="str">
            <v>JS-506 Job Separator Tray</v>
          </cell>
          <cell r="C272">
            <v>500</v>
          </cell>
        </row>
        <row r="273">
          <cell r="A273" t="str">
            <v>A4MDWY1</v>
          </cell>
          <cell r="B273" t="str">
            <v>OT-506 Output Tray</v>
          </cell>
          <cell r="C273">
            <v>111</v>
          </cell>
        </row>
        <row r="274">
          <cell r="A274" t="str">
            <v>A3EPWY1</v>
          </cell>
          <cell r="B274" t="str">
            <v>FS-534 50-Sheet Stapling Finisher</v>
          </cell>
          <cell r="C274">
            <v>1855</v>
          </cell>
        </row>
        <row r="275">
          <cell r="A275" t="str">
            <v>A3EPWYA</v>
          </cell>
          <cell r="B275" t="str">
            <v>FS-534 + SD-511 50-Sheet Stapling Finisher+Saddle Stitcher Kit</v>
          </cell>
          <cell r="C275">
            <v>3305</v>
          </cell>
        </row>
        <row r="276">
          <cell r="A276" t="str">
            <v>A3ETW11</v>
          </cell>
          <cell r="B276" t="str">
            <v>PK-520 Punch Kit (2/3 Holes) for FS-534</v>
          </cell>
          <cell r="C276">
            <v>586</v>
          </cell>
        </row>
        <row r="277">
          <cell r="A277" t="str">
            <v>A3EUW11</v>
          </cell>
          <cell r="B277" t="str">
            <v>PK-519 2/3 Hole Punch Unit (FS-533)</v>
          </cell>
          <cell r="C277">
            <v>585</v>
          </cell>
        </row>
        <row r="278">
          <cell r="A278" t="str">
            <v xml:space="preserve">Fax / Scan Options: </v>
          </cell>
          <cell r="B278">
            <v>0</v>
          </cell>
          <cell r="C278">
            <v>0</v>
          </cell>
        </row>
        <row r="279">
          <cell r="A279">
            <v>4614506</v>
          </cell>
          <cell r="B279" t="str">
            <v>Fax Stamp Unit</v>
          </cell>
          <cell r="C279">
            <v>48</v>
          </cell>
        </row>
        <row r="280">
          <cell r="A280">
            <v>4614511</v>
          </cell>
          <cell r="B280" t="str">
            <v>Spare Tx Marker Stamp 2</v>
          </cell>
          <cell r="C280">
            <v>27</v>
          </cell>
        </row>
        <row r="281">
          <cell r="A281" t="str">
            <v>A22M011</v>
          </cell>
          <cell r="B281" t="str">
            <v>Fax Kit (Fax Line 3, Fax Line 4)</v>
          </cell>
          <cell r="C281">
            <v>1068</v>
          </cell>
        </row>
        <row r="282">
          <cell r="A282" t="str">
            <v>A4MF012</v>
          </cell>
          <cell r="B282" t="str">
            <v>FK-511 Fax Kit</v>
          </cell>
          <cell r="C282">
            <v>1070</v>
          </cell>
        </row>
        <row r="283">
          <cell r="A283" t="str">
            <v>A4NPWY1</v>
          </cell>
          <cell r="B283" t="str">
            <v>Fax Mount Kit (for FK-508)</v>
          </cell>
          <cell r="C283">
            <v>120</v>
          </cell>
        </row>
        <row r="284">
          <cell r="A284" t="str">
            <v xml:space="preserve">Security Options: </v>
          </cell>
          <cell r="B284">
            <v>0</v>
          </cell>
          <cell r="C284">
            <v>0</v>
          </cell>
        </row>
        <row r="285">
          <cell r="A285">
            <v>7640005064</v>
          </cell>
          <cell r="B285" t="str">
            <v>AU-201H HID Proximity Card Authentication Unit</v>
          </cell>
          <cell r="C285">
            <v>423</v>
          </cell>
        </row>
        <row r="286">
          <cell r="A286">
            <v>7640005261</v>
          </cell>
          <cell r="B286" t="str">
            <v>HID Proximity Card 10 Pack</v>
          </cell>
          <cell r="C286">
            <v>69</v>
          </cell>
        </row>
        <row r="287">
          <cell r="A287">
            <v>7640008394</v>
          </cell>
          <cell r="B287" t="str">
            <v>AU-202H HID iClass Card Authentication Unit</v>
          </cell>
          <cell r="C287">
            <v>476</v>
          </cell>
        </row>
        <row r="288">
          <cell r="A288">
            <v>7640013468</v>
          </cell>
          <cell r="B288" t="str">
            <v>AU-204H Mag Stripe Card Reader</v>
          </cell>
          <cell r="C288">
            <v>423</v>
          </cell>
        </row>
        <row r="289">
          <cell r="A289" t="str">
            <v xml:space="preserve">Misc. Options: </v>
          </cell>
          <cell r="B289">
            <v>0</v>
          </cell>
          <cell r="C289">
            <v>0</v>
          </cell>
        </row>
        <row r="290">
          <cell r="A290">
            <v>7640006869</v>
          </cell>
          <cell r="B290" t="str">
            <v>External Keyboard</v>
          </cell>
          <cell r="C290">
            <v>223</v>
          </cell>
        </row>
        <row r="291">
          <cell r="A291" t="str">
            <v>A0PD016</v>
          </cell>
          <cell r="B291" t="str">
            <v>LK-102 V3 - i-Option License Kit (Enhanced PDF Encryption, PDF/A, Linearized PDF)</v>
          </cell>
          <cell r="C291">
            <v>1100</v>
          </cell>
        </row>
        <row r="292">
          <cell r="A292" t="str">
            <v>A0PD017</v>
          </cell>
          <cell r="B292" t="str">
            <v>LK-104 v3 - i-Option License Kit (Voice Guidance)</v>
          </cell>
          <cell r="C292">
            <v>785</v>
          </cell>
        </row>
        <row r="293">
          <cell r="A293" t="str">
            <v>A0PD018</v>
          </cell>
          <cell r="B293" t="str">
            <v>LK-105 v3 - i-Option License Kit (Searchable PDF)</v>
          </cell>
          <cell r="C293">
            <v>668</v>
          </cell>
        </row>
        <row r="294">
          <cell r="A294" t="str">
            <v>A0PD019</v>
          </cell>
          <cell r="B294" t="str">
            <v>LK-106 - i-Option License Kit (Bar Code Font)</v>
          </cell>
          <cell r="C294">
            <v>821</v>
          </cell>
        </row>
        <row r="295">
          <cell r="A295" t="str">
            <v>A0PD01F</v>
          </cell>
          <cell r="B295" t="str">
            <v>LK-107 - i-Option License Kit (Unicode)</v>
          </cell>
          <cell r="C295">
            <v>690</v>
          </cell>
        </row>
        <row r="296">
          <cell r="A296" t="str">
            <v>A0PD01G</v>
          </cell>
          <cell r="B296" t="str">
            <v>LK-108 - i-Option License Kit (OCR Font)</v>
          </cell>
          <cell r="C296">
            <v>191</v>
          </cell>
        </row>
        <row r="297">
          <cell r="A297" t="str">
            <v>A0PD01H</v>
          </cell>
          <cell r="B297" t="str">
            <v>LK-101 v3 - i-Option License Kit (Web Browser)</v>
          </cell>
          <cell r="C297">
            <v>53</v>
          </cell>
        </row>
        <row r="298">
          <cell r="A298" t="str">
            <v>A0PD01J</v>
          </cell>
          <cell r="B298" t="str">
            <v>LK-110 - i-Option License kit (OOXML File Conversion, Enhanced Image Data)</v>
          </cell>
          <cell r="C298">
            <v>1500</v>
          </cell>
        </row>
        <row r="299">
          <cell r="A299" t="str">
            <v>A0PD01K</v>
          </cell>
          <cell r="B299" t="str">
            <v>LK-111 - i-Option License Kit (ThinPrint Client Support)</v>
          </cell>
          <cell r="C299">
            <v>250</v>
          </cell>
        </row>
        <row r="300">
          <cell r="A300" t="str">
            <v>A4MHWY1</v>
          </cell>
          <cell r="B300" t="str">
            <v>UK-204 - 2 GB Memory Upgrade Kit (for i-Option)</v>
          </cell>
          <cell r="C300">
            <v>290</v>
          </cell>
        </row>
        <row r="301">
          <cell r="A301" t="str">
            <v>A0W4WY2</v>
          </cell>
          <cell r="B301" t="str">
            <v>WT-506 - Working Table</v>
          </cell>
          <cell r="C301">
            <v>112</v>
          </cell>
        </row>
        <row r="302">
          <cell r="A302" t="str">
            <v>A0X9WY1</v>
          </cell>
          <cell r="B302" t="str">
            <v>AU-102 - Biometric Authentication Unit</v>
          </cell>
          <cell r="C302">
            <v>947</v>
          </cell>
        </row>
        <row r="303">
          <cell r="A303" t="str">
            <v>A161192000</v>
          </cell>
          <cell r="B303" t="str">
            <v>INFO-Palette Stylus PenStylus Pen for INFO-Palette Series</v>
          </cell>
          <cell r="C303">
            <v>30</v>
          </cell>
        </row>
        <row r="304">
          <cell r="A304" t="str">
            <v>A4MJWY2</v>
          </cell>
          <cell r="B304" t="str">
            <v>EK-606 - USB Host Board (Local Interface Kit)</v>
          </cell>
          <cell r="C304">
            <v>200</v>
          </cell>
        </row>
        <row r="305">
          <cell r="A305" t="str">
            <v>A4MKWY2</v>
          </cell>
          <cell r="B305" t="str">
            <v>EK-607 - USB Host Board (Local Interface Kit) with Bluetooth Printing Support</v>
          </cell>
          <cell r="C305">
            <v>279</v>
          </cell>
        </row>
        <row r="306">
          <cell r="A306" t="str">
            <v>A4MMWY1</v>
          </cell>
          <cell r="B306" t="str">
            <v>SC-508 - Copy Guard Kit</v>
          </cell>
          <cell r="C306">
            <v>1225</v>
          </cell>
        </row>
        <row r="307">
          <cell r="A307" t="str">
            <v>A4NMWY1</v>
          </cell>
          <cell r="B307" t="str">
            <v>MK-735 - Mount Kit (Internally mounts AU-201H or AU-202H Card Authentication Unit)</v>
          </cell>
          <cell r="C307">
            <v>60</v>
          </cell>
        </row>
        <row r="308">
          <cell r="A308" t="str">
            <v>XGPCS20DKM</v>
          </cell>
          <cell r="B308" t="str">
            <v>ESP Diagnostic Power Filter 120V/20A</v>
          </cell>
          <cell r="C308">
            <v>307</v>
          </cell>
        </row>
        <row r="309">
          <cell r="A309" t="str">
            <v>A4NRWY1</v>
          </cell>
          <cell r="B309" t="str">
            <v>KH-102 - Keyboard Holder (for External Keyboard)</v>
          </cell>
          <cell r="C309">
            <v>123</v>
          </cell>
        </row>
        <row r="310">
          <cell r="A310" t="str">
            <v>A64TWY1</v>
          </cell>
          <cell r="B310" t="str">
            <v>KP-101 10-Key Pad</v>
          </cell>
          <cell r="C310">
            <v>126</v>
          </cell>
        </row>
        <row r="311">
          <cell r="A311">
            <v>7640013463</v>
          </cell>
          <cell r="B311" t="str">
            <v>CS-1 Convenience Stapler</v>
          </cell>
          <cell r="C311">
            <v>317</v>
          </cell>
        </row>
        <row r="312">
          <cell r="A312" t="str">
            <v>A4MEWY1</v>
          </cell>
          <cell r="B312" t="str">
            <v>MK-730 Banner Paper Guide</v>
          </cell>
          <cell r="C312">
            <v>846</v>
          </cell>
        </row>
        <row r="313">
          <cell r="A313" t="str">
            <v xml:space="preserve">PROFESSIONAL SERVICES: </v>
          </cell>
          <cell r="B313">
            <v>0</v>
          </cell>
          <cell r="C313">
            <v>0</v>
          </cell>
        </row>
        <row r="314">
          <cell r="A314" t="str">
            <v>7640015657</v>
          </cell>
          <cell r="B314" t="str">
            <v>bizhub SECURE</v>
          </cell>
          <cell r="C314">
            <v>250</v>
          </cell>
        </row>
        <row r="315">
          <cell r="A315" t="str">
            <v/>
          </cell>
          <cell r="B315">
            <v>0</v>
          </cell>
          <cell r="C315">
            <v>0</v>
          </cell>
        </row>
        <row r="316">
          <cell r="A316">
            <v>0</v>
          </cell>
          <cell r="B316">
            <v>0</v>
          </cell>
          <cell r="C316">
            <v>0</v>
          </cell>
        </row>
        <row r="317">
          <cell r="A317" t="str">
            <v>A61D011</v>
          </cell>
          <cell r="B317" t="str">
            <v>bizhub 554e</v>
          </cell>
          <cell r="C317">
            <v>22538</v>
          </cell>
        </row>
        <row r="318">
          <cell r="A318" t="str">
            <v>PAPER SUPPLY OPTIONS: Select one</v>
          </cell>
          <cell r="B318">
            <v>0</v>
          </cell>
          <cell r="C318">
            <v>0</v>
          </cell>
        </row>
        <row r="319">
          <cell r="A319" t="str">
            <v>A2XM013</v>
          </cell>
          <cell r="B319" t="str">
            <v>PC-410 Large Capacity Cassette</v>
          </cell>
          <cell r="C319">
            <v>1402</v>
          </cell>
        </row>
        <row r="320">
          <cell r="A320" t="str">
            <v>A2XMWY2</v>
          </cell>
          <cell r="B320" t="str">
            <v>PC-210 2-way Paper Feed Cabinet</v>
          </cell>
          <cell r="C320">
            <v>1191</v>
          </cell>
        </row>
        <row r="321">
          <cell r="A321" t="str">
            <v>A2XMWY1</v>
          </cell>
          <cell r="B321" t="str">
            <v>PC-110 Paper Feed Cabinet</v>
          </cell>
          <cell r="C321">
            <v>913</v>
          </cell>
        </row>
        <row r="322">
          <cell r="A322" t="str">
            <v>7640018680</v>
          </cell>
          <cell r="B322" t="str">
            <v>DK-510 Enhanced Copy Desk</v>
          </cell>
          <cell r="C322">
            <v>222</v>
          </cell>
        </row>
        <row r="323">
          <cell r="A323" t="str">
            <v>A0TJWY4</v>
          </cell>
          <cell r="B323" t="str">
            <v>LU-204 Large Capacity Unit</v>
          </cell>
          <cell r="C323">
            <v>3339</v>
          </cell>
        </row>
        <row r="324">
          <cell r="A324" t="str">
            <v>A03NWY2</v>
          </cell>
          <cell r="B324" t="str">
            <v>LU-301 Large Capacity Unit</v>
          </cell>
          <cell r="C324">
            <v>1781</v>
          </cell>
        </row>
        <row r="325">
          <cell r="A325" t="str">
            <v>OUTPUT OPTIONS:</v>
          </cell>
          <cell r="B325">
            <v>0</v>
          </cell>
          <cell r="C325">
            <v>0</v>
          </cell>
        </row>
        <row r="326">
          <cell r="A326" t="str">
            <v>A2YVWY1</v>
          </cell>
          <cell r="B326" t="str">
            <v>JS-506 Job Separator Tray</v>
          </cell>
          <cell r="C326">
            <v>500</v>
          </cell>
        </row>
        <row r="327">
          <cell r="A327" t="str">
            <v>A10CWY1</v>
          </cell>
          <cell r="B327" t="str">
            <v>JS-602  Job Separator Tray (3rd Output Tray)</v>
          </cell>
          <cell r="C327">
            <v>500</v>
          </cell>
        </row>
        <row r="328">
          <cell r="A328" t="str">
            <v>A10AWY1</v>
          </cell>
          <cell r="B328" t="str">
            <v>PI-505 Post Inserter for FS-526</v>
          </cell>
          <cell r="C328">
            <v>1113</v>
          </cell>
        </row>
        <row r="329">
          <cell r="A329" t="str">
            <v>A3EPWY1</v>
          </cell>
          <cell r="B329" t="str">
            <v>FS-534 50-Sheet Stapling Finisher</v>
          </cell>
          <cell r="C329">
            <v>1855</v>
          </cell>
        </row>
        <row r="330">
          <cell r="A330" t="str">
            <v>A2YUWY1</v>
          </cell>
          <cell r="B330" t="str">
            <v>FS-533 Inner Finisher</v>
          </cell>
          <cell r="C330">
            <v>1553</v>
          </cell>
        </row>
        <row r="331">
          <cell r="A331" t="str">
            <v>A2Y1WY1</v>
          </cell>
          <cell r="B331" t="str">
            <v>FS-535 100-Sheet Stapling Finisher</v>
          </cell>
          <cell r="C331">
            <v>3020</v>
          </cell>
        </row>
        <row r="332">
          <cell r="A332" t="str">
            <v>A3EPWYA</v>
          </cell>
          <cell r="B332" t="str">
            <v>FS-534 + SD-511  Kit</v>
          </cell>
          <cell r="C332">
            <v>3305</v>
          </cell>
        </row>
        <row r="333">
          <cell r="A333" t="str">
            <v>A3EUW11</v>
          </cell>
          <cell r="B333" t="str">
            <v>PK-519 2/3 Hole Punch Unit (FS-533)</v>
          </cell>
          <cell r="C333">
            <v>585</v>
          </cell>
        </row>
        <row r="334">
          <cell r="A334" t="str">
            <v>A3ETW11</v>
          </cell>
          <cell r="B334" t="str">
            <v>PK-520 2/3 Hole Punch Unit (FS-534)</v>
          </cell>
          <cell r="C334">
            <v>586</v>
          </cell>
        </row>
        <row r="335">
          <cell r="A335" t="str">
            <v>A2YRW11</v>
          </cell>
          <cell r="B335" t="str">
            <v>PK-521 2/3 Hole Punch Unit (FS-535)</v>
          </cell>
          <cell r="C335">
            <v>863</v>
          </cell>
        </row>
        <row r="336">
          <cell r="A336" t="str">
            <v>A2Y2WY1</v>
          </cell>
          <cell r="B336" t="str">
            <v>SD-512 Saddle Stitcher (FS-535)</v>
          </cell>
          <cell r="C336">
            <v>1670</v>
          </cell>
        </row>
        <row r="337">
          <cell r="A337" t="str">
            <v>A109W12</v>
          </cell>
          <cell r="B337" t="str">
            <v>ZU-606 Z-Folding Unit (FS-535)</v>
          </cell>
          <cell r="C337">
            <v>5510</v>
          </cell>
        </row>
        <row r="338">
          <cell r="A338" t="str">
            <v>FAX OPTIONS:</v>
          </cell>
          <cell r="B338">
            <v>0</v>
          </cell>
          <cell r="C338">
            <v>0</v>
          </cell>
        </row>
        <row r="339">
          <cell r="A339" t="str">
            <v>A4MF012</v>
          </cell>
          <cell r="B339" t="str">
            <v>FK-511 Fax Kit</v>
          </cell>
          <cell r="C339">
            <v>1070</v>
          </cell>
        </row>
        <row r="340">
          <cell r="A340">
            <v>4614506</v>
          </cell>
          <cell r="B340" t="str">
            <v>SP-501 Fax Stamp Unit</v>
          </cell>
          <cell r="C340">
            <v>48</v>
          </cell>
        </row>
        <row r="341">
          <cell r="A341">
            <v>4614511</v>
          </cell>
          <cell r="B341" t="str">
            <v>Spare TX Marker Stamp 2</v>
          </cell>
          <cell r="C341">
            <v>27</v>
          </cell>
        </row>
        <row r="342">
          <cell r="A342" t="str">
            <v>A4NPWY1</v>
          </cell>
          <cell r="B342" t="str">
            <v>MK-728 Mount Kit (3rd&amp;4th Fax Line Mount Kit)</v>
          </cell>
          <cell r="C342">
            <v>120</v>
          </cell>
        </row>
        <row r="343">
          <cell r="A343" t="str">
            <v>A22M011</v>
          </cell>
          <cell r="B343" t="str">
            <v>FK-508 Fax Board</v>
          </cell>
          <cell r="C343">
            <v>1068</v>
          </cell>
        </row>
        <row r="344">
          <cell r="A344" t="str">
            <v>i-OPTION ACCESSORIES:</v>
          </cell>
          <cell r="B344">
            <v>0</v>
          </cell>
          <cell r="C344">
            <v>0</v>
          </cell>
        </row>
        <row r="345">
          <cell r="A345" t="str">
            <v>A0PD01H</v>
          </cell>
          <cell r="B345" t="str">
            <v>LK-101 v3 i-Option License Kit (Web Browser)</v>
          </cell>
          <cell r="C345">
            <v>53</v>
          </cell>
        </row>
        <row r="346">
          <cell r="A346" t="str">
            <v>A0PD016</v>
          </cell>
          <cell r="B346" t="str">
            <v>LK-102 v3 i-Option License Kit (Encrypted PDF, PDF/A, Linearized PDF)</v>
          </cell>
          <cell r="C346">
            <v>1100</v>
          </cell>
        </row>
        <row r="347">
          <cell r="A347" t="str">
            <v>A0PD017</v>
          </cell>
          <cell r="B347" t="str">
            <v>LK-104 v3 i-Option License Kiit (Voice Guidance)</v>
          </cell>
          <cell r="C347">
            <v>785</v>
          </cell>
        </row>
        <row r="348">
          <cell r="A348" t="str">
            <v>A0PD018</v>
          </cell>
          <cell r="B348" t="str">
            <v>LK-105 v3 (Searchable PDF)</v>
          </cell>
          <cell r="C348">
            <v>668</v>
          </cell>
        </row>
        <row r="349">
          <cell r="A349" t="str">
            <v>A0PD019</v>
          </cell>
          <cell r="B349" t="str">
            <v>LK-106 i-Option License Kit (Bar Code Font)</v>
          </cell>
          <cell r="C349">
            <v>821</v>
          </cell>
        </row>
        <row r="350">
          <cell r="A350" t="str">
            <v>A0PD01F</v>
          </cell>
          <cell r="B350" t="str">
            <v>LK-107 i-Option License Kit (Unicode Font)</v>
          </cell>
          <cell r="C350">
            <v>690</v>
          </cell>
        </row>
        <row r="351">
          <cell r="A351" t="str">
            <v>A0PD01G</v>
          </cell>
          <cell r="B351" t="str">
            <v>LK-108 i-Option License Kit (OCR Font)</v>
          </cell>
          <cell r="C351">
            <v>191</v>
          </cell>
        </row>
        <row r="352">
          <cell r="A352" t="str">
            <v>A0PD01J</v>
          </cell>
          <cell r="B352" t="str">
            <v>LK-110 i-Option License kit (OOXML File Conversion,Enhanced Image Data)</v>
          </cell>
          <cell r="C352">
            <v>1500</v>
          </cell>
        </row>
        <row r="353">
          <cell r="A353" t="str">
            <v>A0PD01K</v>
          </cell>
          <cell r="B353" t="str">
            <v>LK-111 i-Option License Kit (ThinPrint Client Support)</v>
          </cell>
          <cell r="C353">
            <v>250</v>
          </cell>
        </row>
        <row r="354">
          <cell r="A354" t="str">
            <v>A4MHWY1</v>
          </cell>
          <cell r="B354" t="str">
            <v>UK-204 i-Option Memory Upgrade Kit</v>
          </cell>
          <cell r="C354">
            <v>290</v>
          </cell>
        </row>
        <row r="355">
          <cell r="A355" t="str">
            <v>MISC. OPTIONS:</v>
          </cell>
          <cell r="B355">
            <v>0</v>
          </cell>
          <cell r="C355">
            <v>0</v>
          </cell>
        </row>
        <row r="356">
          <cell r="A356" t="str">
            <v>A0X9WY1</v>
          </cell>
          <cell r="B356" t="str">
            <v xml:space="preserve">AU-102 Biometric Authentication Unit </v>
          </cell>
          <cell r="C356">
            <v>947</v>
          </cell>
        </row>
        <row r="357">
          <cell r="A357">
            <v>7640005064</v>
          </cell>
          <cell r="B357" t="str">
            <v>AU-201H HID Proximity Card Authentication Unit</v>
          </cell>
          <cell r="C357">
            <v>423</v>
          </cell>
        </row>
        <row r="358">
          <cell r="A358">
            <v>7640008394</v>
          </cell>
          <cell r="B358" t="str">
            <v>AU-202H iClass Card Reader</v>
          </cell>
          <cell r="C358">
            <v>476</v>
          </cell>
        </row>
        <row r="359">
          <cell r="A359">
            <v>7640013468</v>
          </cell>
          <cell r="B359" t="str">
            <v>AU-204H Mag Stripe Card Reader</v>
          </cell>
          <cell r="C359">
            <v>423</v>
          </cell>
        </row>
        <row r="360">
          <cell r="A360" t="str">
            <v>A4MEWY1</v>
          </cell>
          <cell r="B360" t="str">
            <v>MK-730 Banner paper Guide</v>
          </cell>
          <cell r="C360">
            <v>846</v>
          </cell>
        </row>
        <row r="361">
          <cell r="A361" t="str">
            <v>A4NMWY1</v>
          </cell>
          <cell r="B361" t="str">
            <v>MK-735 Mount Kit  (IC Card Internal Mount Kit)</v>
          </cell>
          <cell r="C361">
            <v>60</v>
          </cell>
        </row>
        <row r="362">
          <cell r="A362" t="str">
            <v>A4MJWY2</v>
          </cell>
          <cell r="B362" t="str">
            <v>EK-606 Local USB Interface Kit</v>
          </cell>
          <cell r="C362">
            <v>200</v>
          </cell>
        </row>
        <row r="363">
          <cell r="A363" t="str">
            <v>A4MKWY2</v>
          </cell>
          <cell r="B363" t="str">
            <v>EK-607 Local USB Interface Kit</v>
          </cell>
          <cell r="C363">
            <v>279</v>
          </cell>
        </row>
        <row r="364">
          <cell r="A364">
            <v>7640006869</v>
          </cell>
          <cell r="B364" t="str">
            <v>External Keyboard</v>
          </cell>
          <cell r="C364">
            <v>223</v>
          </cell>
        </row>
        <row r="365">
          <cell r="A365" t="str">
            <v>A64TWY1</v>
          </cell>
          <cell r="B365" t="str">
            <v>KP-101 10-Key Pad</v>
          </cell>
          <cell r="C365">
            <v>126</v>
          </cell>
        </row>
        <row r="366">
          <cell r="A366" t="str">
            <v>A4NRWY1</v>
          </cell>
          <cell r="B366" t="str">
            <v>KH-102 Keyboard Holder</v>
          </cell>
          <cell r="C366">
            <v>123</v>
          </cell>
        </row>
        <row r="367">
          <cell r="A367" t="str">
            <v>A0W4WY2</v>
          </cell>
          <cell r="B367" t="str">
            <v>WT-506 Working Table</v>
          </cell>
          <cell r="C367">
            <v>112</v>
          </cell>
        </row>
        <row r="368">
          <cell r="A368">
            <v>7640005261</v>
          </cell>
          <cell r="B368" t="str">
            <v>HID Proximity Cards - 10 pack</v>
          </cell>
          <cell r="C368">
            <v>69</v>
          </cell>
        </row>
        <row r="369">
          <cell r="A369" t="str">
            <v>A4MMWY1</v>
          </cell>
          <cell r="B369" t="str">
            <v>SC-508 Security Kit (Copy Guard/Password Protect)</v>
          </cell>
          <cell r="C369">
            <v>1225</v>
          </cell>
        </row>
        <row r="370">
          <cell r="A370" t="str">
            <v>XGPCS20DKM</v>
          </cell>
          <cell r="B370" t="str">
            <v>ESP Diagnostic Power Filter 120V/20A</v>
          </cell>
          <cell r="C370">
            <v>307</v>
          </cell>
        </row>
        <row r="371">
          <cell r="A371">
            <v>7640013463</v>
          </cell>
          <cell r="B371" t="str">
            <v>CS-1 Convenience Stapler</v>
          </cell>
          <cell r="C371">
            <v>317</v>
          </cell>
        </row>
        <row r="372">
          <cell r="A372" t="str">
            <v>A161192000</v>
          </cell>
          <cell r="B372" t="str">
            <v>Stylus Pen for INFO-Palette Series</v>
          </cell>
          <cell r="C372">
            <v>30</v>
          </cell>
        </row>
        <row r="373">
          <cell r="A373" t="str">
            <v xml:space="preserve">PROFESSIONAL SERVICES: </v>
          </cell>
          <cell r="B373">
            <v>0</v>
          </cell>
          <cell r="C373">
            <v>0</v>
          </cell>
        </row>
        <row r="374">
          <cell r="A374" t="str">
            <v>7640015657</v>
          </cell>
          <cell r="B374" t="str">
            <v>bizhub SECURE</v>
          </cell>
          <cell r="C374">
            <v>250</v>
          </cell>
        </row>
        <row r="375">
          <cell r="A375">
            <v>0</v>
          </cell>
          <cell r="B375">
            <v>0</v>
          </cell>
          <cell r="C375">
            <v>0</v>
          </cell>
        </row>
        <row r="376">
          <cell r="A376" t="str">
            <v>A5YN017</v>
          </cell>
          <cell r="B376" t="str">
            <v>bizhub 654e</v>
          </cell>
          <cell r="C376">
            <v>32550</v>
          </cell>
        </row>
        <row r="377">
          <cell r="A377" t="str">
            <v>PAPER SUPPLY OPTIONS:</v>
          </cell>
          <cell r="B377">
            <v>0</v>
          </cell>
          <cell r="C377">
            <v>0</v>
          </cell>
        </row>
        <row r="378">
          <cell r="A378" t="str">
            <v>A0TJWY4</v>
          </cell>
          <cell r="B378" t="str">
            <v>LU-204 Large Capacity Unit</v>
          </cell>
          <cell r="C378">
            <v>3339</v>
          </cell>
        </row>
        <row r="379">
          <cell r="A379" t="str">
            <v>A03NWY2</v>
          </cell>
          <cell r="B379" t="str">
            <v>LU-301 Large Capacity Unit</v>
          </cell>
          <cell r="C379">
            <v>1781</v>
          </cell>
        </row>
        <row r="380">
          <cell r="A380" t="str">
            <v>OUTPUT OPTIONS:</v>
          </cell>
          <cell r="B380">
            <v>0</v>
          </cell>
          <cell r="C380">
            <v>0</v>
          </cell>
        </row>
        <row r="381">
          <cell r="A381" t="str">
            <v>A2Y1WY1</v>
          </cell>
          <cell r="B381" t="str">
            <v>FS-535 100-Sheet Stapling Finisher</v>
          </cell>
          <cell r="C381">
            <v>3020</v>
          </cell>
        </row>
        <row r="382">
          <cell r="A382" t="str">
            <v>A2Y2WY1</v>
          </cell>
          <cell r="B382" t="str">
            <v>SD-512 Saddle Stitcher (FS-535)</v>
          </cell>
          <cell r="C382">
            <v>1670</v>
          </cell>
        </row>
        <row r="383">
          <cell r="A383" t="str">
            <v>A2YRW11</v>
          </cell>
          <cell r="B383" t="str">
            <v>PK-521 2/3 Hole Punch Unit (FS-535)</v>
          </cell>
          <cell r="C383">
            <v>863</v>
          </cell>
        </row>
        <row r="384">
          <cell r="A384" t="str">
            <v>A092WW1</v>
          </cell>
          <cell r="B384" t="str">
            <v>OT-503 Output Tray</v>
          </cell>
          <cell r="C384">
            <v>112</v>
          </cell>
        </row>
        <row r="385">
          <cell r="A385" t="str">
            <v>A10CWY1</v>
          </cell>
          <cell r="B385" t="str">
            <v>JS-602  Job Separator Tray (3rd Output Tray)</v>
          </cell>
          <cell r="C385">
            <v>500</v>
          </cell>
        </row>
        <row r="386">
          <cell r="A386" t="str">
            <v>A109W12</v>
          </cell>
          <cell r="B386" t="str">
            <v>ZU-606 Z-Folding Unit (FS-535)</v>
          </cell>
          <cell r="C386">
            <v>5510</v>
          </cell>
        </row>
        <row r="387">
          <cell r="A387" t="str">
            <v>A10AWY1</v>
          </cell>
          <cell r="B387" t="str">
            <v>PI-505 Post Inserter for FS-526</v>
          </cell>
          <cell r="C387">
            <v>1113</v>
          </cell>
        </row>
        <row r="388">
          <cell r="A388" t="str">
            <v>A3EPWY1</v>
          </cell>
          <cell r="B388" t="str">
            <v>FS-534 50-Sheet Stapling Finisher</v>
          </cell>
          <cell r="C388">
            <v>1855</v>
          </cell>
        </row>
        <row r="389">
          <cell r="A389" t="str">
            <v>A3EPWYA</v>
          </cell>
          <cell r="B389" t="str">
            <v>FS-534 + SD-511  Kit</v>
          </cell>
          <cell r="C389">
            <v>3305</v>
          </cell>
        </row>
        <row r="390">
          <cell r="A390" t="str">
            <v>A3ETW11</v>
          </cell>
          <cell r="B390" t="str">
            <v>PK-520 2/3 Hole Punch Unit (FS-534)</v>
          </cell>
          <cell r="C390">
            <v>586</v>
          </cell>
        </row>
        <row r="391">
          <cell r="A391" t="str">
            <v>FAX / SCAN OPTIONS:</v>
          </cell>
          <cell r="B391">
            <v>0</v>
          </cell>
          <cell r="C391">
            <v>0</v>
          </cell>
        </row>
        <row r="392">
          <cell r="A392" t="str">
            <v>A4MF012</v>
          </cell>
          <cell r="B392" t="str">
            <v>FK-511 Fax Kit</v>
          </cell>
          <cell r="C392">
            <v>1070</v>
          </cell>
        </row>
        <row r="393">
          <cell r="A393">
            <v>4614506</v>
          </cell>
          <cell r="B393" t="str">
            <v>SP-501 Fax Stamp Unit</v>
          </cell>
          <cell r="C393">
            <v>48</v>
          </cell>
        </row>
        <row r="394">
          <cell r="A394">
            <v>4614511</v>
          </cell>
          <cell r="B394" t="str">
            <v>Spare TX Marker Stamp 2</v>
          </cell>
          <cell r="C394">
            <v>27</v>
          </cell>
        </row>
        <row r="395">
          <cell r="A395" t="str">
            <v>i-Option ACCESSORIES:</v>
          </cell>
          <cell r="B395">
            <v>0</v>
          </cell>
          <cell r="C395">
            <v>0</v>
          </cell>
        </row>
        <row r="396">
          <cell r="A396" t="str">
            <v>A0PD016</v>
          </cell>
          <cell r="B396" t="str">
            <v>LK-102 v3 i-Option License Kit (Encrypted PDF, PDF/A, Linearized PDF)</v>
          </cell>
          <cell r="C396">
            <v>1100</v>
          </cell>
        </row>
        <row r="397">
          <cell r="A397" t="str">
            <v>A0PD01H</v>
          </cell>
          <cell r="B397" t="str">
            <v>LK-101 v3 i-Option License Kit (Web Browser)</v>
          </cell>
          <cell r="C397">
            <v>53</v>
          </cell>
        </row>
        <row r="398">
          <cell r="A398" t="str">
            <v>A0PD017</v>
          </cell>
          <cell r="B398" t="str">
            <v>LK-104 v3 i-Option License Kiit (Voice Guidance)</v>
          </cell>
          <cell r="C398">
            <v>785</v>
          </cell>
        </row>
        <row r="399">
          <cell r="A399" t="str">
            <v>A0PD018</v>
          </cell>
          <cell r="B399" t="str">
            <v>LK-105 v3 (Searchable PDF)</v>
          </cell>
          <cell r="C399">
            <v>668</v>
          </cell>
        </row>
        <row r="400">
          <cell r="A400" t="str">
            <v>A0PD019</v>
          </cell>
          <cell r="B400" t="str">
            <v>LK-106 i-Option License Kit (Bar Code Font)</v>
          </cell>
          <cell r="C400">
            <v>821</v>
          </cell>
        </row>
        <row r="401">
          <cell r="A401" t="str">
            <v>A0PD01F</v>
          </cell>
          <cell r="B401" t="str">
            <v>LK-107 i-Option License Kit (Unicode Font)</v>
          </cell>
          <cell r="C401">
            <v>690</v>
          </cell>
        </row>
        <row r="402">
          <cell r="A402" t="str">
            <v>A0PD01G</v>
          </cell>
          <cell r="B402" t="str">
            <v>LK-108 i-Option License Kit (OCR Font)</v>
          </cell>
          <cell r="C402">
            <v>191</v>
          </cell>
        </row>
        <row r="403">
          <cell r="A403" t="str">
            <v>A0PD01J</v>
          </cell>
          <cell r="B403" t="str">
            <v>LK-110 i-Option License kit (OOXML File Conversion,Enhanced Image Data)</v>
          </cell>
          <cell r="C403">
            <v>1500</v>
          </cell>
        </row>
        <row r="404">
          <cell r="A404" t="str">
            <v>A0PD01K</v>
          </cell>
          <cell r="B404" t="str">
            <v>LK-111 i-Option License Kit (ThinPrint Client Support)</v>
          </cell>
          <cell r="C404">
            <v>250</v>
          </cell>
        </row>
        <row r="405">
          <cell r="A405" t="str">
            <v>A4MHWY1</v>
          </cell>
          <cell r="B405" t="str">
            <v>UK-204 i-Option Memory Upgrade Kit</v>
          </cell>
          <cell r="C405">
            <v>290</v>
          </cell>
        </row>
        <row r="406">
          <cell r="A406" t="str">
            <v>MISC. OPTIONS:</v>
          </cell>
          <cell r="B406">
            <v>0</v>
          </cell>
          <cell r="C406">
            <v>0</v>
          </cell>
        </row>
        <row r="407">
          <cell r="A407" t="str">
            <v>A0X9WY1</v>
          </cell>
          <cell r="B407" t="str">
            <v xml:space="preserve">AU-102 Biometric Authentication Unit </v>
          </cell>
          <cell r="C407">
            <v>947</v>
          </cell>
        </row>
        <row r="408">
          <cell r="A408">
            <v>7640005064</v>
          </cell>
          <cell r="B408" t="str">
            <v>AU-201H HID Proximity Card Authentication Unit</v>
          </cell>
          <cell r="C408">
            <v>423</v>
          </cell>
        </row>
        <row r="409">
          <cell r="A409">
            <v>7640008394</v>
          </cell>
          <cell r="B409" t="str">
            <v>AU-202H iClass Card Reader</v>
          </cell>
          <cell r="C409">
            <v>476</v>
          </cell>
        </row>
        <row r="410">
          <cell r="A410" t="str">
            <v>A4NMWY1</v>
          </cell>
          <cell r="B410" t="str">
            <v>MK-735 Mount Kit  (IC Card Internal Mount Kit)</v>
          </cell>
          <cell r="C410">
            <v>60</v>
          </cell>
        </row>
        <row r="411">
          <cell r="A411" t="str">
            <v>A0YCWY3</v>
          </cell>
          <cell r="B411" t="str">
            <v>EK-605 USB Host Board (Local Interface Kit) with Bluetooth Printing Support</v>
          </cell>
          <cell r="C411">
            <v>279</v>
          </cell>
        </row>
        <row r="412">
          <cell r="A412" t="str">
            <v>A0YCWY4</v>
          </cell>
          <cell r="B412" t="str">
            <v>EK-604 USB Host Board (Local Interface Kit)</v>
          </cell>
          <cell r="C412">
            <v>200</v>
          </cell>
        </row>
        <row r="413">
          <cell r="A413">
            <v>7640006869</v>
          </cell>
          <cell r="B413" t="str">
            <v>External Keyboard</v>
          </cell>
          <cell r="C413">
            <v>223</v>
          </cell>
        </row>
        <row r="414">
          <cell r="A414">
            <v>7640013468</v>
          </cell>
          <cell r="B414" t="str">
            <v>AU-204H Mag Stripe Card Reader</v>
          </cell>
          <cell r="C414">
            <v>423</v>
          </cell>
        </row>
        <row r="415">
          <cell r="A415" t="str">
            <v>A4NRWY1</v>
          </cell>
          <cell r="B415" t="str">
            <v>KH-102 Keyboard Holder</v>
          </cell>
          <cell r="C415">
            <v>123</v>
          </cell>
        </row>
        <row r="416">
          <cell r="A416" t="str">
            <v>A64TWY1</v>
          </cell>
          <cell r="B416" t="str">
            <v>KP-101 10-Key Pad</v>
          </cell>
          <cell r="C416">
            <v>126</v>
          </cell>
        </row>
        <row r="417">
          <cell r="A417">
            <v>4623474</v>
          </cell>
          <cell r="B417" t="str">
            <v>Key Counter Mount Kit 1 for Hecon Conventional Counter</v>
          </cell>
          <cell r="C417">
            <v>86</v>
          </cell>
        </row>
        <row r="418">
          <cell r="A418" t="str">
            <v>A0W4WY2</v>
          </cell>
          <cell r="B418" t="str">
            <v>WT-506 Working Table</v>
          </cell>
          <cell r="C418">
            <v>112</v>
          </cell>
        </row>
        <row r="419">
          <cell r="A419">
            <v>7640005261</v>
          </cell>
          <cell r="B419" t="str">
            <v>HID Proximity Cards - 10 pack</v>
          </cell>
          <cell r="C419">
            <v>69</v>
          </cell>
        </row>
        <row r="420">
          <cell r="A420" t="str">
            <v>A4MMWY1</v>
          </cell>
          <cell r="B420" t="str">
            <v>SC-508 Security Kit (Copy Guard/Password Protect)</v>
          </cell>
          <cell r="C420">
            <v>1225</v>
          </cell>
        </row>
        <row r="421">
          <cell r="A421" t="str">
            <v>XGPCS20DKM</v>
          </cell>
          <cell r="B421" t="str">
            <v>ESP Diagnostic Power Filter 120V/20A</v>
          </cell>
          <cell r="C421">
            <v>307</v>
          </cell>
        </row>
        <row r="422">
          <cell r="A422">
            <v>7640013463</v>
          </cell>
          <cell r="B422" t="str">
            <v>CS-1 Convenience Stapler</v>
          </cell>
          <cell r="C422">
            <v>317</v>
          </cell>
        </row>
        <row r="423">
          <cell r="A423" t="str">
            <v>A161192000</v>
          </cell>
          <cell r="B423" t="str">
            <v>Stylus Pen for INFO-Palette Series</v>
          </cell>
          <cell r="C423">
            <v>30</v>
          </cell>
        </row>
        <row r="424">
          <cell r="A424" t="str">
            <v>PROFESSIONAL SERVICES:</v>
          </cell>
          <cell r="B424">
            <v>0</v>
          </cell>
          <cell r="C424">
            <v>0</v>
          </cell>
        </row>
        <row r="425">
          <cell r="A425" t="str">
            <v>7640015657</v>
          </cell>
          <cell r="B425" t="str">
            <v>bizhub SECURE</v>
          </cell>
          <cell r="C425">
            <v>250</v>
          </cell>
        </row>
        <row r="426">
          <cell r="A426" t="str">
            <v/>
          </cell>
          <cell r="B426">
            <v>0</v>
          </cell>
          <cell r="C426">
            <v>0</v>
          </cell>
        </row>
        <row r="427">
          <cell r="A427">
            <v>0</v>
          </cell>
          <cell r="B427">
            <v>0</v>
          </cell>
          <cell r="C427">
            <v>0</v>
          </cell>
        </row>
        <row r="428">
          <cell r="A428" t="str">
            <v>A55V017</v>
          </cell>
          <cell r="B428" t="str">
            <v>bizhub 754e</v>
          </cell>
          <cell r="C428">
            <v>35280</v>
          </cell>
        </row>
        <row r="429">
          <cell r="A429" t="str">
            <v>PAPER SUPPLY OPTIONS:</v>
          </cell>
          <cell r="B429">
            <v>0</v>
          </cell>
          <cell r="C429">
            <v>0</v>
          </cell>
        </row>
        <row r="430">
          <cell r="A430" t="str">
            <v>A0TJWY4</v>
          </cell>
          <cell r="B430" t="str">
            <v>LU-204 Large Capacity Unit</v>
          </cell>
          <cell r="C430">
            <v>3339</v>
          </cell>
        </row>
        <row r="431">
          <cell r="A431" t="str">
            <v>A03NWY2</v>
          </cell>
          <cell r="B431" t="str">
            <v>LU-301 Large Capacity Unit</v>
          </cell>
          <cell r="C431">
            <v>1781</v>
          </cell>
        </row>
        <row r="432">
          <cell r="A432" t="str">
            <v>OUTPUT OPTIONS:</v>
          </cell>
          <cell r="B432">
            <v>0</v>
          </cell>
          <cell r="C432">
            <v>0</v>
          </cell>
        </row>
        <row r="433">
          <cell r="A433" t="str">
            <v>A2Y1WY1</v>
          </cell>
          <cell r="B433" t="str">
            <v>FS-535 100-Sheet Stapling Finisher</v>
          </cell>
          <cell r="C433">
            <v>3020</v>
          </cell>
        </row>
        <row r="434">
          <cell r="A434" t="str">
            <v>A2Y2WY1</v>
          </cell>
          <cell r="B434" t="str">
            <v>SD-512 Saddle Stitcher (FS-535)</v>
          </cell>
          <cell r="C434">
            <v>1670</v>
          </cell>
        </row>
        <row r="435">
          <cell r="A435" t="str">
            <v>A2YRW11</v>
          </cell>
          <cell r="B435" t="str">
            <v>PK-521 2/3 Hole Punch Unit (FS-535)</v>
          </cell>
          <cell r="C435">
            <v>863</v>
          </cell>
        </row>
        <row r="436">
          <cell r="A436" t="str">
            <v>A092WW1</v>
          </cell>
          <cell r="B436" t="str">
            <v>OT-503 Output Tray</v>
          </cell>
          <cell r="C436">
            <v>112</v>
          </cell>
        </row>
        <row r="437">
          <cell r="A437" t="str">
            <v>A10CWY1</v>
          </cell>
          <cell r="B437" t="str">
            <v>JS-602  Job Separator Tray (3rd Output Tray)</v>
          </cell>
          <cell r="C437">
            <v>500</v>
          </cell>
        </row>
        <row r="438">
          <cell r="A438" t="str">
            <v>A109W12</v>
          </cell>
          <cell r="B438" t="str">
            <v>ZU-606 Z-Folding Unit (FS-535)</v>
          </cell>
          <cell r="C438">
            <v>5510</v>
          </cell>
        </row>
        <row r="439">
          <cell r="A439" t="str">
            <v>A10AWY1</v>
          </cell>
          <cell r="B439" t="str">
            <v>PI-505 Post Inserter for FS-526</v>
          </cell>
          <cell r="C439">
            <v>1113</v>
          </cell>
        </row>
        <row r="440">
          <cell r="A440" t="str">
            <v>A3EPWY1</v>
          </cell>
          <cell r="B440" t="str">
            <v>FS-534 50-Sheet Stapling Finisher</v>
          </cell>
          <cell r="C440">
            <v>1855</v>
          </cell>
        </row>
        <row r="441">
          <cell r="A441" t="str">
            <v>A3EPWYA</v>
          </cell>
          <cell r="B441" t="str">
            <v>FS-534 + SD-511  Kit</v>
          </cell>
          <cell r="C441">
            <v>3305</v>
          </cell>
        </row>
        <row r="442">
          <cell r="A442" t="str">
            <v>A3ETW11</v>
          </cell>
          <cell r="B442" t="str">
            <v>PK-520 2/3 Hole Punch Unit (FS-534)</v>
          </cell>
          <cell r="C442">
            <v>586</v>
          </cell>
        </row>
        <row r="443">
          <cell r="A443" t="str">
            <v>FAX / SCAN OPTIONS:</v>
          </cell>
          <cell r="B443">
            <v>0</v>
          </cell>
          <cell r="C443">
            <v>0</v>
          </cell>
        </row>
        <row r="444">
          <cell r="A444" t="str">
            <v>A4MF012</v>
          </cell>
          <cell r="B444" t="str">
            <v>FK-511 Fax Kit</v>
          </cell>
          <cell r="C444">
            <v>1070</v>
          </cell>
        </row>
        <row r="445">
          <cell r="A445">
            <v>4614506</v>
          </cell>
          <cell r="B445" t="str">
            <v>SP-501 Fax Stamp Unit</v>
          </cell>
          <cell r="C445">
            <v>48</v>
          </cell>
        </row>
        <row r="446">
          <cell r="A446">
            <v>4614511</v>
          </cell>
          <cell r="B446" t="str">
            <v>Spare TX Marker Stamp 2</v>
          </cell>
          <cell r="C446">
            <v>27</v>
          </cell>
        </row>
        <row r="447">
          <cell r="A447" t="str">
            <v>i-Option ACCESSORIES:</v>
          </cell>
          <cell r="B447">
            <v>0</v>
          </cell>
          <cell r="C447">
            <v>0</v>
          </cell>
        </row>
        <row r="448">
          <cell r="A448" t="str">
            <v>A0PD016</v>
          </cell>
          <cell r="B448" t="str">
            <v>LK-102 v3 i-Option License Kit (Encrypted PDF, PDF/A, Linearized PDF)</v>
          </cell>
          <cell r="C448">
            <v>1100</v>
          </cell>
        </row>
        <row r="449">
          <cell r="A449" t="str">
            <v>A0PD01H</v>
          </cell>
          <cell r="B449" t="str">
            <v>LK-101 v3 i-Option License Kit (Web Browser)</v>
          </cell>
          <cell r="C449">
            <v>53</v>
          </cell>
        </row>
        <row r="450">
          <cell r="A450" t="str">
            <v>A0PD017</v>
          </cell>
          <cell r="B450" t="str">
            <v>LK-104 v3 i-Option License Kiit (Voice Guidance)</v>
          </cell>
          <cell r="C450">
            <v>785</v>
          </cell>
        </row>
        <row r="451">
          <cell r="A451" t="str">
            <v>A0PD018</v>
          </cell>
          <cell r="B451" t="str">
            <v>LK-105 v3 (Searchable PDF)</v>
          </cell>
          <cell r="C451">
            <v>668</v>
          </cell>
        </row>
        <row r="452">
          <cell r="A452" t="str">
            <v>A0PD019</v>
          </cell>
          <cell r="B452" t="str">
            <v>LK-106 i-Option License Kit (Bar Code Font)</v>
          </cell>
          <cell r="C452">
            <v>821</v>
          </cell>
        </row>
        <row r="453">
          <cell r="A453" t="str">
            <v>A0PD01F</v>
          </cell>
          <cell r="B453" t="str">
            <v>LK-107 i-Option License Kit (Unicode Font)</v>
          </cell>
          <cell r="C453">
            <v>690</v>
          </cell>
        </row>
        <row r="454">
          <cell r="A454" t="str">
            <v>A0PD01G</v>
          </cell>
          <cell r="B454" t="str">
            <v>LK-108 i-Option License Kit (OCR Font)</v>
          </cell>
          <cell r="C454">
            <v>191</v>
          </cell>
        </row>
        <row r="455">
          <cell r="A455" t="str">
            <v>A0PD01J</v>
          </cell>
          <cell r="B455" t="str">
            <v>LK-110 i-Option License kit (OOXML File Conversion,Enhanced Image Data)</v>
          </cell>
          <cell r="C455">
            <v>1500</v>
          </cell>
        </row>
        <row r="456">
          <cell r="A456" t="str">
            <v>A0PD01K</v>
          </cell>
          <cell r="B456" t="str">
            <v>LK-111 i-Option License Kit (ThinPrint Client Support)</v>
          </cell>
          <cell r="C456">
            <v>250</v>
          </cell>
        </row>
        <row r="457">
          <cell r="A457" t="str">
            <v>A4MHWY1</v>
          </cell>
          <cell r="B457" t="str">
            <v>UK-204 i-Option Memory Upgrade Kit</v>
          </cell>
          <cell r="C457">
            <v>290</v>
          </cell>
        </row>
        <row r="458">
          <cell r="A458" t="str">
            <v>MISC. OPTIONS:</v>
          </cell>
          <cell r="B458">
            <v>0</v>
          </cell>
          <cell r="C458">
            <v>0</v>
          </cell>
        </row>
        <row r="459">
          <cell r="A459" t="str">
            <v>A0X9WY1</v>
          </cell>
          <cell r="B459" t="str">
            <v xml:space="preserve">AU-102 Biometric Authentication Unit </v>
          </cell>
          <cell r="C459">
            <v>947</v>
          </cell>
        </row>
        <row r="460">
          <cell r="A460">
            <v>7640005064</v>
          </cell>
          <cell r="B460" t="str">
            <v>AU-201H HID Proximity Card Authentication Unit</v>
          </cell>
          <cell r="C460">
            <v>423</v>
          </cell>
        </row>
        <row r="461">
          <cell r="A461">
            <v>7640008394</v>
          </cell>
          <cell r="B461" t="str">
            <v>AU-202H iClass Card Reader</v>
          </cell>
          <cell r="C461">
            <v>476</v>
          </cell>
        </row>
        <row r="462">
          <cell r="A462" t="str">
            <v>A4NMWY1</v>
          </cell>
          <cell r="B462" t="str">
            <v>MK-735 Mount Kit  (IC Card Internal Mount Kit)</v>
          </cell>
          <cell r="C462">
            <v>60</v>
          </cell>
        </row>
        <row r="463">
          <cell r="A463" t="str">
            <v>A0YCWY3</v>
          </cell>
          <cell r="B463" t="str">
            <v>EK-605 USB Host Board (Local Interface Kit) with Bluetooth Printing Support</v>
          </cell>
          <cell r="C463">
            <v>279</v>
          </cell>
        </row>
        <row r="464">
          <cell r="A464" t="str">
            <v>A0YCWY4</v>
          </cell>
          <cell r="B464" t="str">
            <v>EK-604 USB Host Board (Local Interface Kit)</v>
          </cell>
          <cell r="C464">
            <v>200</v>
          </cell>
        </row>
        <row r="465">
          <cell r="A465">
            <v>7640006869</v>
          </cell>
          <cell r="B465" t="str">
            <v>External Keyboard</v>
          </cell>
          <cell r="C465">
            <v>223</v>
          </cell>
        </row>
        <row r="466">
          <cell r="A466">
            <v>7640013468</v>
          </cell>
          <cell r="B466" t="str">
            <v>AU-204H Mag Stripe Card Reader</v>
          </cell>
          <cell r="C466">
            <v>423</v>
          </cell>
        </row>
        <row r="467">
          <cell r="A467" t="str">
            <v>A4NRWY1</v>
          </cell>
          <cell r="B467" t="str">
            <v>KH-102 Keyboard Holder</v>
          </cell>
          <cell r="C467">
            <v>123</v>
          </cell>
        </row>
        <row r="468">
          <cell r="A468" t="str">
            <v>A64TWY1</v>
          </cell>
          <cell r="B468" t="str">
            <v>KP-101 10-Key Pad</v>
          </cell>
          <cell r="C468">
            <v>126</v>
          </cell>
        </row>
        <row r="469">
          <cell r="A469">
            <v>4623474</v>
          </cell>
          <cell r="B469" t="str">
            <v>Key Counter Mount Kit 1 for Hecon Conventional Counter</v>
          </cell>
          <cell r="C469">
            <v>86</v>
          </cell>
        </row>
        <row r="470">
          <cell r="A470" t="str">
            <v>A0W4WY2</v>
          </cell>
          <cell r="B470" t="str">
            <v>WT-506 Working Table</v>
          </cell>
          <cell r="C470">
            <v>112</v>
          </cell>
        </row>
        <row r="471">
          <cell r="A471">
            <v>7640005261</v>
          </cell>
          <cell r="B471" t="str">
            <v>HID Proximity Cards - 10 pack</v>
          </cell>
          <cell r="C471">
            <v>69</v>
          </cell>
        </row>
        <row r="472">
          <cell r="A472" t="str">
            <v>A4MMWY1</v>
          </cell>
          <cell r="B472" t="str">
            <v>SC-508 Security Kit (Copy Guard/Password Protect)</v>
          </cell>
          <cell r="C472">
            <v>1225</v>
          </cell>
        </row>
        <row r="473">
          <cell r="A473" t="str">
            <v>XGPCS20DKM</v>
          </cell>
          <cell r="B473" t="str">
            <v>ESP Diagnostic Power Filter 120V/20A</v>
          </cell>
          <cell r="C473">
            <v>307</v>
          </cell>
        </row>
        <row r="474">
          <cell r="A474">
            <v>7640013463</v>
          </cell>
          <cell r="B474" t="str">
            <v>CS-1 Convenience Stapler</v>
          </cell>
          <cell r="C474">
            <v>317</v>
          </cell>
        </row>
        <row r="475">
          <cell r="A475" t="str">
            <v>A161192000</v>
          </cell>
          <cell r="B475" t="str">
            <v>Stylus Pen for INFO-Palette Series</v>
          </cell>
          <cell r="C475">
            <v>30</v>
          </cell>
        </row>
        <row r="476">
          <cell r="A476" t="str">
            <v>PROFESSIONAL SERVICES:</v>
          </cell>
          <cell r="B476">
            <v>0</v>
          </cell>
          <cell r="C476">
            <v>0</v>
          </cell>
        </row>
        <row r="477">
          <cell r="A477" t="str">
            <v>7640015657</v>
          </cell>
          <cell r="B477" t="str">
            <v>bizhub SECURE</v>
          </cell>
          <cell r="C477">
            <v>250</v>
          </cell>
        </row>
        <row r="478">
          <cell r="A478">
            <v>0</v>
          </cell>
          <cell r="B478">
            <v>0</v>
          </cell>
          <cell r="C478">
            <v>0</v>
          </cell>
        </row>
        <row r="479">
          <cell r="A479" t="str">
            <v>A4EW011</v>
          </cell>
          <cell r="B479" t="str">
            <v>bizhub PRO 951</v>
          </cell>
          <cell r="C479">
            <v>42000</v>
          </cell>
        </row>
        <row r="480">
          <cell r="A480" t="str">
            <v>7640014688</v>
          </cell>
          <cell r="B480" t="str">
            <v>Basic Professional Services - Level 1</v>
          </cell>
          <cell r="C480">
            <v>600</v>
          </cell>
        </row>
        <row r="481">
          <cell r="A481" t="str">
            <v>7640015255</v>
          </cell>
          <cell r="B481" t="str">
            <v>Professional Services Project Fee</v>
          </cell>
          <cell r="C481">
            <v>1</v>
          </cell>
        </row>
        <row r="482">
          <cell r="A482" t="str">
            <v>7640018460</v>
          </cell>
          <cell r="B482" t="str">
            <v>Networking Fee</v>
          </cell>
          <cell r="C482">
            <v>1</v>
          </cell>
        </row>
        <row r="483">
          <cell r="A483" t="str">
            <v>7640015255</v>
          </cell>
          <cell r="B483" t="str">
            <v>Professional Services Project Fee</v>
          </cell>
          <cell r="C483">
            <v>1</v>
          </cell>
        </row>
        <row r="484">
          <cell r="A484" t="str">
            <v>PAPER SUPPLY OPTIONS:</v>
          </cell>
          <cell r="B484">
            <v>0</v>
          </cell>
          <cell r="C484">
            <v>0</v>
          </cell>
        </row>
        <row r="485">
          <cell r="A485" t="str">
            <v>A4EYWY1</v>
          </cell>
          <cell r="B485" t="str">
            <v>PF-706 Large capacity paper feed unit</v>
          </cell>
          <cell r="C485">
            <v>6455.4</v>
          </cell>
        </row>
        <row r="486">
          <cell r="A486" t="str">
            <v>A4F0WY1</v>
          </cell>
          <cell r="B486" t="str">
            <v>LU-409 Large capacity paper feed unit (letter size)</v>
          </cell>
          <cell r="C486">
            <v>2226</v>
          </cell>
        </row>
        <row r="487">
          <cell r="A487" t="str">
            <v>A4F1WY1</v>
          </cell>
          <cell r="B487" t="str">
            <v>LU-410 Large capacity paper feed unit (12x18)</v>
          </cell>
          <cell r="C487">
            <v>3116</v>
          </cell>
        </row>
        <row r="488">
          <cell r="A488" t="str">
            <v>A08RWY1</v>
          </cell>
          <cell r="B488" t="str">
            <v>PP-701 Pre-Printed Paper Feed Enhance Kit (For PF-701 and PF-702)</v>
          </cell>
          <cell r="C488">
            <v>1336</v>
          </cell>
        </row>
        <row r="489">
          <cell r="A489" t="str">
            <v>OUTPUT OPTIONS:</v>
          </cell>
          <cell r="B489">
            <v>0</v>
          </cell>
          <cell r="C489">
            <v>0</v>
          </cell>
        </row>
        <row r="490">
          <cell r="A490" t="str">
            <v>A4F3WY2</v>
          </cell>
          <cell r="B490" t="str">
            <v>FS-532 100 sheet staple finisher</v>
          </cell>
          <cell r="C490">
            <v>5205</v>
          </cell>
        </row>
        <row r="491">
          <cell r="A491" t="str">
            <v>A4F4WY1</v>
          </cell>
          <cell r="B491" t="str">
            <v>SD-510 Saddle Stitch Kit</v>
          </cell>
          <cell r="C491">
            <v>1977</v>
          </cell>
        </row>
        <row r="492">
          <cell r="A492" t="str">
            <v>A4FAW11</v>
          </cell>
          <cell r="B492" t="str">
            <v>PK-522 punch kit</v>
          </cell>
          <cell r="C492">
            <v>835</v>
          </cell>
        </row>
        <row r="493">
          <cell r="A493" t="str">
            <v>A4F8WY2</v>
          </cell>
          <cell r="B493" t="str">
            <v>ZU-608 Z-folding unit</v>
          </cell>
          <cell r="C493">
            <v>5510</v>
          </cell>
        </row>
        <row r="494">
          <cell r="A494" t="str">
            <v>A4F5WY1</v>
          </cell>
          <cell r="B494" t="str">
            <v>MK-732 (mount kit for PI-502)</v>
          </cell>
          <cell r="C494">
            <v>445</v>
          </cell>
        </row>
        <row r="495">
          <cell r="A495" t="str">
            <v>A5A8WY1</v>
          </cell>
          <cell r="B495" t="str">
            <v>UK-205 (upgrade kit for eCopy)</v>
          </cell>
          <cell r="C495">
            <v>35</v>
          </cell>
        </row>
        <row r="496">
          <cell r="A496" t="str">
            <v>A04HWY2</v>
          </cell>
          <cell r="B496" t="str">
            <v>PI-502 Multi-Post Inserter</v>
          </cell>
          <cell r="C496">
            <v>1113</v>
          </cell>
        </row>
        <row r="497">
          <cell r="A497" t="str">
            <v>A4F6W11</v>
          </cell>
          <cell r="B497" t="str">
            <v>GP-502 Ring Binder</v>
          </cell>
          <cell r="C497">
            <v>29000</v>
          </cell>
        </row>
        <row r="498">
          <cell r="A498" t="str">
            <v>A4F7WY1</v>
          </cell>
          <cell r="B498" t="str">
            <v>RB-101 Binding Element for GP-502 - BLACK (1,000 pcs)</v>
          </cell>
          <cell r="C498">
            <v>600</v>
          </cell>
        </row>
        <row r="499">
          <cell r="A499" t="str">
            <v>A4F7WY2</v>
          </cell>
          <cell r="B499" t="str">
            <v>RB-101 Binding Element for GP-502 - CLEAR (1,000 pcs)</v>
          </cell>
          <cell r="C499">
            <v>600</v>
          </cell>
        </row>
        <row r="500">
          <cell r="A500" t="str">
            <v>A4F7WY3</v>
          </cell>
          <cell r="B500" t="str">
            <v>RB-101 Binding Element for GP-502 - WHITE (1,000 pcs)</v>
          </cell>
          <cell r="C500">
            <v>600</v>
          </cell>
        </row>
        <row r="501">
          <cell r="A501" t="str">
            <v>A4F7WY4</v>
          </cell>
          <cell r="B501" t="str">
            <v>RB-101 Binding Element for GP-502 - NAVY (1,000 pcs)</v>
          </cell>
          <cell r="C501">
            <v>600</v>
          </cell>
        </row>
        <row r="502">
          <cell r="A502" t="str">
            <v>A0N9W11</v>
          </cell>
          <cell r="B502" t="str">
            <v>GP-501 GBC Punch Unit (punch dies sold separately)</v>
          </cell>
          <cell r="C502">
            <v>18232</v>
          </cell>
        </row>
        <row r="503">
          <cell r="A503" t="str">
            <v>A0NAW11</v>
          </cell>
          <cell r="B503" t="str">
            <v>DS-501 3 Hole Punch Die</v>
          </cell>
          <cell r="C503">
            <v>1484</v>
          </cell>
        </row>
        <row r="504">
          <cell r="A504" t="str">
            <v>A0NCW11</v>
          </cell>
          <cell r="B504" t="str">
            <v>DS-502 19 Hole Cerlox Punch Die</v>
          </cell>
          <cell r="C504">
            <v>1484</v>
          </cell>
        </row>
        <row r="505">
          <cell r="A505" t="str">
            <v>A0NDW11</v>
          </cell>
          <cell r="B505" t="str">
            <v>DS-503 32 Hole Wirebind Punch Die</v>
          </cell>
          <cell r="C505">
            <v>1484</v>
          </cell>
        </row>
        <row r="506">
          <cell r="A506" t="str">
            <v>A0NEW11</v>
          </cell>
          <cell r="B506" t="str">
            <v>DS-504 21 Hole Wirebind Punch Die</v>
          </cell>
          <cell r="C506">
            <v>1484</v>
          </cell>
        </row>
        <row r="507">
          <cell r="A507" t="str">
            <v>A0NFW11</v>
          </cell>
          <cell r="B507" t="str">
            <v>DS-505 44 Hole Color Coil Punch Die</v>
          </cell>
          <cell r="C507">
            <v>1484</v>
          </cell>
        </row>
        <row r="508">
          <cell r="A508" t="str">
            <v>A0NGW11</v>
          </cell>
          <cell r="B508" t="str">
            <v>DS-506 11 Hole Velobind Punch Die</v>
          </cell>
          <cell r="C508">
            <v>1484</v>
          </cell>
        </row>
        <row r="509">
          <cell r="A509" t="str">
            <v>A0NHW11</v>
          </cell>
          <cell r="B509" t="str">
            <v>DS-507 32 Hole Proclick Punch Die</v>
          </cell>
          <cell r="C509">
            <v>1484</v>
          </cell>
        </row>
        <row r="510">
          <cell r="A510" t="str">
            <v>MISC. OPTIONS:</v>
          </cell>
          <cell r="B510">
            <v>0</v>
          </cell>
          <cell r="C510">
            <v>0</v>
          </cell>
        </row>
        <row r="511">
          <cell r="A511" t="str">
            <v>A0X9WY1</v>
          </cell>
          <cell r="B511" t="str">
            <v xml:space="preserve">AU-102 Biometric Authentication Unit </v>
          </cell>
          <cell r="C511">
            <v>947</v>
          </cell>
        </row>
        <row r="512">
          <cell r="A512" t="str">
            <v>A0W5WY1</v>
          </cell>
          <cell r="B512" t="str">
            <v>HD-511 Removable HDD Inner Case Kit for 1200/1051</v>
          </cell>
          <cell r="C512">
            <v>1410</v>
          </cell>
        </row>
        <row r="513">
          <cell r="A513" t="str">
            <v>A0W6WY2</v>
          </cell>
          <cell r="B513" t="str">
            <v>RH-101 Removable HDD Kit</v>
          </cell>
          <cell r="C513">
            <v>3487</v>
          </cell>
        </row>
        <row r="514">
          <cell r="A514" t="str">
            <v>XGPCS20820DKM</v>
          </cell>
          <cell r="B514" t="str">
            <v>ESP Diagnostic Power Filter 208V/20A</v>
          </cell>
          <cell r="C514">
            <v>381</v>
          </cell>
        </row>
        <row r="515">
          <cell r="A515" t="str">
            <v>XGPCS15DKM</v>
          </cell>
          <cell r="B515" t="str">
            <v>ESP Diagnostic Power Filter 120V/15A</v>
          </cell>
          <cell r="C515">
            <v>275</v>
          </cell>
        </row>
        <row r="516">
          <cell r="A516" t="str">
            <v/>
          </cell>
          <cell r="B516">
            <v>0</v>
          </cell>
          <cell r="C516">
            <v>0</v>
          </cell>
        </row>
        <row r="517">
          <cell r="A517">
            <v>0</v>
          </cell>
          <cell r="B517">
            <v>0</v>
          </cell>
          <cell r="C517">
            <v>0</v>
          </cell>
        </row>
        <row r="518">
          <cell r="A518" t="str">
            <v>A4EV011</v>
          </cell>
          <cell r="B518" t="str">
            <v>bizhub PRESS 1052</v>
          </cell>
          <cell r="C518">
            <v>65000</v>
          </cell>
        </row>
        <row r="519">
          <cell r="A519" t="str">
            <v>7640012599</v>
          </cell>
          <cell r="B519" t="str">
            <v>Basic Professional Services - Level 3</v>
          </cell>
          <cell r="C519">
            <v>1200</v>
          </cell>
        </row>
        <row r="520">
          <cell r="A520" t="str">
            <v>7640015255</v>
          </cell>
          <cell r="B520" t="str">
            <v>Professional Services Project Fee</v>
          </cell>
          <cell r="C520">
            <v>1</v>
          </cell>
        </row>
        <row r="521">
          <cell r="A521" t="str">
            <v>7640018460</v>
          </cell>
          <cell r="B521" t="str">
            <v>Networking Fee</v>
          </cell>
          <cell r="C521">
            <v>1</v>
          </cell>
        </row>
        <row r="522">
          <cell r="A522" t="str">
            <v>7640015255</v>
          </cell>
          <cell r="B522" t="str">
            <v>Professional Services Project Fee</v>
          </cell>
          <cell r="C522">
            <v>1</v>
          </cell>
        </row>
        <row r="523">
          <cell r="A523" t="str">
            <v>PAPER SUPPLY OPTIONS:</v>
          </cell>
          <cell r="B523">
            <v>0</v>
          </cell>
          <cell r="C523">
            <v>0</v>
          </cell>
        </row>
        <row r="524">
          <cell r="A524" t="str">
            <v>A08RWY1</v>
          </cell>
          <cell r="B524" t="str">
            <v>PP-701 Pre-Printed Paper Feed Enhance Kit (For PF-701 and PF-702)</v>
          </cell>
          <cell r="C524">
            <v>1336</v>
          </cell>
        </row>
        <row r="525">
          <cell r="A525" t="str">
            <v>A4EYWY1</v>
          </cell>
          <cell r="B525" t="str">
            <v>PF-706 Large capacity paper feed unit</v>
          </cell>
          <cell r="C525">
            <v>6455</v>
          </cell>
        </row>
        <row r="526">
          <cell r="A526" t="str">
            <v>A0GDWY1</v>
          </cell>
          <cell r="B526" t="str">
            <v>PF-703 Vacuum Paper Feed Unit / PI-PFU (5,000 sheets)</v>
          </cell>
          <cell r="C526">
            <v>10579</v>
          </cell>
        </row>
        <row r="527">
          <cell r="A527" t="str">
            <v>A0GFWY1</v>
          </cell>
          <cell r="B527" t="str">
            <v>FA-501 PI-PFU Connection Kit</v>
          </cell>
          <cell r="C527">
            <v>5215</v>
          </cell>
        </row>
        <row r="528">
          <cell r="A528" t="str">
            <v>A15AWY1</v>
          </cell>
          <cell r="B528" t="str">
            <v>HT-505 Dehumidifier/Heater for PFU</v>
          </cell>
          <cell r="C528">
            <v>2115</v>
          </cell>
        </row>
        <row r="529">
          <cell r="A529" t="str">
            <v>OUTPUT OPTIONS:</v>
          </cell>
          <cell r="B529">
            <v>0</v>
          </cell>
          <cell r="C529">
            <v>0</v>
          </cell>
        </row>
        <row r="530">
          <cell r="A530" t="str">
            <v>A04HWY2</v>
          </cell>
          <cell r="B530" t="str">
            <v>PI-502 Multi-Post Inserter</v>
          </cell>
          <cell r="C530">
            <v>1113</v>
          </cell>
        </row>
        <row r="531">
          <cell r="A531" t="str">
            <v>A0H0W11</v>
          </cell>
          <cell r="B531" t="str">
            <v>FD-503 Multi Folding Unit</v>
          </cell>
          <cell r="C531">
            <v>18921</v>
          </cell>
        </row>
        <row r="532">
          <cell r="A532" t="str">
            <v>A0H1W12</v>
          </cell>
          <cell r="B532" t="str">
            <v>LS-505 Large Capacity Stacker (includes one LC-501)</v>
          </cell>
          <cell r="C532">
            <v>18365</v>
          </cell>
        </row>
        <row r="533">
          <cell r="A533" t="str">
            <v>A0H2WY2</v>
          </cell>
          <cell r="B533" t="str">
            <v>SD-506 Saddle Stitch Unit</v>
          </cell>
          <cell r="C533">
            <v>27825</v>
          </cell>
        </row>
        <row r="534">
          <cell r="A534" t="str">
            <v>A0N9W11</v>
          </cell>
          <cell r="B534" t="str">
            <v>GP-501 GBC Punch Unit (punch dies sold separately)</v>
          </cell>
          <cell r="C534">
            <v>18232</v>
          </cell>
        </row>
        <row r="535">
          <cell r="A535" t="str">
            <v>A0NAW11</v>
          </cell>
          <cell r="B535" t="str">
            <v>DS-501 3 Hole Punch Die</v>
          </cell>
          <cell r="C535">
            <v>1484</v>
          </cell>
        </row>
        <row r="536">
          <cell r="A536" t="str">
            <v>A0NCW11</v>
          </cell>
          <cell r="B536" t="str">
            <v>DS-502 19 Hole Cerlox Punch Die</v>
          </cell>
          <cell r="C536">
            <v>1484</v>
          </cell>
        </row>
        <row r="537">
          <cell r="A537" t="str">
            <v>A0NDW11</v>
          </cell>
          <cell r="B537" t="str">
            <v>DS-503 32 Hole Wirebind Punch Die</v>
          </cell>
          <cell r="C537">
            <v>1484</v>
          </cell>
        </row>
        <row r="538">
          <cell r="A538" t="str">
            <v>A0NEW11</v>
          </cell>
          <cell r="B538" t="str">
            <v>DS-504 21 Hole Wirebind Punch Die</v>
          </cell>
          <cell r="C538">
            <v>1484</v>
          </cell>
        </row>
        <row r="539">
          <cell r="A539" t="str">
            <v>A4F6W11</v>
          </cell>
          <cell r="B539" t="str">
            <v>GP-502 Ring Binder</v>
          </cell>
          <cell r="C539">
            <v>29000</v>
          </cell>
        </row>
        <row r="540">
          <cell r="A540" t="str">
            <v>A4F7WY1</v>
          </cell>
          <cell r="B540" t="str">
            <v>RB-101 Binding Element for GP-502 - BLACK (1,000 pcs)</v>
          </cell>
          <cell r="C540">
            <v>600</v>
          </cell>
        </row>
        <row r="541">
          <cell r="A541" t="str">
            <v>A4F7WY2</v>
          </cell>
          <cell r="B541" t="str">
            <v>RB-101 Binding Element for GP-502 - CLEAR (1,000 pcs)</v>
          </cell>
          <cell r="C541">
            <v>600</v>
          </cell>
        </row>
        <row r="542">
          <cell r="A542" t="str">
            <v>A4F7WY3</v>
          </cell>
          <cell r="B542" t="str">
            <v>RB-101 Binding Element for GP-502 - WHITE (1,000 pcs)</v>
          </cell>
          <cell r="C542">
            <v>600</v>
          </cell>
        </row>
        <row r="543">
          <cell r="A543" t="str">
            <v>A4F7WY4</v>
          </cell>
          <cell r="B543" t="str">
            <v>RB-101 Binding Element for GP-502 - NAVY (1,000 pcs)</v>
          </cell>
          <cell r="C543">
            <v>600</v>
          </cell>
        </row>
        <row r="544">
          <cell r="A544" t="str">
            <v>A0NFW11</v>
          </cell>
          <cell r="B544" t="str">
            <v>DS-505 44 Hole Color Coil Punch Die</v>
          </cell>
          <cell r="C544">
            <v>1484</v>
          </cell>
        </row>
        <row r="545">
          <cell r="A545" t="str">
            <v>A0NGW11</v>
          </cell>
          <cell r="B545" t="str">
            <v>DS-506 11 Hole Velobind Punch Die</v>
          </cell>
          <cell r="C545">
            <v>1484</v>
          </cell>
        </row>
        <row r="546">
          <cell r="A546" t="str">
            <v>A0NHW11</v>
          </cell>
          <cell r="B546" t="str">
            <v>DS-507 32 Hole Proclick Punch Die</v>
          </cell>
          <cell r="C546">
            <v>1484</v>
          </cell>
        </row>
        <row r="547">
          <cell r="A547" t="str">
            <v>A15XW12</v>
          </cell>
          <cell r="B547" t="str">
            <v>PB-503 Perfect Binder</v>
          </cell>
          <cell r="C547">
            <v>44838</v>
          </cell>
        </row>
        <row r="548">
          <cell r="A548" t="str">
            <v>A1AHWY1</v>
          </cell>
          <cell r="B548" t="str">
            <v>LC-501 Additional Cart for LS-505</v>
          </cell>
          <cell r="C548">
            <v>890</v>
          </cell>
        </row>
        <row r="549">
          <cell r="A549" t="str">
            <v>A2A2W12</v>
          </cell>
          <cell r="B549" t="str">
            <v>RU-509 Relay/Buffer Pass Unit</v>
          </cell>
          <cell r="C549">
            <v>6360</v>
          </cell>
        </row>
        <row r="550">
          <cell r="A550" t="str">
            <v>A2A3WY2</v>
          </cell>
          <cell r="B550" t="str">
            <v>HM-102 Humidifier Kit</v>
          </cell>
          <cell r="C550">
            <v>11660</v>
          </cell>
        </row>
        <row r="551">
          <cell r="A551" t="str">
            <v>A4F2WY1</v>
          </cell>
          <cell r="B551" t="str">
            <v>EF-102 Envelope Fusing Unit</v>
          </cell>
          <cell r="C551">
            <v>4435</v>
          </cell>
        </row>
        <row r="552">
          <cell r="A552" t="str">
            <v>A4F3WY2</v>
          </cell>
          <cell r="B552" t="str">
            <v>FS-532 100 Sheet Staple Finisher</v>
          </cell>
          <cell r="C552">
            <v>5205</v>
          </cell>
        </row>
        <row r="553">
          <cell r="A553" t="str">
            <v>A4F4WY1</v>
          </cell>
          <cell r="B553" t="str">
            <v>SD-510 Saddle Stitch Kit</v>
          </cell>
          <cell r="C553">
            <v>1977</v>
          </cell>
        </row>
        <row r="554">
          <cell r="A554" t="str">
            <v>A4F5WY1</v>
          </cell>
          <cell r="B554" t="str">
            <v>MK-732 (mount kit for PI-502)</v>
          </cell>
          <cell r="C554">
            <v>445</v>
          </cell>
        </row>
        <row r="555">
          <cell r="A555" t="str">
            <v>A4FAW11</v>
          </cell>
          <cell r="B555" t="str">
            <v>PK-522 punch kit</v>
          </cell>
          <cell r="C555">
            <v>835</v>
          </cell>
        </row>
        <row r="556">
          <cell r="A556" t="str">
            <v>A4FCWY1</v>
          </cell>
          <cell r="B556" t="str">
            <v>RU-510 Relay Unit</v>
          </cell>
          <cell r="C556">
            <v>2980</v>
          </cell>
        </row>
        <row r="557">
          <cell r="A557" t="str">
            <v>A5A8WY1</v>
          </cell>
          <cell r="B557" t="str">
            <v>UK-205 (upgrade kit for eCopy)</v>
          </cell>
          <cell r="C557">
            <v>35</v>
          </cell>
        </row>
        <row r="558">
          <cell r="A558" t="str">
            <v>7714357</v>
          </cell>
          <cell r="B558" t="str">
            <v>GBC 3-Hole DuraGlide HD Die Set</v>
          </cell>
          <cell r="C558">
            <v>2124</v>
          </cell>
        </row>
        <row r="559">
          <cell r="A559" t="str">
            <v>7714355</v>
          </cell>
          <cell r="B559" t="str">
            <v>GBC 19-Hole DuraGlide HD Die Set</v>
          </cell>
          <cell r="C559">
            <v>4265</v>
          </cell>
        </row>
        <row r="560">
          <cell r="A560" t="str">
            <v>7640017527</v>
          </cell>
          <cell r="B560" t="str">
            <v>GBC 44 Oval Hole Die for GP-501</v>
          </cell>
          <cell r="C560">
            <v>2015</v>
          </cell>
        </row>
        <row r="561">
          <cell r="A561" t="str">
            <v>HDD OPTIONS:</v>
          </cell>
          <cell r="B561">
            <v>0</v>
          </cell>
          <cell r="C561">
            <v>0</v>
          </cell>
        </row>
        <row r="562">
          <cell r="A562" t="str">
            <v>A0W5WY1</v>
          </cell>
          <cell r="B562" t="str">
            <v>HD-511 Removable HDD Inner Case Kit for 12XX/105X</v>
          </cell>
          <cell r="C562">
            <v>1410</v>
          </cell>
        </row>
        <row r="563">
          <cell r="A563" t="str">
            <v>A0W6WY1</v>
          </cell>
          <cell r="B563" t="str">
            <v>RH-101 Removable HDD Kit for 12XX/105X</v>
          </cell>
          <cell r="C563">
            <v>3487</v>
          </cell>
        </row>
        <row r="564">
          <cell r="A564" t="str">
            <v>PRINT CONTROLLER OPTIONS:</v>
          </cell>
          <cell r="B564">
            <v>0</v>
          </cell>
          <cell r="C564">
            <v>0</v>
          </cell>
        </row>
        <row r="565">
          <cell r="A565" t="str">
            <v>IC309M</v>
          </cell>
          <cell r="B565" t="str">
            <v>Creo IC-309M Controller for 1250 Series</v>
          </cell>
          <cell r="C565">
            <v>21275</v>
          </cell>
        </row>
        <row r="566">
          <cell r="A566" t="str">
            <v>63800214A</v>
          </cell>
          <cell r="B566" t="str">
            <v>Action Pack Option for Creo IC-309 and IC-309m</v>
          </cell>
          <cell r="C566">
            <v>5200</v>
          </cell>
        </row>
        <row r="567">
          <cell r="A567" t="str">
            <v>63800212A</v>
          </cell>
          <cell r="B567" t="str">
            <v>Fast Pack Option for Creo IC-309 and IC-309m</v>
          </cell>
          <cell r="C567">
            <v>5200</v>
          </cell>
        </row>
        <row r="568">
          <cell r="A568" t="str">
            <v>63800862A</v>
          </cell>
          <cell r="B568" t="str">
            <v>Preps Pack Option for Creo IC-309 and IC-309m</v>
          </cell>
          <cell r="C568">
            <v>2395</v>
          </cell>
        </row>
        <row r="569">
          <cell r="A569" t="str">
            <v>63800216A</v>
          </cell>
          <cell r="B569" t="str">
            <v>Trans Pack Option for Creo IC-309 and IC-309m</v>
          </cell>
          <cell r="C569">
            <v>9995</v>
          </cell>
        </row>
        <row r="570">
          <cell r="A570" t="str">
            <v>7640013552</v>
          </cell>
          <cell r="B570" t="str">
            <v>IC-307 Universal Stand</v>
          </cell>
          <cell r="C570">
            <v>954</v>
          </cell>
        </row>
        <row r="571">
          <cell r="A571" t="str">
            <v>MISC. OPTIONS:</v>
          </cell>
          <cell r="B571">
            <v>0</v>
          </cell>
          <cell r="C571">
            <v>0</v>
          </cell>
        </row>
        <row r="572">
          <cell r="A572" t="str">
            <v>LES402A</v>
          </cell>
          <cell r="B572" t="str">
            <v>PATLITE STATUS LIGHT KIT FOR BIZHUB PRESS MODELS</v>
          </cell>
          <cell r="C572">
            <v>350</v>
          </cell>
        </row>
        <row r="573">
          <cell r="A573" t="str">
            <v>A0X9WY1</v>
          </cell>
          <cell r="B573" t="str">
            <v xml:space="preserve">AU-102 Biometric Authentication Unit </v>
          </cell>
          <cell r="C573">
            <v>947</v>
          </cell>
        </row>
        <row r="574">
          <cell r="A574" t="str">
            <v>7640005064</v>
          </cell>
          <cell r="B574" t="str">
            <v>AU-201H HID Proximity Card Authentication Unit</v>
          </cell>
          <cell r="C574">
            <v>423</v>
          </cell>
        </row>
        <row r="575">
          <cell r="A575" t="str">
            <v>XGPCSL630KM</v>
          </cell>
          <cell r="B575" t="str">
            <v>ESP Diagnostic Power Filter 240V/30A</v>
          </cell>
          <cell r="C575">
            <v>1059</v>
          </cell>
        </row>
        <row r="576">
          <cell r="A576" t="str">
            <v>XGPCS15DKM</v>
          </cell>
          <cell r="B576" t="str">
            <v>ESP Diagnostic Power Filter 120V/15A</v>
          </cell>
          <cell r="C576">
            <v>275</v>
          </cell>
        </row>
        <row r="577">
          <cell r="A577" t="str">
            <v>ORU:</v>
          </cell>
          <cell r="B577">
            <v>0</v>
          </cell>
          <cell r="C577">
            <v>0</v>
          </cell>
        </row>
        <row r="578">
          <cell r="A578" t="str">
            <v>7640018667</v>
          </cell>
          <cell r="B578" t="str">
            <v>ORU Replacement Starter Kit (1052/1250/1250P/2250P)</v>
          </cell>
          <cell r="C578">
            <v>5399</v>
          </cell>
        </row>
        <row r="579">
          <cell r="A579" t="str">
            <v>7640018666</v>
          </cell>
          <cell r="B579" t="str">
            <v>ORU Operator Training (1 Day)</v>
          </cell>
          <cell r="C579">
            <v>650</v>
          </cell>
        </row>
        <row r="580">
          <cell r="A580">
            <v>0</v>
          </cell>
          <cell r="B580">
            <v>0</v>
          </cell>
          <cell r="C580">
            <v>0</v>
          </cell>
        </row>
        <row r="581">
          <cell r="A581" t="str">
            <v>A5C4011</v>
          </cell>
          <cell r="B581" t="str">
            <v>bizhub C224e</v>
          </cell>
          <cell r="C581">
            <v>9980</v>
          </cell>
        </row>
        <row r="582">
          <cell r="A582" t="str">
            <v>DOCUMENT HANDLING OPTIONS: Select one</v>
          </cell>
          <cell r="B582">
            <v>0</v>
          </cell>
          <cell r="C582">
            <v>0</v>
          </cell>
        </row>
        <row r="583">
          <cell r="A583" t="str">
            <v>A3PMWY1</v>
          </cell>
          <cell r="B583" t="str">
            <v>OC- 511 Original Cover</v>
          </cell>
          <cell r="C583">
            <v>94</v>
          </cell>
        </row>
        <row r="584">
          <cell r="A584" t="str">
            <v>A3CFWY1</v>
          </cell>
          <cell r="B584" t="str">
            <v>DF-624 Reverse Automatic Document Feeder</v>
          </cell>
          <cell r="C584">
            <v>1631</v>
          </cell>
        </row>
        <row r="585">
          <cell r="A585" t="str">
            <v>A3CEWY1</v>
          </cell>
          <cell r="B585" t="str">
            <v>DF-701 Single Pass Dual Scan Document Feeder</v>
          </cell>
          <cell r="C585">
            <v>1802</v>
          </cell>
        </row>
        <row r="586">
          <cell r="A586" t="str">
            <v>PAPER SUPPLY OPTIONS: Select one</v>
          </cell>
          <cell r="B586">
            <v>0</v>
          </cell>
          <cell r="C586">
            <v>0</v>
          </cell>
        </row>
        <row r="587">
          <cell r="A587" t="str">
            <v>A2XM013</v>
          </cell>
          <cell r="B587" t="str">
            <v>PC-410 Large Capacity Cassette</v>
          </cell>
          <cell r="C587">
            <v>1402</v>
          </cell>
        </row>
        <row r="588">
          <cell r="A588" t="str">
            <v>A2XMWY2</v>
          </cell>
          <cell r="B588" t="str">
            <v>PC-210 2-way Paper Feed Cabinet</v>
          </cell>
          <cell r="C588">
            <v>1191</v>
          </cell>
        </row>
        <row r="589">
          <cell r="A589" t="str">
            <v>A2XMWY1</v>
          </cell>
          <cell r="B589" t="str">
            <v>PC-110 Paper Feed Cabinet</v>
          </cell>
          <cell r="C589">
            <v>913</v>
          </cell>
        </row>
        <row r="590">
          <cell r="A590" t="str">
            <v>7640018680</v>
          </cell>
          <cell r="B590" t="str">
            <v>DK-510 Copy Desk</v>
          </cell>
          <cell r="C590">
            <v>222</v>
          </cell>
        </row>
        <row r="591">
          <cell r="A591" t="str">
            <v>OUTPUT OPTIONS:</v>
          </cell>
          <cell r="B591">
            <v>0</v>
          </cell>
          <cell r="C591">
            <v>0</v>
          </cell>
        </row>
        <row r="592">
          <cell r="A592" t="str">
            <v>A2YVWY1</v>
          </cell>
          <cell r="B592" t="str">
            <v>JS-506 Job Separator Tray</v>
          </cell>
          <cell r="C592">
            <v>500</v>
          </cell>
        </row>
        <row r="593">
          <cell r="A593" t="str">
            <v>A3EPWY1</v>
          </cell>
          <cell r="B593" t="str">
            <v>FS-534 50-Sheet Stapling Finisher</v>
          </cell>
          <cell r="C593">
            <v>1855</v>
          </cell>
        </row>
        <row r="594">
          <cell r="A594" t="str">
            <v>A2YUWY1</v>
          </cell>
          <cell r="B594" t="str">
            <v>FS-533 Inner Finisher</v>
          </cell>
          <cell r="C594">
            <v>1553</v>
          </cell>
        </row>
        <row r="595">
          <cell r="A595" t="str">
            <v>A3EUW11</v>
          </cell>
          <cell r="B595" t="str">
            <v>PK-519 2/3 Hole Punch Unit (FS-533)</v>
          </cell>
          <cell r="C595">
            <v>585</v>
          </cell>
        </row>
        <row r="596">
          <cell r="A596" t="str">
            <v>A3ETW11</v>
          </cell>
          <cell r="B596" t="str">
            <v>PK-520 2/3 Hole Punch Unit (FS-534)</v>
          </cell>
          <cell r="C596">
            <v>586</v>
          </cell>
        </row>
        <row r="597">
          <cell r="A597" t="str">
            <v>A3EPWYA</v>
          </cell>
          <cell r="B597" t="str">
            <v>FS-534 + SD-511  Kit</v>
          </cell>
          <cell r="C597">
            <v>3305</v>
          </cell>
        </row>
        <row r="598">
          <cell r="A598" t="str">
            <v>FAX OPTIONS:</v>
          </cell>
          <cell r="B598">
            <v>0</v>
          </cell>
          <cell r="C598">
            <v>0</v>
          </cell>
        </row>
        <row r="599">
          <cell r="A599" t="str">
            <v>A4MF012</v>
          </cell>
          <cell r="B599" t="str">
            <v>FK-511 Fax Kit</v>
          </cell>
          <cell r="C599">
            <v>1070</v>
          </cell>
        </row>
        <row r="600">
          <cell r="A600">
            <v>4614506</v>
          </cell>
          <cell r="B600" t="str">
            <v>SP-501 Fax Stamp Unit</v>
          </cell>
          <cell r="C600">
            <v>48</v>
          </cell>
        </row>
        <row r="601">
          <cell r="A601">
            <v>4614511</v>
          </cell>
          <cell r="B601" t="str">
            <v>Spare TX Marker Stamp 2</v>
          </cell>
          <cell r="C601">
            <v>27</v>
          </cell>
        </row>
        <row r="602">
          <cell r="A602" t="str">
            <v>A4NPWY1</v>
          </cell>
          <cell r="B602" t="str">
            <v>MK-728 Mount Kit (3rd&amp;4th Fax Line Mount Kit)</v>
          </cell>
          <cell r="C602">
            <v>120</v>
          </cell>
        </row>
        <row r="603">
          <cell r="A603" t="str">
            <v>A22M011</v>
          </cell>
          <cell r="B603" t="str">
            <v>FK-508 Fax Board</v>
          </cell>
          <cell r="C603">
            <v>1068</v>
          </cell>
        </row>
        <row r="604">
          <cell r="A604" t="str">
            <v>i-OPTION ACCESSORIES:</v>
          </cell>
          <cell r="B604">
            <v>0</v>
          </cell>
          <cell r="C604">
            <v>0</v>
          </cell>
        </row>
        <row r="605">
          <cell r="A605" t="str">
            <v>A0PD01H</v>
          </cell>
          <cell r="B605" t="str">
            <v>LK-101 v3 i-Option License Kit (Web Browser)</v>
          </cell>
          <cell r="C605">
            <v>53</v>
          </cell>
        </row>
        <row r="606">
          <cell r="A606" t="str">
            <v>A0PD016</v>
          </cell>
          <cell r="B606" t="str">
            <v>LK-102 v3 i-Option License Kit (Encrypted PDF, PDF/A, Linearized PDF)</v>
          </cell>
          <cell r="C606">
            <v>1100</v>
          </cell>
        </row>
        <row r="607">
          <cell r="A607" t="str">
            <v>A0PD017</v>
          </cell>
          <cell r="B607" t="str">
            <v>LK-104 v3 i-Option License Kiit (Voice Guidance)</v>
          </cell>
          <cell r="C607">
            <v>785</v>
          </cell>
        </row>
        <row r="608">
          <cell r="A608" t="str">
            <v>A0PD018</v>
          </cell>
          <cell r="B608" t="str">
            <v>LK-105 v3 (Searchable PDF)</v>
          </cell>
          <cell r="C608">
            <v>668</v>
          </cell>
        </row>
        <row r="609">
          <cell r="A609" t="str">
            <v>A0PD019</v>
          </cell>
          <cell r="B609" t="str">
            <v>LK-106 i-Option License Kit (Bar Code Font)</v>
          </cell>
          <cell r="C609">
            <v>821</v>
          </cell>
        </row>
        <row r="610">
          <cell r="A610" t="str">
            <v>A0PD01F</v>
          </cell>
          <cell r="B610" t="str">
            <v>LK-107 i-Option License Kit (Unicode Font)</v>
          </cell>
          <cell r="C610">
            <v>690</v>
          </cell>
        </row>
        <row r="611">
          <cell r="A611" t="str">
            <v>A0PD01G</v>
          </cell>
          <cell r="B611" t="str">
            <v>LK-108 i-Option License Kit (OCR Font)</v>
          </cell>
          <cell r="C611">
            <v>191</v>
          </cell>
        </row>
        <row r="612">
          <cell r="A612" t="str">
            <v>A0PD01J</v>
          </cell>
          <cell r="B612" t="str">
            <v>LK-110 i-Option License kit (OOXML File Conversion,Enhanced Image Data)</v>
          </cell>
          <cell r="C612">
            <v>1500</v>
          </cell>
        </row>
        <row r="613">
          <cell r="A613" t="str">
            <v>A0PD01K</v>
          </cell>
          <cell r="B613" t="str">
            <v>LK-111 i-Option License Kit (ThinPrint Client Support)</v>
          </cell>
          <cell r="C613">
            <v>250</v>
          </cell>
        </row>
        <row r="614">
          <cell r="A614" t="str">
            <v>A4MHWY1</v>
          </cell>
          <cell r="B614" t="str">
            <v>UK-204 i-Option Memory Upgrade Kit</v>
          </cell>
          <cell r="C614">
            <v>290</v>
          </cell>
        </row>
        <row r="615">
          <cell r="A615" t="str">
            <v>MISC. OPTIONS:</v>
          </cell>
          <cell r="B615">
            <v>0</v>
          </cell>
          <cell r="C615">
            <v>0</v>
          </cell>
        </row>
        <row r="616">
          <cell r="A616" t="str">
            <v>A0X9WY1</v>
          </cell>
          <cell r="B616" t="str">
            <v xml:space="preserve">AU-102 Biometric Authentication Unit </v>
          </cell>
          <cell r="C616">
            <v>947</v>
          </cell>
        </row>
        <row r="617">
          <cell r="A617" t="str">
            <v>7640013468</v>
          </cell>
          <cell r="B617" t="str">
            <v>AU-204H Mag Stripe Card Reader</v>
          </cell>
          <cell r="C617">
            <v>423</v>
          </cell>
        </row>
        <row r="618">
          <cell r="A618" t="str">
            <v>A4MEWY1</v>
          </cell>
          <cell r="B618" t="str">
            <v>MK-730 Banner paper Guide</v>
          </cell>
          <cell r="C618">
            <v>846</v>
          </cell>
        </row>
        <row r="619">
          <cell r="A619" t="str">
            <v>A4NMWY1</v>
          </cell>
          <cell r="B619" t="str">
            <v>MK-735 Mount Kit  (IC Card Internal Mount Kit)</v>
          </cell>
          <cell r="C619">
            <v>60</v>
          </cell>
        </row>
        <row r="620">
          <cell r="A620" t="str">
            <v>A4MJWY2</v>
          </cell>
          <cell r="B620" t="str">
            <v>EK-606 Local USB Interface Kit</v>
          </cell>
          <cell r="C620">
            <v>200</v>
          </cell>
        </row>
        <row r="621">
          <cell r="A621" t="str">
            <v>A4MKWY2</v>
          </cell>
          <cell r="B621" t="str">
            <v>EK-607 Local USB Interface Kit</v>
          </cell>
          <cell r="C621">
            <v>279</v>
          </cell>
        </row>
        <row r="622">
          <cell r="A622">
            <v>7640006869</v>
          </cell>
          <cell r="B622" t="str">
            <v>External Keyboard</v>
          </cell>
          <cell r="C622">
            <v>223</v>
          </cell>
        </row>
        <row r="623">
          <cell r="A623" t="str">
            <v>A64TWY1</v>
          </cell>
          <cell r="B623" t="str">
            <v>KP-101 10-Key Pad</v>
          </cell>
          <cell r="C623">
            <v>126</v>
          </cell>
        </row>
        <row r="624">
          <cell r="A624" t="str">
            <v>A4NRWY1</v>
          </cell>
          <cell r="B624" t="str">
            <v>KH-102 Keyboard Holder</v>
          </cell>
          <cell r="C624">
            <v>123</v>
          </cell>
        </row>
        <row r="625">
          <cell r="A625" t="str">
            <v>A0W4WY2</v>
          </cell>
          <cell r="B625" t="str">
            <v>WT-506 Working Table</v>
          </cell>
          <cell r="C625">
            <v>112</v>
          </cell>
        </row>
        <row r="626">
          <cell r="A626">
            <v>4623474</v>
          </cell>
          <cell r="B626" t="str">
            <v>Key Counter Mount Kit 1 for Hecon Conventional Counter</v>
          </cell>
          <cell r="C626">
            <v>86</v>
          </cell>
        </row>
        <row r="627">
          <cell r="A627">
            <v>7640005261</v>
          </cell>
          <cell r="B627" t="str">
            <v>HID Proximity Cards - 10 pack</v>
          </cell>
          <cell r="C627">
            <v>69</v>
          </cell>
        </row>
        <row r="628">
          <cell r="A628" t="str">
            <v>A4MMWY1</v>
          </cell>
          <cell r="B628" t="str">
            <v>SC-508 Security Kit (Copy Guard/Password Protect)</v>
          </cell>
          <cell r="C628">
            <v>1225</v>
          </cell>
        </row>
        <row r="629">
          <cell r="A629" t="str">
            <v>XGPCS15DKM</v>
          </cell>
          <cell r="B629" t="str">
            <v>ESP Diagnostic Power Filter 120V/15A</v>
          </cell>
          <cell r="C629">
            <v>275</v>
          </cell>
        </row>
        <row r="630">
          <cell r="A630">
            <v>7640013463</v>
          </cell>
          <cell r="B630" t="str">
            <v>CS-1 Convenience Stapler</v>
          </cell>
          <cell r="C630">
            <v>317</v>
          </cell>
        </row>
        <row r="631">
          <cell r="A631" t="str">
            <v>A161192000</v>
          </cell>
          <cell r="B631" t="str">
            <v>Stylus Pen for INFO-Palette Series</v>
          </cell>
          <cell r="C631">
            <v>30</v>
          </cell>
        </row>
        <row r="632">
          <cell r="A632" t="str">
            <v xml:space="preserve">PROFESSIONAL SERVICES: </v>
          </cell>
          <cell r="B632">
            <v>0</v>
          </cell>
          <cell r="C632">
            <v>0</v>
          </cell>
        </row>
        <row r="633">
          <cell r="A633" t="str">
            <v>7640015657</v>
          </cell>
          <cell r="B633" t="str">
            <v>bizhub SECURE</v>
          </cell>
          <cell r="C633">
            <v>250</v>
          </cell>
        </row>
        <row r="634">
          <cell r="A634" t="str">
            <v/>
          </cell>
          <cell r="B634">
            <v>0</v>
          </cell>
          <cell r="C634">
            <v>0</v>
          </cell>
        </row>
        <row r="635">
          <cell r="A635">
            <v>0</v>
          </cell>
          <cell r="B635">
            <v>0</v>
          </cell>
          <cell r="C635">
            <v>0</v>
          </cell>
        </row>
        <row r="636">
          <cell r="A636" t="str">
            <v>A5C2011</v>
          </cell>
          <cell r="B636" t="str">
            <v>bizhub C284e</v>
          </cell>
          <cell r="C636">
            <v>11700</v>
          </cell>
        </row>
        <row r="637">
          <cell r="A637" t="str">
            <v>DOCUMENT HANDLING OPTIONS: Select one</v>
          </cell>
          <cell r="B637">
            <v>0</v>
          </cell>
          <cell r="C637">
            <v>0</v>
          </cell>
        </row>
        <row r="638">
          <cell r="A638" t="str">
            <v>A3PMWY1</v>
          </cell>
          <cell r="B638" t="str">
            <v>OC- 511 Original Cover</v>
          </cell>
          <cell r="C638">
            <v>94</v>
          </cell>
        </row>
        <row r="639">
          <cell r="A639" t="str">
            <v>A3CFWY1</v>
          </cell>
          <cell r="B639" t="str">
            <v>DF-624 Reverse Automatic Document Feeder</v>
          </cell>
          <cell r="C639">
            <v>1631</v>
          </cell>
        </row>
        <row r="640">
          <cell r="A640" t="str">
            <v>A3CEWY1</v>
          </cell>
          <cell r="B640" t="str">
            <v>DF-701 Single Pass Dual Scan Document Feeder</v>
          </cell>
          <cell r="C640">
            <v>1802</v>
          </cell>
        </row>
        <row r="641">
          <cell r="A641" t="str">
            <v>PAPER SUPPLY OPTIONS: Select one</v>
          </cell>
          <cell r="B641">
            <v>0</v>
          </cell>
          <cell r="C641">
            <v>0</v>
          </cell>
        </row>
        <row r="642">
          <cell r="A642" t="str">
            <v>A2XM013</v>
          </cell>
          <cell r="B642" t="str">
            <v>PC-410 Large Capacity Cassette</v>
          </cell>
          <cell r="C642">
            <v>1402</v>
          </cell>
        </row>
        <row r="643">
          <cell r="A643" t="str">
            <v>A2XMWY2</v>
          </cell>
          <cell r="B643" t="str">
            <v>PC-210 2-way Paper Feed Cabinet</v>
          </cell>
          <cell r="C643">
            <v>1191</v>
          </cell>
        </row>
        <row r="644">
          <cell r="A644" t="str">
            <v>A2XMWY1</v>
          </cell>
          <cell r="B644" t="str">
            <v>PC-110 Paper Feed Cabinet</v>
          </cell>
          <cell r="C644">
            <v>913</v>
          </cell>
        </row>
        <row r="645">
          <cell r="A645" t="str">
            <v>7640018680</v>
          </cell>
          <cell r="B645" t="str">
            <v>DK-510 Copy Desk</v>
          </cell>
          <cell r="C645">
            <v>222</v>
          </cell>
        </row>
        <row r="646">
          <cell r="A646" t="str">
            <v>OUTPUT OPTIONS:</v>
          </cell>
          <cell r="B646">
            <v>0</v>
          </cell>
          <cell r="C646">
            <v>0</v>
          </cell>
        </row>
        <row r="647">
          <cell r="A647" t="str">
            <v>A2YVWY1</v>
          </cell>
          <cell r="B647" t="str">
            <v>JS-506 Job Separator Tray</v>
          </cell>
          <cell r="C647">
            <v>500</v>
          </cell>
        </row>
        <row r="648">
          <cell r="A648" t="str">
            <v>A3EPWY1</v>
          </cell>
          <cell r="B648" t="str">
            <v>FS-534 50-Sheet Stapling Finisher</v>
          </cell>
          <cell r="C648">
            <v>1855</v>
          </cell>
        </row>
        <row r="649">
          <cell r="A649" t="str">
            <v>A2YUWY1</v>
          </cell>
          <cell r="B649" t="str">
            <v>FS-533 Inner Finisher</v>
          </cell>
          <cell r="C649">
            <v>1553</v>
          </cell>
        </row>
        <row r="650">
          <cell r="A650" t="str">
            <v>A3EUW11</v>
          </cell>
          <cell r="B650" t="str">
            <v>PK-519 2/3 Hole Punch Unit (FS-533)</v>
          </cell>
          <cell r="C650">
            <v>585</v>
          </cell>
        </row>
        <row r="651">
          <cell r="A651" t="str">
            <v>A3ETW11</v>
          </cell>
          <cell r="B651" t="str">
            <v>PK-520 2/3 Hole Punch Unit (FS-534)</v>
          </cell>
          <cell r="C651">
            <v>586</v>
          </cell>
        </row>
        <row r="652">
          <cell r="A652" t="str">
            <v>A3EPWYA</v>
          </cell>
          <cell r="B652" t="str">
            <v>FS-534 + SD-511  Kit</v>
          </cell>
          <cell r="C652">
            <v>3305</v>
          </cell>
        </row>
        <row r="653">
          <cell r="A653" t="str">
            <v>FAX OPTIONS:</v>
          </cell>
          <cell r="B653">
            <v>0</v>
          </cell>
          <cell r="C653">
            <v>0</v>
          </cell>
        </row>
        <row r="654">
          <cell r="A654" t="str">
            <v>A4MF012</v>
          </cell>
          <cell r="B654" t="str">
            <v>FK-511 Fax Kit</v>
          </cell>
          <cell r="C654">
            <v>1070</v>
          </cell>
        </row>
        <row r="655">
          <cell r="A655">
            <v>4614506</v>
          </cell>
          <cell r="B655" t="str">
            <v>SP-501 Fax Stamp Unit</v>
          </cell>
          <cell r="C655">
            <v>48</v>
          </cell>
        </row>
        <row r="656">
          <cell r="A656">
            <v>4614511</v>
          </cell>
          <cell r="B656" t="str">
            <v>Spare TX Marker Stamp 2</v>
          </cell>
          <cell r="C656">
            <v>27</v>
          </cell>
        </row>
        <row r="657">
          <cell r="A657" t="str">
            <v>A4NPWY1</v>
          </cell>
          <cell r="B657" t="str">
            <v>MK-728 Mount Kit (3rd&amp;4th Fax Line Mount Kit)</v>
          </cell>
          <cell r="C657">
            <v>120</v>
          </cell>
        </row>
        <row r="658">
          <cell r="A658" t="str">
            <v>A22M011</v>
          </cell>
          <cell r="B658" t="str">
            <v>FK-508 Fax Board</v>
          </cell>
          <cell r="C658">
            <v>1068</v>
          </cell>
        </row>
        <row r="659">
          <cell r="A659" t="str">
            <v>PRINT CONTROLLER OPTIONS:</v>
          </cell>
          <cell r="B659">
            <v>0</v>
          </cell>
          <cell r="C659">
            <v>0</v>
          </cell>
        </row>
        <row r="660">
          <cell r="A660" t="str">
            <v>A4FRWY2</v>
          </cell>
          <cell r="B660" t="str">
            <v xml:space="preserve">IC-414 Fiery Image Controller </v>
          </cell>
          <cell r="C660">
            <v>4158</v>
          </cell>
        </row>
        <row r="661">
          <cell r="A661" t="str">
            <v>A4MGWY1</v>
          </cell>
          <cell r="B661" t="str">
            <v>VI-506 Video Interface Card</v>
          </cell>
          <cell r="C661">
            <v>296</v>
          </cell>
        </row>
        <row r="662">
          <cell r="A662">
            <v>7640004312</v>
          </cell>
          <cell r="B662" t="str">
            <v>EFI Hot Folders</v>
          </cell>
          <cell r="C662">
            <v>875</v>
          </cell>
        </row>
        <row r="663">
          <cell r="A663">
            <v>7640004313</v>
          </cell>
          <cell r="B663" t="str">
            <v>EFI AutoTrap</v>
          </cell>
          <cell r="C663">
            <v>875</v>
          </cell>
        </row>
        <row r="664">
          <cell r="A664">
            <v>45109642</v>
          </cell>
          <cell r="B664" t="str">
            <v>ES-2000 Spectrophotometer</v>
          </cell>
          <cell r="C664">
            <v>1348</v>
          </cell>
        </row>
        <row r="665">
          <cell r="A665">
            <v>7640009476</v>
          </cell>
          <cell r="B665" t="str">
            <v>EFI Fiery SeeQuence Impose</v>
          </cell>
          <cell r="C665">
            <v>2650</v>
          </cell>
        </row>
        <row r="666">
          <cell r="A666">
            <v>7640009477</v>
          </cell>
          <cell r="B666" t="str">
            <v>EFI Fiery SeeQuence Compose</v>
          </cell>
          <cell r="C666">
            <v>1166</v>
          </cell>
        </row>
        <row r="667">
          <cell r="A667">
            <v>7640009478</v>
          </cell>
          <cell r="B667" t="str">
            <v>EFI Fiery SeeQuence Impose+Compose Suite</v>
          </cell>
          <cell r="C667">
            <v>3179</v>
          </cell>
        </row>
        <row r="668">
          <cell r="A668">
            <v>3000005452</v>
          </cell>
          <cell r="B668" t="str">
            <v>Fiery Color Profiler Suite V 4.0 with ES-2000 Spectrophotometer</v>
          </cell>
          <cell r="C668">
            <v>3400</v>
          </cell>
        </row>
        <row r="669">
          <cell r="A669">
            <v>7640017030</v>
          </cell>
          <cell r="B669" t="str">
            <v>EFI IC-414 Productivity Package</v>
          </cell>
          <cell r="C669">
            <v>4500</v>
          </cell>
        </row>
        <row r="670">
          <cell r="A670" t="str">
            <v>i-OPTION ACCESSORIES:</v>
          </cell>
          <cell r="B670">
            <v>0</v>
          </cell>
          <cell r="C670">
            <v>0</v>
          </cell>
        </row>
        <row r="671">
          <cell r="A671" t="str">
            <v>A0PD01H</v>
          </cell>
          <cell r="B671" t="str">
            <v>LK-101 v3 i-Option License Kit (Web Browser)</v>
          </cell>
          <cell r="C671">
            <v>53</v>
          </cell>
        </row>
        <row r="672">
          <cell r="A672" t="str">
            <v>A0PD016</v>
          </cell>
          <cell r="B672" t="str">
            <v>LK-102 v3 i-Option License Kit (Encrypted PDF, PDF/A, Linearized PDF)</v>
          </cell>
          <cell r="C672">
            <v>1100</v>
          </cell>
        </row>
        <row r="673">
          <cell r="A673" t="str">
            <v>A0PD017</v>
          </cell>
          <cell r="B673" t="str">
            <v>LK-104 v3 i-Option License Kiit (Voice Guidance)</v>
          </cell>
          <cell r="C673">
            <v>785</v>
          </cell>
        </row>
        <row r="674">
          <cell r="A674" t="str">
            <v>A0PD018</v>
          </cell>
          <cell r="B674" t="str">
            <v>LK-105 v3 (Searchable PDF)</v>
          </cell>
          <cell r="C674">
            <v>668</v>
          </cell>
        </row>
        <row r="675">
          <cell r="A675" t="str">
            <v>A0PD019</v>
          </cell>
          <cell r="B675" t="str">
            <v>LK-106 i-Option License Kit (Bar Code Font)</v>
          </cell>
          <cell r="C675">
            <v>821</v>
          </cell>
        </row>
        <row r="676">
          <cell r="A676" t="str">
            <v>A0PD01F</v>
          </cell>
          <cell r="B676" t="str">
            <v>LK-107 i-Option License Kit (Unicode Font)</v>
          </cell>
          <cell r="C676">
            <v>690</v>
          </cell>
        </row>
        <row r="677">
          <cell r="A677" t="str">
            <v>A0PD01G</v>
          </cell>
          <cell r="B677" t="str">
            <v>LK-108 i-Option License Kit (OCR Font)</v>
          </cell>
          <cell r="C677">
            <v>191</v>
          </cell>
        </row>
        <row r="678">
          <cell r="A678" t="str">
            <v>A0PD01J</v>
          </cell>
          <cell r="B678" t="str">
            <v>LK-110 i-Option License kit (OOXML File Conversion,Enhanced Image Data)</v>
          </cell>
          <cell r="C678">
            <v>1500</v>
          </cell>
        </row>
        <row r="679">
          <cell r="A679" t="str">
            <v>A0PD01K</v>
          </cell>
          <cell r="B679" t="str">
            <v>LK-111 i-Option License Kit (ThinPrint Client Support)</v>
          </cell>
          <cell r="C679">
            <v>250</v>
          </cell>
        </row>
        <row r="680">
          <cell r="A680" t="str">
            <v>A4MHWY1</v>
          </cell>
          <cell r="B680" t="str">
            <v>UK-204 i-Option Memory Upgrade Kit</v>
          </cell>
          <cell r="C680">
            <v>290</v>
          </cell>
        </row>
        <row r="681">
          <cell r="A681" t="str">
            <v>MISC. OPTIONS:</v>
          </cell>
          <cell r="B681">
            <v>0</v>
          </cell>
          <cell r="C681">
            <v>0</v>
          </cell>
        </row>
        <row r="682">
          <cell r="A682" t="str">
            <v>A0X9WY1</v>
          </cell>
          <cell r="B682" t="str">
            <v xml:space="preserve">AU-102 Biometric Authentication Unit </v>
          </cell>
          <cell r="C682">
            <v>947</v>
          </cell>
        </row>
        <row r="683">
          <cell r="A683">
            <v>7640005064</v>
          </cell>
          <cell r="B683" t="str">
            <v>AU-201H HID Proximity Card Authentication Unit</v>
          </cell>
          <cell r="C683">
            <v>423</v>
          </cell>
        </row>
        <row r="684">
          <cell r="A684">
            <v>7640008394</v>
          </cell>
          <cell r="B684" t="str">
            <v>AU-202H iClass Card Reader</v>
          </cell>
          <cell r="C684">
            <v>476</v>
          </cell>
        </row>
        <row r="685">
          <cell r="A685">
            <v>7640013468</v>
          </cell>
          <cell r="B685" t="str">
            <v>AU-204H Mag Stripe Card Reader</v>
          </cell>
          <cell r="C685">
            <v>423</v>
          </cell>
        </row>
        <row r="686">
          <cell r="A686" t="str">
            <v>A4MEWY1</v>
          </cell>
          <cell r="B686" t="str">
            <v>MK-730 Banner paper Guide</v>
          </cell>
          <cell r="C686">
            <v>846</v>
          </cell>
        </row>
        <row r="687">
          <cell r="A687" t="str">
            <v>A4NMWY1</v>
          </cell>
          <cell r="B687" t="str">
            <v>MK-735 Mount Kit  (IC Card Internal Mount Kit)</v>
          </cell>
          <cell r="C687">
            <v>60</v>
          </cell>
        </row>
        <row r="688">
          <cell r="A688" t="str">
            <v>A4MJWY2</v>
          </cell>
          <cell r="B688" t="str">
            <v>EK-606 Local USB Interface Kit</v>
          </cell>
          <cell r="C688">
            <v>200</v>
          </cell>
        </row>
        <row r="689">
          <cell r="A689" t="str">
            <v>A4MKWY2</v>
          </cell>
          <cell r="B689" t="str">
            <v>EK-607 Local USB Interface Kit</v>
          </cell>
          <cell r="C689">
            <v>279</v>
          </cell>
        </row>
        <row r="690">
          <cell r="A690">
            <v>7640006869</v>
          </cell>
          <cell r="B690" t="str">
            <v>External Keyboard</v>
          </cell>
          <cell r="C690">
            <v>223</v>
          </cell>
        </row>
        <row r="691">
          <cell r="A691" t="str">
            <v>A64TWY1</v>
          </cell>
          <cell r="B691" t="str">
            <v>KP-101 10-Key Pad</v>
          </cell>
          <cell r="C691">
            <v>126</v>
          </cell>
        </row>
        <row r="692">
          <cell r="A692" t="str">
            <v>A4NRWY1</v>
          </cell>
          <cell r="B692" t="str">
            <v>KH-102 Keyboard Holder</v>
          </cell>
          <cell r="C692">
            <v>123</v>
          </cell>
        </row>
        <row r="693">
          <cell r="A693" t="str">
            <v>A0W4WY2</v>
          </cell>
          <cell r="B693" t="str">
            <v>WT-506 Working Table</v>
          </cell>
          <cell r="C693">
            <v>112</v>
          </cell>
        </row>
        <row r="694">
          <cell r="A694">
            <v>4623474</v>
          </cell>
          <cell r="B694" t="str">
            <v>Key Counter Mount Kit 1 for Hecon Conventional Counter</v>
          </cell>
          <cell r="C694">
            <v>86</v>
          </cell>
        </row>
        <row r="695">
          <cell r="A695">
            <v>7640005261</v>
          </cell>
          <cell r="B695" t="str">
            <v>HID Proximity Cards - 10 pack</v>
          </cell>
          <cell r="C695">
            <v>69</v>
          </cell>
        </row>
        <row r="696">
          <cell r="A696" t="str">
            <v>A4MMWY1</v>
          </cell>
          <cell r="B696" t="str">
            <v>SC-508 Security Kit (Copy Guard/Password Protect)</v>
          </cell>
          <cell r="C696">
            <v>1225</v>
          </cell>
        </row>
        <row r="697">
          <cell r="A697" t="str">
            <v>XGPCS15DKM</v>
          </cell>
          <cell r="B697" t="str">
            <v>ESP Diagnostic Power Filter 120V/15A</v>
          </cell>
          <cell r="C697">
            <v>275</v>
          </cell>
        </row>
        <row r="698">
          <cell r="A698">
            <v>7640013463</v>
          </cell>
          <cell r="B698" t="str">
            <v>CS-1 Convenience Stapler</v>
          </cell>
          <cell r="C698">
            <v>317</v>
          </cell>
        </row>
        <row r="699">
          <cell r="A699" t="str">
            <v>A161192000</v>
          </cell>
          <cell r="B699" t="str">
            <v>Stylus Pen for INFO-Palette Series</v>
          </cell>
          <cell r="C699">
            <v>30</v>
          </cell>
        </row>
        <row r="700">
          <cell r="A700" t="str">
            <v>PROFESSIONAL SERVICES:</v>
          </cell>
          <cell r="B700">
            <v>0</v>
          </cell>
          <cell r="C700">
            <v>0</v>
          </cell>
        </row>
        <row r="701">
          <cell r="A701" t="str">
            <v>7640015657</v>
          </cell>
          <cell r="B701" t="str">
            <v>bizhub SECURE</v>
          </cell>
          <cell r="C701">
            <v>250</v>
          </cell>
        </row>
        <row r="702">
          <cell r="A702" t="str">
            <v/>
          </cell>
          <cell r="B702">
            <v>0</v>
          </cell>
          <cell r="C702">
            <v>0</v>
          </cell>
        </row>
        <row r="703">
          <cell r="A703">
            <v>0</v>
          </cell>
          <cell r="B703">
            <v>0</v>
          </cell>
          <cell r="C703">
            <v>0</v>
          </cell>
        </row>
        <row r="704">
          <cell r="A704" t="str">
            <v>A5C1011</v>
          </cell>
          <cell r="B704" t="str">
            <v>bizhub C364e</v>
          </cell>
          <cell r="C704">
            <v>15440</v>
          </cell>
        </row>
        <row r="705">
          <cell r="A705" t="str">
            <v>DOCUMENT HANDLING OPTIONS: Select one</v>
          </cell>
          <cell r="B705">
            <v>0</v>
          </cell>
          <cell r="C705">
            <v>0</v>
          </cell>
        </row>
        <row r="706">
          <cell r="A706" t="str">
            <v>A3PMWY1</v>
          </cell>
          <cell r="B706" t="str">
            <v>OC- 511 Original Cover</v>
          </cell>
          <cell r="C706">
            <v>94</v>
          </cell>
        </row>
        <row r="707">
          <cell r="A707" t="str">
            <v>A3CFWY1</v>
          </cell>
          <cell r="B707" t="str">
            <v>DF-624 Reverse Automatic Document Feeder</v>
          </cell>
          <cell r="C707">
            <v>1631</v>
          </cell>
        </row>
        <row r="708">
          <cell r="A708" t="str">
            <v>A3CEWY1</v>
          </cell>
          <cell r="B708" t="str">
            <v>DF-701 Single Pass Dual Scan Document Feeder</v>
          </cell>
          <cell r="C708">
            <v>1802</v>
          </cell>
        </row>
        <row r="709">
          <cell r="A709" t="str">
            <v>PAPER SUPPLY OPTIONS: Select one</v>
          </cell>
          <cell r="B709">
            <v>0</v>
          </cell>
          <cell r="C709">
            <v>0</v>
          </cell>
        </row>
        <row r="710">
          <cell r="A710" t="str">
            <v>A2XM013</v>
          </cell>
          <cell r="B710" t="str">
            <v>PC-410 Large Capacity Cassette</v>
          </cell>
          <cell r="C710">
            <v>1402</v>
          </cell>
        </row>
        <row r="711">
          <cell r="A711" t="str">
            <v>A2XMWY2</v>
          </cell>
          <cell r="B711" t="str">
            <v>PC-210 2-way Paper Feed Cabinet</v>
          </cell>
          <cell r="C711">
            <v>1191</v>
          </cell>
        </row>
        <row r="712">
          <cell r="A712" t="str">
            <v>A2XMWY1</v>
          </cell>
          <cell r="B712" t="str">
            <v>PC-110 Paper Feed Cabinet</v>
          </cell>
          <cell r="C712">
            <v>913</v>
          </cell>
        </row>
        <row r="713">
          <cell r="A713" t="str">
            <v>7640018680</v>
          </cell>
          <cell r="B713" t="str">
            <v>DK-510 Copy Desk</v>
          </cell>
          <cell r="C713">
            <v>222</v>
          </cell>
        </row>
        <row r="714">
          <cell r="A714" t="str">
            <v>OUTPUT OPTIONS:</v>
          </cell>
          <cell r="B714">
            <v>0</v>
          </cell>
          <cell r="C714">
            <v>0</v>
          </cell>
        </row>
        <row r="715">
          <cell r="A715" t="str">
            <v>A2YVWY1</v>
          </cell>
          <cell r="B715" t="str">
            <v>JS-506 Job Separator Tray</v>
          </cell>
          <cell r="C715">
            <v>500</v>
          </cell>
        </row>
        <row r="716">
          <cell r="A716" t="str">
            <v>A3EPWY1</v>
          </cell>
          <cell r="B716" t="str">
            <v>FS-534 50-Sheet Stapling Finisher</v>
          </cell>
          <cell r="C716">
            <v>1855</v>
          </cell>
        </row>
        <row r="717">
          <cell r="A717" t="str">
            <v>A2YUWY1</v>
          </cell>
          <cell r="B717" t="str">
            <v>FS-533 Inner Finisher</v>
          </cell>
          <cell r="C717">
            <v>1553</v>
          </cell>
        </row>
        <row r="718">
          <cell r="A718" t="str">
            <v>A3EUW11</v>
          </cell>
          <cell r="B718" t="str">
            <v>PK-519 2/3 Hole Punch Unit (FS-533)</v>
          </cell>
          <cell r="C718">
            <v>585</v>
          </cell>
        </row>
        <row r="719">
          <cell r="A719" t="str">
            <v>A3ETW11</v>
          </cell>
          <cell r="B719" t="str">
            <v>PK-520 2/3 Hole Punch Unit (FS-534)</v>
          </cell>
          <cell r="C719">
            <v>586</v>
          </cell>
        </row>
        <row r="720">
          <cell r="A720" t="str">
            <v>A3EPWYA</v>
          </cell>
          <cell r="B720" t="str">
            <v>FS-534 + SD-511  Kit</v>
          </cell>
          <cell r="C720">
            <v>3305</v>
          </cell>
        </row>
        <row r="721">
          <cell r="A721" t="str">
            <v>FAX OPTIONS:</v>
          </cell>
          <cell r="B721">
            <v>0</v>
          </cell>
          <cell r="C721">
            <v>0</v>
          </cell>
        </row>
        <row r="722">
          <cell r="A722" t="str">
            <v>A4MF012</v>
          </cell>
          <cell r="B722" t="str">
            <v>FK-511 Fax Kit</v>
          </cell>
          <cell r="C722">
            <v>1070</v>
          </cell>
        </row>
        <row r="723">
          <cell r="A723">
            <v>4614506</v>
          </cell>
          <cell r="B723" t="str">
            <v>SP-501 Fax Stamp Unit</v>
          </cell>
          <cell r="C723">
            <v>48</v>
          </cell>
        </row>
        <row r="724">
          <cell r="A724">
            <v>4614511</v>
          </cell>
          <cell r="B724" t="str">
            <v>Spare TX Marker Stamp 2</v>
          </cell>
          <cell r="C724">
            <v>27</v>
          </cell>
        </row>
        <row r="725">
          <cell r="A725" t="str">
            <v>A4NPWY1</v>
          </cell>
          <cell r="B725" t="str">
            <v>MK-728 Mount Kit (3rd&amp;4th Fax Line Mount Kit)</v>
          </cell>
          <cell r="C725">
            <v>120</v>
          </cell>
        </row>
        <row r="726">
          <cell r="A726" t="str">
            <v>A22M011</v>
          </cell>
          <cell r="B726" t="str">
            <v>FK-508 Fax Board</v>
          </cell>
          <cell r="C726">
            <v>1068</v>
          </cell>
        </row>
        <row r="727">
          <cell r="A727" t="str">
            <v>PRINT CONTROLLER OPTIONS:</v>
          </cell>
          <cell r="B727">
            <v>0</v>
          </cell>
          <cell r="C727">
            <v>0</v>
          </cell>
        </row>
        <row r="728">
          <cell r="A728" t="str">
            <v>A4FRWY2</v>
          </cell>
          <cell r="B728" t="str">
            <v xml:space="preserve">IC-414 Fiery Image Controller </v>
          </cell>
          <cell r="C728">
            <v>4158</v>
          </cell>
        </row>
        <row r="729">
          <cell r="A729" t="str">
            <v>A4MGWY1</v>
          </cell>
          <cell r="B729" t="str">
            <v>VI-506 Video Interface Card</v>
          </cell>
          <cell r="C729">
            <v>296</v>
          </cell>
        </row>
        <row r="730">
          <cell r="A730">
            <v>7640004312</v>
          </cell>
          <cell r="B730" t="str">
            <v>EFI Hot Folders</v>
          </cell>
          <cell r="C730">
            <v>875</v>
          </cell>
        </row>
        <row r="731">
          <cell r="A731">
            <v>7640004313</v>
          </cell>
          <cell r="B731" t="str">
            <v>EFI AutoTrap</v>
          </cell>
          <cell r="C731">
            <v>875</v>
          </cell>
        </row>
        <row r="732">
          <cell r="A732">
            <v>45109642</v>
          </cell>
          <cell r="B732" t="str">
            <v>ES-2000 Spectrophotometer</v>
          </cell>
          <cell r="C732">
            <v>1348</v>
          </cell>
        </row>
        <row r="733">
          <cell r="A733">
            <v>7640009476</v>
          </cell>
          <cell r="B733" t="str">
            <v>EFI Fiery SeeQuence Impose</v>
          </cell>
          <cell r="C733">
            <v>2650</v>
          </cell>
        </row>
        <row r="734">
          <cell r="A734">
            <v>7640009477</v>
          </cell>
          <cell r="B734" t="str">
            <v>EFI Fiery SeeQuence Compose</v>
          </cell>
          <cell r="C734">
            <v>1166</v>
          </cell>
        </row>
        <row r="735">
          <cell r="A735">
            <v>7640009478</v>
          </cell>
          <cell r="B735" t="str">
            <v>EFI Fiery SeeQuence Impose+Compose Suite</v>
          </cell>
          <cell r="C735">
            <v>3179</v>
          </cell>
        </row>
        <row r="736">
          <cell r="A736">
            <v>3000005452</v>
          </cell>
          <cell r="B736" t="str">
            <v>Fiery Color Profiler Suite V 4.0 with ES-2000 Spectrophotometer</v>
          </cell>
          <cell r="C736">
            <v>3400</v>
          </cell>
        </row>
        <row r="737">
          <cell r="A737">
            <v>7640017030</v>
          </cell>
          <cell r="B737" t="str">
            <v>EFI IC-414 Productivity Package</v>
          </cell>
          <cell r="C737">
            <v>4500</v>
          </cell>
        </row>
        <row r="738">
          <cell r="A738" t="str">
            <v>i-OPTION ACCESSORIES:</v>
          </cell>
          <cell r="B738">
            <v>0</v>
          </cell>
          <cell r="C738">
            <v>0</v>
          </cell>
        </row>
        <row r="739">
          <cell r="A739" t="str">
            <v>A0PD01H</v>
          </cell>
          <cell r="B739" t="str">
            <v>LK-101 v3 i-Option License Kit (Web Browser)</v>
          </cell>
          <cell r="C739">
            <v>53</v>
          </cell>
        </row>
        <row r="740">
          <cell r="A740" t="str">
            <v>A0PD016</v>
          </cell>
          <cell r="B740" t="str">
            <v>LK-102 v3 i-Option License Kit (Encrypted PDF, PDF/A, Linearized PDF)</v>
          </cell>
          <cell r="C740">
            <v>1100</v>
          </cell>
        </row>
        <row r="741">
          <cell r="A741" t="str">
            <v>A0PD017</v>
          </cell>
          <cell r="B741" t="str">
            <v>LK-104 v3 i-Option License Kiit (Voice Guidance)</v>
          </cell>
          <cell r="C741">
            <v>785</v>
          </cell>
        </row>
        <row r="742">
          <cell r="A742" t="str">
            <v>A0PD018</v>
          </cell>
          <cell r="B742" t="str">
            <v>LK-105 v3 (Searchable PDF)</v>
          </cell>
          <cell r="C742">
            <v>668</v>
          </cell>
        </row>
        <row r="743">
          <cell r="A743" t="str">
            <v>A0PD019</v>
          </cell>
          <cell r="B743" t="str">
            <v>LK-106 i-Option License Kit (Bar Code Font)</v>
          </cell>
          <cell r="C743">
            <v>821</v>
          </cell>
        </row>
        <row r="744">
          <cell r="A744" t="str">
            <v>A0PD01F</v>
          </cell>
          <cell r="B744" t="str">
            <v>LK-107 i-Option License Kit (Unicode Font)</v>
          </cell>
          <cell r="C744">
            <v>690</v>
          </cell>
        </row>
        <row r="745">
          <cell r="A745" t="str">
            <v>A0PD01G</v>
          </cell>
          <cell r="B745" t="str">
            <v>LK-108 i-Option License Kit (OCR Font)</v>
          </cell>
          <cell r="C745">
            <v>191</v>
          </cell>
        </row>
        <row r="746">
          <cell r="A746" t="str">
            <v>A0PD01J</v>
          </cell>
          <cell r="B746" t="str">
            <v>LK-110 i-Option License kit (OOXML File Conversion,Enhanced Image Data)</v>
          </cell>
          <cell r="C746">
            <v>1500</v>
          </cell>
        </row>
        <row r="747">
          <cell r="A747" t="str">
            <v>A0PD01K</v>
          </cell>
          <cell r="B747" t="str">
            <v>LK-111 i-Option License Kit (ThinPrint Client Support)</v>
          </cell>
          <cell r="C747">
            <v>250</v>
          </cell>
        </row>
        <row r="748">
          <cell r="A748" t="str">
            <v>A4MHWY1</v>
          </cell>
          <cell r="B748" t="str">
            <v>UK-204 i-Option Memory Upgrade Kit</v>
          </cell>
          <cell r="C748">
            <v>290</v>
          </cell>
        </row>
        <row r="749">
          <cell r="A749" t="str">
            <v>MISC. OPTIONS:</v>
          </cell>
          <cell r="B749">
            <v>0</v>
          </cell>
          <cell r="C749">
            <v>0</v>
          </cell>
        </row>
        <row r="750">
          <cell r="A750" t="str">
            <v>A0X9WY1</v>
          </cell>
          <cell r="B750" t="str">
            <v xml:space="preserve">AU-102 Biometric Authentication Unit </v>
          </cell>
          <cell r="C750">
            <v>947</v>
          </cell>
        </row>
        <row r="751">
          <cell r="A751">
            <v>7640005064</v>
          </cell>
          <cell r="B751" t="str">
            <v>AU-201H HID Proximity Card Authentication Unit</v>
          </cell>
          <cell r="C751">
            <v>423</v>
          </cell>
        </row>
        <row r="752">
          <cell r="A752">
            <v>7640008394</v>
          </cell>
          <cell r="B752" t="str">
            <v>AU-202H iClass Card Reader</v>
          </cell>
          <cell r="C752">
            <v>476</v>
          </cell>
        </row>
        <row r="753">
          <cell r="A753">
            <v>7640013468</v>
          </cell>
          <cell r="B753" t="str">
            <v>AU-204H Mag Stripe Card Reader</v>
          </cell>
          <cell r="C753">
            <v>423</v>
          </cell>
        </row>
        <row r="754">
          <cell r="A754" t="str">
            <v>A4MEWY1</v>
          </cell>
          <cell r="B754" t="str">
            <v>MK-730 Banner paper Guide</v>
          </cell>
          <cell r="C754">
            <v>846</v>
          </cell>
        </row>
        <row r="755">
          <cell r="A755" t="str">
            <v>A4NMWY1</v>
          </cell>
          <cell r="B755" t="str">
            <v>MK-735 Mount Kit  (IC Card Internal Mount Kit)</v>
          </cell>
          <cell r="C755">
            <v>60</v>
          </cell>
        </row>
        <row r="756">
          <cell r="A756" t="str">
            <v>A4MJWY2</v>
          </cell>
          <cell r="B756" t="str">
            <v>EK-606 Local USB Interface Kit</v>
          </cell>
          <cell r="C756">
            <v>200</v>
          </cell>
        </row>
        <row r="757">
          <cell r="A757" t="str">
            <v>A4MKWY2</v>
          </cell>
          <cell r="B757" t="str">
            <v>EK-607 Local USB Interface Kit</v>
          </cell>
          <cell r="C757">
            <v>279</v>
          </cell>
        </row>
        <row r="758">
          <cell r="A758">
            <v>7640006869</v>
          </cell>
          <cell r="B758" t="str">
            <v>External Keyboard</v>
          </cell>
          <cell r="C758">
            <v>223</v>
          </cell>
        </row>
        <row r="759">
          <cell r="A759" t="str">
            <v>A64TWY1</v>
          </cell>
          <cell r="B759" t="str">
            <v>KP-101 10-Key Pad</v>
          </cell>
          <cell r="C759">
            <v>126</v>
          </cell>
        </row>
        <row r="760">
          <cell r="A760" t="str">
            <v>A4NRWY1</v>
          </cell>
          <cell r="B760" t="str">
            <v>KH-102 Keyboard Holder</v>
          </cell>
          <cell r="C760">
            <v>123</v>
          </cell>
        </row>
        <row r="761">
          <cell r="A761" t="str">
            <v>A0W4WY2</v>
          </cell>
          <cell r="B761" t="str">
            <v>WT-506 Working Table</v>
          </cell>
          <cell r="C761">
            <v>112</v>
          </cell>
        </row>
        <row r="762">
          <cell r="A762">
            <v>4623474</v>
          </cell>
          <cell r="B762" t="str">
            <v>Key Counter Mount Kit 1 for Hecon Conventional Counter</v>
          </cell>
          <cell r="C762">
            <v>86</v>
          </cell>
        </row>
        <row r="763">
          <cell r="A763" t="str">
            <v>XGPCS15DKM</v>
          </cell>
          <cell r="B763" t="str">
            <v>ESP Diagnostic Power Filter 120V/15A</v>
          </cell>
          <cell r="C763">
            <v>275</v>
          </cell>
        </row>
        <row r="764">
          <cell r="A764">
            <v>7640005261</v>
          </cell>
          <cell r="B764" t="str">
            <v>HID Proximity Cards - 10 pack</v>
          </cell>
          <cell r="C764">
            <v>69</v>
          </cell>
        </row>
        <row r="765">
          <cell r="A765" t="str">
            <v>A4MMWY1</v>
          </cell>
          <cell r="B765" t="str">
            <v>SC-508 Security Kit (Copy Guard/Password Protect)</v>
          </cell>
          <cell r="C765">
            <v>1225</v>
          </cell>
        </row>
        <row r="766">
          <cell r="A766">
            <v>7640013463</v>
          </cell>
          <cell r="B766" t="str">
            <v>CS-1 Convenience Stapler</v>
          </cell>
          <cell r="C766">
            <v>317</v>
          </cell>
        </row>
        <row r="767">
          <cell r="A767" t="str">
            <v>A161192000</v>
          </cell>
          <cell r="B767" t="str">
            <v>Stylus Pen for INFO-Palette Series</v>
          </cell>
          <cell r="C767">
            <v>30</v>
          </cell>
        </row>
        <row r="768">
          <cell r="A768" t="str">
            <v>PROFESSIONAL SERVICES:</v>
          </cell>
          <cell r="B768">
            <v>0</v>
          </cell>
          <cell r="C768">
            <v>0</v>
          </cell>
        </row>
        <row r="769">
          <cell r="A769" t="str">
            <v>7640015657</v>
          </cell>
          <cell r="B769" t="str">
            <v>bizhub SECURE</v>
          </cell>
          <cell r="C769">
            <v>250</v>
          </cell>
        </row>
        <row r="770">
          <cell r="A770" t="str">
            <v/>
          </cell>
          <cell r="B770">
            <v>0</v>
          </cell>
          <cell r="C770">
            <v>0</v>
          </cell>
        </row>
        <row r="771">
          <cell r="A771">
            <v>0</v>
          </cell>
          <cell r="B771">
            <v>0</v>
          </cell>
          <cell r="C771">
            <v>0</v>
          </cell>
        </row>
        <row r="772">
          <cell r="A772" t="str">
            <v>A4Y4011</v>
          </cell>
          <cell r="B772" t="str">
            <v>bizhub C3350</v>
          </cell>
          <cell r="C772">
            <v>4200</v>
          </cell>
        </row>
        <row r="773">
          <cell r="A773" t="str">
            <v>PAPER SUPPLY OPTIONS:</v>
          </cell>
          <cell r="B773">
            <v>0</v>
          </cell>
          <cell r="C773">
            <v>0</v>
          </cell>
        </row>
        <row r="774">
          <cell r="A774" t="str">
            <v>A4Y6WY1</v>
          </cell>
          <cell r="B774" t="str">
            <v>PF-P13 Paper Feed Unit</v>
          </cell>
          <cell r="C774">
            <v>340</v>
          </cell>
        </row>
        <row r="775">
          <cell r="A775" t="str">
            <v>9967002766</v>
          </cell>
          <cell r="B775" t="str">
            <v>DK-P03 Copy Desk</v>
          </cell>
          <cell r="C775">
            <v>296</v>
          </cell>
        </row>
        <row r="776">
          <cell r="A776" t="str">
            <v>OUTPUT OPTIONS:</v>
          </cell>
          <cell r="B776">
            <v>0</v>
          </cell>
          <cell r="C776">
            <v>0</v>
          </cell>
        </row>
        <row r="777">
          <cell r="A777" t="str">
            <v>A6VDWY1</v>
          </cell>
          <cell r="B777" t="str">
            <v>FS-P03 Finisher</v>
          </cell>
          <cell r="C777">
            <v>299</v>
          </cell>
        </row>
        <row r="778">
          <cell r="A778" t="str">
            <v>7640013463</v>
          </cell>
          <cell r="B778" t="str">
            <v>CS-1 Convenience Stapler</v>
          </cell>
          <cell r="C778">
            <v>317</v>
          </cell>
        </row>
        <row r="779">
          <cell r="A779" t="str">
            <v>i-Option ACCESSORIES:</v>
          </cell>
          <cell r="B779">
            <v>0</v>
          </cell>
          <cell r="C779">
            <v>0</v>
          </cell>
        </row>
        <row r="780">
          <cell r="A780" t="str">
            <v>A0PD01H</v>
          </cell>
          <cell r="B780" t="str">
            <v>LK-101 v3 i-Option License Kit (Web Browser)</v>
          </cell>
          <cell r="C780">
            <v>53</v>
          </cell>
        </row>
        <row r="781">
          <cell r="A781" t="str">
            <v>A0PD019</v>
          </cell>
          <cell r="B781" t="str">
            <v>LK-106 i-Option License Kit (Bar Code Font)</v>
          </cell>
          <cell r="C781">
            <v>821</v>
          </cell>
        </row>
        <row r="782">
          <cell r="A782" t="str">
            <v>A0PD01F</v>
          </cell>
          <cell r="B782" t="str">
            <v>LK-107 i-Option License Kit (Unicode Font)</v>
          </cell>
          <cell r="C782">
            <v>690</v>
          </cell>
        </row>
        <row r="783">
          <cell r="A783" t="str">
            <v>A0PD01G</v>
          </cell>
          <cell r="B783" t="str">
            <v>LK-108 i-Option License Kit (OCR Font)</v>
          </cell>
          <cell r="C783">
            <v>191</v>
          </cell>
        </row>
        <row r="784">
          <cell r="A784" t="str">
            <v>A0PD01K</v>
          </cell>
          <cell r="B784" t="str">
            <v>LK-111 i-Option License Kit (ThinPrint Client Support)</v>
          </cell>
          <cell r="C784">
            <v>250</v>
          </cell>
        </row>
        <row r="785">
          <cell r="A785" t="str">
            <v>CARD READERS</v>
          </cell>
          <cell r="B785">
            <v>0</v>
          </cell>
          <cell r="C785">
            <v>0</v>
          </cell>
        </row>
        <row r="786">
          <cell r="A786" t="str">
            <v>7640008394</v>
          </cell>
          <cell r="B786" t="str">
            <v>AU-202H iClass Card Reader</v>
          </cell>
          <cell r="C786">
            <v>476</v>
          </cell>
        </row>
        <row r="787">
          <cell r="A787" t="str">
            <v>7640005064</v>
          </cell>
          <cell r="B787" t="str">
            <v>AU-201H HID Proximity Card Authentication Unit</v>
          </cell>
          <cell r="C787">
            <v>423</v>
          </cell>
        </row>
        <row r="788">
          <cell r="A788" t="str">
            <v>7640005261</v>
          </cell>
          <cell r="B788" t="str">
            <v>HID Proximity Cards - 10 pack</v>
          </cell>
          <cell r="C788">
            <v>68.900000000000006</v>
          </cell>
        </row>
        <row r="789">
          <cell r="A789" t="str">
            <v>A732WY1</v>
          </cell>
          <cell r="B789" t="str">
            <v>MK-P02 Mount Kit for AU Unit</v>
          </cell>
          <cell r="C789">
            <v>86</v>
          </cell>
        </row>
        <row r="790">
          <cell r="A790" t="str">
            <v>MISC. OPTIONS:</v>
          </cell>
          <cell r="B790">
            <v>0</v>
          </cell>
          <cell r="C790">
            <v>0</v>
          </cell>
        </row>
        <row r="791">
          <cell r="A791" t="str">
            <v>A6EDW11</v>
          </cell>
          <cell r="B791" t="str">
            <v>FK-512 Fax Kit</v>
          </cell>
          <cell r="C791">
            <v>239</v>
          </cell>
        </row>
        <row r="792">
          <cell r="A792" t="str">
            <v>A6XXWY1</v>
          </cell>
          <cell r="B792" t="str">
            <v>MK-738 Mount Kit For Fax Unit</v>
          </cell>
          <cell r="C792">
            <v>68</v>
          </cell>
        </row>
        <row r="793">
          <cell r="A793" t="str">
            <v>SX4600WAN</v>
          </cell>
          <cell r="B793" t="str">
            <v>SX-4600WAN Wireless LAN Adaptor</v>
          </cell>
          <cell r="C793">
            <v>260</v>
          </cell>
        </row>
        <row r="794">
          <cell r="A794" t="str">
            <v>A6VCWY1</v>
          </cell>
          <cell r="B794" t="str">
            <v>WT-P02 Working Table</v>
          </cell>
          <cell r="C794">
            <v>120</v>
          </cell>
        </row>
        <row r="795">
          <cell r="A795" t="str">
            <v>A64TWY1</v>
          </cell>
          <cell r="B795" t="str">
            <v>KP-101 10-Key Pad</v>
          </cell>
          <cell r="C795">
            <v>126</v>
          </cell>
        </row>
        <row r="796">
          <cell r="A796" t="str">
            <v>XGPCS15DKM</v>
          </cell>
          <cell r="B796" t="str">
            <v>ESP Diagnostic Power Filter 120V/15A</v>
          </cell>
          <cell r="C796">
            <v>275</v>
          </cell>
        </row>
        <row r="797">
          <cell r="A797" t="str">
            <v>MN803CC</v>
          </cell>
          <cell r="B797" t="str">
            <v>1G Memory Expansion</v>
          </cell>
          <cell r="C797">
            <v>149</v>
          </cell>
        </row>
        <row r="798">
          <cell r="A798">
            <v>0</v>
          </cell>
          <cell r="B798">
            <v>0</v>
          </cell>
          <cell r="C798">
            <v>0</v>
          </cell>
        </row>
        <row r="799">
          <cell r="A799">
            <v>0</v>
          </cell>
          <cell r="B799">
            <v>0</v>
          </cell>
          <cell r="C799">
            <v>0</v>
          </cell>
        </row>
        <row r="800">
          <cell r="A800" t="str">
            <v>A3GN011</v>
          </cell>
          <cell r="B800" t="str">
            <v>bizhub C3850</v>
          </cell>
          <cell r="C800">
            <v>5100</v>
          </cell>
        </row>
        <row r="801">
          <cell r="A801" t="str">
            <v>PAPER SUPPLY OPTIONS:</v>
          </cell>
          <cell r="B801">
            <v>0</v>
          </cell>
          <cell r="C801">
            <v>0</v>
          </cell>
        </row>
        <row r="802">
          <cell r="A802" t="str">
            <v>A4Y6WY1</v>
          </cell>
          <cell r="B802" t="str">
            <v>PF-P13 Paper Feed Unit</v>
          </cell>
          <cell r="C802">
            <v>340</v>
          </cell>
        </row>
        <row r="803">
          <cell r="A803" t="str">
            <v>9967002766</v>
          </cell>
          <cell r="B803" t="str">
            <v>DK-P03 Copy Desk</v>
          </cell>
          <cell r="C803">
            <v>296</v>
          </cell>
        </row>
        <row r="804">
          <cell r="A804" t="str">
            <v>OUTPUT OPTIONS:</v>
          </cell>
          <cell r="B804">
            <v>0</v>
          </cell>
          <cell r="C804">
            <v>0</v>
          </cell>
        </row>
        <row r="805">
          <cell r="A805" t="str">
            <v>A6VDWY1</v>
          </cell>
          <cell r="B805" t="str">
            <v>FS-P03 Finisher</v>
          </cell>
          <cell r="C805">
            <v>299</v>
          </cell>
        </row>
        <row r="806">
          <cell r="A806" t="str">
            <v>7640013463</v>
          </cell>
          <cell r="B806" t="str">
            <v>CS-1 Convenience Stapler</v>
          </cell>
          <cell r="C806">
            <v>316.94</v>
          </cell>
        </row>
        <row r="807">
          <cell r="A807" t="str">
            <v>i-Option ACCESSORIES:</v>
          </cell>
          <cell r="B807">
            <v>0</v>
          </cell>
          <cell r="C807">
            <v>0</v>
          </cell>
        </row>
        <row r="808">
          <cell r="A808" t="str">
            <v>A0PD019</v>
          </cell>
          <cell r="B808" t="str">
            <v>LK-106 i-Option License Kit (Bar Code Font)</v>
          </cell>
          <cell r="C808">
            <v>821</v>
          </cell>
        </row>
        <row r="809">
          <cell r="A809" t="str">
            <v>A0PD01F</v>
          </cell>
          <cell r="B809" t="str">
            <v>LK-107 i-Option License Kit (Unicode Font)</v>
          </cell>
          <cell r="C809">
            <v>690</v>
          </cell>
        </row>
        <row r="810">
          <cell r="A810" t="str">
            <v>A0PD01G</v>
          </cell>
          <cell r="B810" t="str">
            <v>LK-108 i-Option License Kit (OCR Font)</v>
          </cell>
          <cell r="C810">
            <v>191</v>
          </cell>
        </row>
        <row r="811">
          <cell r="A811" t="str">
            <v>A0PD01K</v>
          </cell>
          <cell r="B811" t="str">
            <v>LK-111 i-Option License Kit (ThinPrint Client Support)</v>
          </cell>
          <cell r="C811">
            <v>250</v>
          </cell>
        </row>
        <row r="812">
          <cell r="A812" t="str">
            <v>CARD READERS:</v>
          </cell>
          <cell r="B812">
            <v>0</v>
          </cell>
          <cell r="C812">
            <v>0</v>
          </cell>
        </row>
        <row r="813">
          <cell r="A813" t="str">
            <v>7640008394</v>
          </cell>
          <cell r="B813" t="str">
            <v>AU-202H iClass Card Reader</v>
          </cell>
          <cell r="C813">
            <v>478</v>
          </cell>
        </row>
        <row r="814">
          <cell r="A814" t="str">
            <v>7640005064</v>
          </cell>
          <cell r="B814" t="str">
            <v>AU-201H HID Proximity Card Authentication Unit</v>
          </cell>
          <cell r="C814">
            <v>423</v>
          </cell>
        </row>
        <row r="815">
          <cell r="A815" t="str">
            <v>7640005261</v>
          </cell>
          <cell r="B815" t="str">
            <v>HID Proximity Cards - 10 pack</v>
          </cell>
          <cell r="C815">
            <v>69</v>
          </cell>
        </row>
        <row r="816">
          <cell r="A816" t="str">
            <v>A732WY1</v>
          </cell>
          <cell r="B816" t="str">
            <v>MK-P02 Mount Kit for AU Unit</v>
          </cell>
          <cell r="C816">
            <v>86</v>
          </cell>
        </row>
        <row r="817">
          <cell r="A817" t="str">
            <v>MISC. OPTIONS:</v>
          </cell>
          <cell r="B817">
            <v>0</v>
          </cell>
          <cell r="C817">
            <v>0</v>
          </cell>
        </row>
        <row r="818">
          <cell r="A818" t="str">
            <v>A0PD01H</v>
          </cell>
          <cell r="B818" t="str">
            <v>LK-101 v3 i-Option License Kit (Web Browser)</v>
          </cell>
          <cell r="C818">
            <v>53</v>
          </cell>
        </row>
        <row r="819">
          <cell r="A819" t="str">
            <v>SX4600WAN</v>
          </cell>
          <cell r="B819" t="str">
            <v>SX-4600WAN Wireless LAN Adaptor</v>
          </cell>
          <cell r="C819">
            <v>260</v>
          </cell>
        </row>
        <row r="820">
          <cell r="A820" t="str">
            <v>A6VCWY1</v>
          </cell>
          <cell r="B820" t="str">
            <v>WT-P02 Working Table</v>
          </cell>
          <cell r="C820">
            <v>120</v>
          </cell>
        </row>
        <row r="821">
          <cell r="A821" t="str">
            <v>A64TWY1</v>
          </cell>
          <cell r="B821" t="str">
            <v>KP-101 10-Key Pad</v>
          </cell>
          <cell r="C821">
            <v>126</v>
          </cell>
        </row>
        <row r="822">
          <cell r="A822" t="str">
            <v>XGPCS15DKM</v>
          </cell>
          <cell r="B822" t="str">
            <v>ESP Diagnostic Power Filter 120V/15A</v>
          </cell>
          <cell r="C822">
            <v>275</v>
          </cell>
        </row>
        <row r="823">
          <cell r="A823" t="str">
            <v>MN803CC</v>
          </cell>
          <cell r="B823" t="str">
            <v>1G Memory Expansion</v>
          </cell>
          <cell r="C823">
            <v>149</v>
          </cell>
        </row>
        <row r="824">
          <cell r="A824">
            <v>0</v>
          </cell>
          <cell r="B824">
            <v>0</v>
          </cell>
          <cell r="C824">
            <v>0</v>
          </cell>
        </row>
        <row r="825">
          <cell r="A825">
            <v>0</v>
          </cell>
          <cell r="B825">
            <v>0</v>
          </cell>
          <cell r="C825">
            <v>0</v>
          </cell>
        </row>
        <row r="826">
          <cell r="A826" t="str">
            <v>A5C0011</v>
          </cell>
          <cell r="B826" t="str">
            <v>bizhub C454e</v>
          </cell>
          <cell r="C826">
            <v>24410</v>
          </cell>
        </row>
        <row r="827">
          <cell r="A827" t="str">
            <v>PAPER SUPPLY OPTIONS: Select one</v>
          </cell>
          <cell r="B827">
            <v>0</v>
          </cell>
          <cell r="C827">
            <v>0</v>
          </cell>
        </row>
        <row r="828">
          <cell r="A828" t="str">
            <v>A2XM013</v>
          </cell>
          <cell r="B828" t="str">
            <v>PC-410 Large Capacity Cassette</v>
          </cell>
          <cell r="C828">
            <v>1402</v>
          </cell>
        </row>
        <row r="829">
          <cell r="A829" t="str">
            <v>A2XMWY2</v>
          </cell>
          <cell r="B829" t="str">
            <v>PC-210 2-way Paper Feed Cabinet</v>
          </cell>
          <cell r="C829">
            <v>1191</v>
          </cell>
        </row>
        <row r="830">
          <cell r="A830" t="str">
            <v>A2XMWY1</v>
          </cell>
          <cell r="B830" t="str">
            <v>PC-110 Paper Feed Cabinet</v>
          </cell>
          <cell r="C830">
            <v>913</v>
          </cell>
        </row>
        <row r="831">
          <cell r="A831" t="str">
            <v>7640018680</v>
          </cell>
          <cell r="B831" t="str">
            <v>DK-510 Copy Desk</v>
          </cell>
          <cell r="C831">
            <v>222</v>
          </cell>
        </row>
        <row r="832">
          <cell r="A832" t="str">
            <v>A0TJWY4</v>
          </cell>
          <cell r="B832" t="str">
            <v>LU-204 Large Capacity Unit</v>
          </cell>
          <cell r="C832">
            <v>3339</v>
          </cell>
        </row>
        <row r="833">
          <cell r="A833" t="str">
            <v>A03NWY2</v>
          </cell>
          <cell r="B833" t="str">
            <v>LU-301 Large Capacity Unit</v>
          </cell>
          <cell r="C833">
            <v>1780.8</v>
          </cell>
        </row>
        <row r="834">
          <cell r="A834" t="str">
            <v>OUTPUT OPTIONS:</v>
          </cell>
          <cell r="B834">
            <v>0</v>
          </cell>
          <cell r="C834">
            <v>0</v>
          </cell>
        </row>
        <row r="835">
          <cell r="A835" t="str">
            <v>A2YVWY1</v>
          </cell>
          <cell r="B835" t="str">
            <v>JS-506 Job Separator Tray</v>
          </cell>
          <cell r="C835">
            <v>500</v>
          </cell>
        </row>
        <row r="836">
          <cell r="A836" t="str">
            <v>A3EPWY1</v>
          </cell>
          <cell r="B836" t="str">
            <v>FS-534 50-Sheet Stapling Finisher</v>
          </cell>
          <cell r="C836">
            <v>1855</v>
          </cell>
        </row>
        <row r="837">
          <cell r="A837" t="str">
            <v>A2YUWY1</v>
          </cell>
          <cell r="B837" t="str">
            <v>FS-533 Inner Finisher</v>
          </cell>
          <cell r="C837">
            <v>1553</v>
          </cell>
        </row>
        <row r="838">
          <cell r="A838" t="str">
            <v>A3EUW11</v>
          </cell>
          <cell r="B838" t="str">
            <v>PK-519 2/3 Hole Punch Unit (FS-533)</v>
          </cell>
          <cell r="C838">
            <v>585</v>
          </cell>
        </row>
        <row r="839">
          <cell r="A839" t="str">
            <v>A3ETW11</v>
          </cell>
          <cell r="B839" t="str">
            <v>PK-520 2/3 Hole Punch Unit (FS-534)</v>
          </cell>
          <cell r="C839">
            <v>586</v>
          </cell>
        </row>
        <row r="840">
          <cell r="A840" t="str">
            <v>A3EPWYA</v>
          </cell>
          <cell r="B840" t="str">
            <v>FS-534 + SD-511  Kit</v>
          </cell>
          <cell r="C840">
            <v>3305</v>
          </cell>
        </row>
        <row r="841">
          <cell r="A841" t="str">
            <v>A4MDWY1</v>
          </cell>
          <cell r="B841" t="str">
            <v>OT-506 Output Tray</v>
          </cell>
          <cell r="C841">
            <v>111</v>
          </cell>
        </row>
        <row r="842">
          <cell r="A842" t="str">
            <v>FAX OPTIONS:</v>
          </cell>
          <cell r="B842">
            <v>0</v>
          </cell>
          <cell r="C842">
            <v>0</v>
          </cell>
        </row>
        <row r="843">
          <cell r="A843" t="str">
            <v>A4MF012</v>
          </cell>
          <cell r="B843" t="str">
            <v>FK-511 Fax Kit</v>
          </cell>
          <cell r="C843">
            <v>1070</v>
          </cell>
        </row>
        <row r="844">
          <cell r="A844">
            <v>4614506</v>
          </cell>
          <cell r="B844" t="str">
            <v>SP-501 Fax Stamp Unit</v>
          </cell>
          <cell r="C844">
            <v>48</v>
          </cell>
        </row>
        <row r="845">
          <cell r="A845">
            <v>4614511</v>
          </cell>
          <cell r="B845" t="str">
            <v>Spare TX Marker Stamp 2</v>
          </cell>
          <cell r="C845">
            <v>27</v>
          </cell>
        </row>
        <row r="846">
          <cell r="A846" t="str">
            <v>A4NPWY1</v>
          </cell>
          <cell r="B846" t="str">
            <v>MK-728 Mount Kit (3rd&amp;4th Fax Line Mount Kit)</v>
          </cell>
          <cell r="C846">
            <v>120</v>
          </cell>
        </row>
        <row r="847">
          <cell r="A847" t="str">
            <v>A22M011</v>
          </cell>
          <cell r="B847" t="str">
            <v>FK-508 Fax Board</v>
          </cell>
          <cell r="C847">
            <v>1068</v>
          </cell>
        </row>
        <row r="848">
          <cell r="A848" t="str">
            <v>PRINT CONTROLLER OPTIONS:</v>
          </cell>
          <cell r="B848">
            <v>0</v>
          </cell>
          <cell r="C848">
            <v>0</v>
          </cell>
        </row>
        <row r="849">
          <cell r="A849" t="str">
            <v>A4FRWY2</v>
          </cell>
          <cell r="B849" t="str">
            <v xml:space="preserve">IC-414 Fiery Image Controller </v>
          </cell>
          <cell r="C849">
            <v>4158</v>
          </cell>
        </row>
        <row r="850">
          <cell r="A850" t="str">
            <v>A4MGWY1</v>
          </cell>
          <cell r="B850" t="str">
            <v>VI-506 Video Interface Card</v>
          </cell>
          <cell r="C850">
            <v>296</v>
          </cell>
        </row>
        <row r="851">
          <cell r="A851">
            <v>7640004312</v>
          </cell>
          <cell r="B851" t="str">
            <v>EFI Hot Folders</v>
          </cell>
          <cell r="C851">
            <v>875</v>
          </cell>
        </row>
        <row r="852">
          <cell r="A852">
            <v>7640004313</v>
          </cell>
          <cell r="B852" t="str">
            <v>EFI AutoTrap</v>
          </cell>
          <cell r="C852">
            <v>875</v>
          </cell>
        </row>
        <row r="853">
          <cell r="A853">
            <v>45109642</v>
          </cell>
          <cell r="B853" t="str">
            <v>ES-2000 Spectrophotometer</v>
          </cell>
          <cell r="C853">
            <v>1348</v>
          </cell>
        </row>
        <row r="854">
          <cell r="A854">
            <v>7640009476</v>
          </cell>
          <cell r="B854" t="str">
            <v>EFI Fiery SeeQuence Impose</v>
          </cell>
          <cell r="C854">
            <v>2650</v>
          </cell>
        </row>
        <row r="855">
          <cell r="A855">
            <v>7640009477</v>
          </cell>
          <cell r="B855" t="str">
            <v>EFI Fiery SeeQuence Compose</v>
          </cell>
          <cell r="C855">
            <v>1166</v>
          </cell>
        </row>
        <row r="856">
          <cell r="A856">
            <v>7640009478</v>
          </cell>
          <cell r="B856" t="str">
            <v>EFI Fiery SeeQuence Impose+Compose Suite</v>
          </cell>
          <cell r="C856">
            <v>3179</v>
          </cell>
        </row>
        <row r="857">
          <cell r="A857">
            <v>3000005452</v>
          </cell>
          <cell r="B857" t="str">
            <v>Fiery Color Profiler Suite V 4.0 with ES-2000 Spectrophotometer</v>
          </cell>
          <cell r="C857">
            <v>3400</v>
          </cell>
        </row>
        <row r="858">
          <cell r="A858">
            <v>7640017030</v>
          </cell>
          <cell r="B858" t="str">
            <v>EFI IC-414 Productivity Package</v>
          </cell>
          <cell r="C858">
            <v>4500</v>
          </cell>
        </row>
        <row r="859">
          <cell r="A859" t="str">
            <v>i-OPTION ACCESSORIES:</v>
          </cell>
          <cell r="B859">
            <v>0</v>
          </cell>
          <cell r="C859">
            <v>0</v>
          </cell>
        </row>
        <row r="860">
          <cell r="A860" t="str">
            <v>A0PD01H</v>
          </cell>
          <cell r="B860" t="str">
            <v>LK-101 v3 i-Option License Kit (Web Browser)</v>
          </cell>
          <cell r="C860">
            <v>53</v>
          </cell>
        </row>
        <row r="861">
          <cell r="A861" t="str">
            <v>A0PD016</v>
          </cell>
          <cell r="B861" t="str">
            <v>LK-102 v3 i-Option License Kit (Encrypted PDF, PDF/A, Linearized PDF)</v>
          </cell>
          <cell r="C861">
            <v>1100</v>
          </cell>
        </row>
        <row r="862">
          <cell r="A862" t="str">
            <v>A0PD017</v>
          </cell>
          <cell r="B862" t="str">
            <v>LK-104 v3 i-Option License Kiit (Voice Guidance)</v>
          </cell>
          <cell r="C862">
            <v>785</v>
          </cell>
        </row>
        <row r="863">
          <cell r="A863" t="str">
            <v>A0PD018</v>
          </cell>
          <cell r="B863" t="str">
            <v>LK-105 v3 (Searchable PDF)</v>
          </cell>
          <cell r="C863">
            <v>668</v>
          </cell>
        </row>
        <row r="864">
          <cell r="A864" t="str">
            <v>A0PD019</v>
          </cell>
          <cell r="B864" t="str">
            <v>LK-106 i-Option License Kit (Bar Code Font)</v>
          </cell>
          <cell r="C864">
            <v>821</v>
          </cell>
        </row>
        <row r="865">
          <cell r="A865" t="str">
            <v>A0PD01F</v>
          </cell>
          <cell r="B865" t="str">
            <v>LK-107 i-Option License Kit (Unicode Font)</v>
          </cell>
          <cell r="C865">
            <v>690</v>
          </cell>
        </row>
        <row r="866">
          <cell r="A866" t="str">
            <v>A0PD01G</v>
          </cell>
          <cell r="B866" t="str">
            <v>LK-108 i-Option License Kit (OCR Font)</v>
          </cell>
          <cell r="C866">
            <v>191</v>
          </cell>
        </row>
        <row r="867">
          <cell r="A867" t="str">
            <v>A0PD01J</v>
          </cell>
          <cell r="B867" t="str">
            <v>LK-110 i-Option License kit (OOXML File Conversion,Enhanced Image Data)</v>
          </cell>
          <cell r="C867">
            <v>1500</v>
          </cell>
        </row>
        <row r="868">
          <cell r="A868" t="str">
            <v>A0PD01K</v>
          </cell>
          <cell r="B868" t="str">
            <v>LK-111 i-Option License Kit (ThinPrint Client Support)</v>
          </cell>
          <cell r="C868">
            <v>250</v>
          </cell>
        </row>
        <row r="869">
          <cell r="A869" t="str">
            <v>A4MHWY1</v>
          </cell>
          <cell r="B869" t="str">
            <v>UK-204 i-Option Memory Upgrade Kit</v>
          </cell>
          <cell r="C869">
            <v>290</v>
          </cell>
        </row>
        <row r="870">
          <cell r="A870" t="str">
            <v>MISC. OPTIONS:</v>
          </cell>
          <cell r="B870">
            <v>0</v>
          </cell>
          <cell r="C870">
            <v>0</v>
          </cell>
        </row>
        <row r="871">
          <cell r="A871" t="str">
            <v>A0X9WY1</v>
          </cell>
          <cell r="B871" t="str">
            <v xml:space="preserve">AU-102 Biometric Authentication Unit </v>
          </cell>
          <cell r="C871">
            <v>947</v>
          </cell>
        </row>
        <row r="872">
          <cell r="A872">
            <v>7640005064</v>
          </cell>
          <cell r="B872" t="str">
            <v>AU-201H HID Proximity Card Authentication Unit</v>
          </cell>
          <cell r="C872">
            <v>423</v>
          </cell>
        </row>
        <row r="873">
          <cell r="A873">
            <v>7640008394</v>
          </cell>
          <cell r="B873" t="str">
            <v>AU-202H iClass Card Reader</v>
          </cell>
          <cell r="C873">
            <v>476</v>
          </cell>
        </row>
        <row r="874">
          <cell r="A874">
            <v>7640013468</v>
          </cell>
          <cell r="B874" t="str">
            <v>AU-204H Mag Stripe Card Reader</v>
          </cell>
          <cell r="C874">
            <v>423</v>
          </cell>
        </row>
        <row r="875">
          <cell r="A875" t="str">
            <v>A4MEWY1</v>
          </cell>
          <cell r="B875" t="str">
            <v>MK-730 Banner paper Guide</v>
          </cell>
          <cell r="C875">
            <v>846</v>
          </cell>
        </row>
        <row r="876">
          <cell r="A876" t="str">
            <v>A4NMWY1</v>
          </cell>
          <cell r="B876" t="str">
            <v>MK-735 Mount Kit  (IC Card Internal Mount Kit)</v>
          </cell>
          <cell r="C876">
            <v>60</v>
          </cell>
        </row>
        <row r="877">
          <cell r="A877" t="str">
            <v>A4MJWY2</v>
          </cell>
          <cell r="B877" t="str">
            <v>EK-606 Local USB Interface Kit</v>
          </cell>
          <cell r="C877">
            <v>200</v>
          </cell>
        </row>
        <row r="878">
          <cell r="A878" t="str">
            <v>A4MKWY2</v>
          </cell>
          <cell r="B878" t="str">
            <v>EK-607 Local USB Interface Kit</v>
          </cell>
          <cell r="C878">
            <v>279</v>
          </cell>
        </row>
        <row r="879">
          <cell r="A879">
            <v>7640006869</v>
          </cell>
          <cell r="B879" t="str">
            <v>External Keyboard</v>
          </cell>
          <cell r="C879">
            <v>223</v>
          </cell>
        </row>
        <row r="880">
          <cell r="A880" t="str">
            <v>A64TWY1</v>
          </cell>
          <cell r="B880" t="str">
            <v>KP-101 10-Key Pad</v>
          </cell>
          <cell r="C880">
            <v>126</v>
          </cell>
        </row>
        <row r="881">
          <cell r="A881" t="str">
            <v>A4NRWY1</v>
          </cell>
          <cell r="B881" t="str">
            <v>KH-102 Keyboard Holder</v>
          </cell>
          <cell r="C881">
            <v>123</v>
          </cell>
        </row>
        <row r="882">
          <cell r="A882" t="str">
            <v>A0W4WY2</v>
          </cell>
          <cell r="B882" t="str">
            <v>WT-506 Working Table</v>
          </cell>
          <cell r="C882">
            <v>112</v>
          </cell>
        </row>
        <row r="883">
          <cell r="A883">
            <v>4623474</v>
          </cell>
          <cell r="B883" t="str">
            <v>Key Counter Mount Kit 1 for Hecon Conventional Counter</v>
          </cell>
          <cell r="C883">
            <v>86</v>
          </cell>
        </row>
        <row r="884">
          <cell r="A884">
            <v>7640005261</v>
          </cell>
          <cell r="B884" t="str">
            <v>HID Proximity Cards - 10 pack</v>
          </cell>
          <cell r="C884">
            <v>69</v>
          </cell>
        </row>
        <row r="885">
          <cell r="A885" t="str">
            <v>A4MMWY1</v>
          </cell>
          <cell r="B885" t="str">
            <v>SC-508 Security Kit (Copy Guard/Password Protect)</v>
          </cell>
          <cell r="C885">
            <v>1225</v>
          </cell>
        </row>
        <row r="886">
          <cell r="A886" t="str">
            <v>XGPCS20DKM</v>
          </cell>
          <cell r="B886" t="str">
            <v>ESP Diagnostic Power Filter 120V/20A</v>
          </cell>
          <cell r="C886">
            <v>307</v>
          </cell>
        </row>
        <row r="887">
          <cell r="A887">
            <v>7640013463</v>
          </cell>
          <cell r="B887" t="str">
            <v>CS-1 Convenience Stapler</v>
          </cell>
          <cell r="C887">
            <v>317</v>
          </cell>
        </row>
        <row r="888">
          <cell r="A888" t="str">
            <v>A161192000</v>
          </cell>
          <cell r="B888" t="str">
            <v>Stylus Pen for INFO-Palette Series</v>
          </cell>
          <cell r="C888">
            <v>30</v>
          </cell>
        </row>
        <row r="889">
          <cell r="A889" t="str">
            <v>PROFESSIONAL SERVICES:</v>
          </cell>
          <cell r="B889">
            <v>0</v>
          </cell>
          <cell r="C889">
            <v>0</v>
          </cell>
        </row>
        <row r="890">
          <cell r="A890" t="str">
            <v>7640015657</v>
          </cell>
          <cell r="B890" t="str">
            <v>bizhub SECURE</v>
          </cell>
          <cell r="C890">
            <v>250</v>
          </cell>
        </row>
        <row r="891">
          <cell r="A891" t="str">
            <v/>
          </cell>
          <cell r="B891">
            <v>0</v>
          </cell>
          <cell r="C891">
            <v>0</v>
          </cell>
        </row>
        <row r="892">
          <cell r="A892">
            <v>0</v>
          </cell>
          <cell r="B892">
            <v>0</v>
          </cell>
          <cell r="C892">
            <v>0</v>
          </cell>
        </row>
        <row r="893">
          <cell r="A893" t="str">
            <v>A5AY011</v>
          </cell>
          <cell r="B893" t="str">
            <v>bizhub C554e</v>
          </cell>
          <cell r="C893">
            <v>29930</v>
          </cell>
        </row>
        <row r="894">
          <cell r="A894" t="str">
            <v>PAPER SUPPLY OPTIONS: Select one</v>
          </cell>
          <cell r="B894">
            <v>0</v>
          </cell>
          <cell r="C894">
            <v>0</v>
          </cell>
        </row>
        <row r="895">
          <cell r="A895" t="str">
            <v>A2XM013</v>
          </cell>
          <cell r="B895" t="str">
            <v>PC-410 Large Capacity Cassette</v>
          </cell>
          <cell r="C895">
            <v>1402</v>
          </cell>
        </row>
        <row r="896">
          <cell r="A896" t="str">
            <v>A2XMWY2</v>
          </cell>
          <cell r="B896" t="str">
            <v>PC-210 2-way Paper Feed Cabinet</v>
          </cell>
          <cell r="C896">
            <v>1191</v>
          </cell>
        </row>
        <row r="897">
          <cell r="A897" t="str">
            <v>A2XMWY1</v>
          </cell>
          <cell r="B897" t="str">
            <v>PC-110 Paper Feed Cabinet</v>
          </cell>
          <cell r="C897">
            <v>913</v>
          </cell>
        </row>
        <row r="898">
          <cell r="A898" t="str">
            <v>7640018680</v>
          </cell>
          <cell r="B898" t="str">
            <v>DK-510 Copy Desk</v>
          </cell>
          <cell r="C898">
            <v>222</v>
          </cell>
        </row>
        <row r="899">
          <cell r="A899" t="str">
            <v>A0TJWY4</v>
          </cell>
          <cell r="B899" t="str">
            <v>LU-204 Large Capacity Unit</v>
          </cell>
          <cell r="C899">
            <v>3339</v>
          </cell>
        </row>
        <row r="900">
          <cell r="A900" t="str">
            <v>A03NWY2</v>
          </cell>
          <cell r="B900" t="str">
            <v>LU-301 Large Capacity Unit</v>
          </cell>
          <cell r="C900">
            <v>1780.8</v>
          </cell>
        </row>
        <row r="901">
          <cell r="A901" t="str">
            <v>OUTPUT OPTIONS:</v>
          </cell>
          <cell r="B901">
            <v>0</v>
          </cell>
          <cell r="C901">
            <v>0</v>
          </cell>
        </row>
        <row r="902">
          <cell r="A902" t="str">
            <v>A2YVWY1</v>
          </cell>
          <cell r="B902" t="str">
            <v>JS-506 Job Separator Tray</v>
          </cell>
          <cell r="C902">
            <v>500</v>
          </cell>
        </row>
        <row r="903">
          <cell r="A903" t="str">
            <v>A10CWY1</v>
          </cell>
          <cell r="B903" t="str">
            <v>JS-602  Job Separator Tray (3rd Output Tray)</v>
          </cell>
          <cell r="C903">
            <v>500.32000000000005</v>
          </cell>
        </row>
        <row r="904">
          <cell r="A904" t="str">
            <v>A10AWY1</v>
          </cell>
          <cell r="B904" t="str">
            <v>PI-505 Post Inserter for FS-526</v>
          </cell>
          <cell r="C904">
            <v>1113</v>
          </cell>
        </row>
        <row r="905">
          <cell r="A905" t="str">
            <v>A3EPWY1</v>
          </cell>
          <cell r="B905" t="str">
            <v>FS-534 50-Sheet Stapling Finisher</v>
          </cell>
          <cell r="C905">
            <v>1855</v>
          </cell>
        </row>
        <row r="906">
          <cell r="A906" t="str">
            <v>A2YUWY1</v>
          </cell>
          <cell r="B906" t="str">
            <v>FS-533 Inner Finisher</v>
          </cell>
          <cell r="C906">
            <v>1553</v>
          </cell>
        </row>
        <row r="907">
          <cell r="A907" t="str">
            <v>A2Y1WY1</v>
          </cell>
          <cell r="B907" t="str">
            <v>FS-535 100-Sheet Stapling Finisher</v>
          </cell>
          <cell r="C907">
            <v>3020</v>
          </cell>
        </row>
        <row r="908">
          <cell r="A908" t="str">
            <v>A3EUW11</v>
          </cell>
          <cell r="B908" t="str">
            <v>PK-519 2/3 Hole Punch Unit (FS-533)</v>
          </cell>
          <cell r="C908">
            <v>585</v>
          </cell>
        </row>
        <row r="909">
          <cell r="A909" t="str">
            <v>A3ETW11</v>
          </cell>
          <cell r="B909" t="str">
            <v>PK-520 2/3 Hole Punch Unit (FS-534)</v>
          </cell>
          <cell r="C909">
            <v>586</v>
          </cell>
        </row>
        <row r="910">
          <cell r="A910" t="str">
            <v>A2YRW11</v>
          </cell>
          <cell r="B910" t="str">
            <v>PK-521 2/3 Hole Punch Unit (FS-535)</v>
          </cell>
          <cell r="C910">
            <v>863</v>
          </cell>
        </row>
        <row r="911">
          <cell r="A911" t="str">
            <v>A3EPWYA</v>
          </cell>
          <cell r="B911" t="str">
            <v>FS-534 + SD-511  Kit</v>
          </cell>
          <cell r="C911">
            <v>3305</v>
          </cell>
        </row>
        <row r="912">
          <cell r="A912" t="str">
            <v>A2Y2WY1</v>
          </cell>
          <cell r="B912" t="str">
            <v>SD-512 Saddle Stitcher (FS-535)</v>
          </cell>
          <cell r="C912">
            <v>1670</v>
          </cell>
        </row>
        <row r="913">
          <cell r="A913" t="str">
            <v>A109W12</v>
          </cell>
          <cell r="B913" t="str">
            <v>ZU-606 Z-Folding Unit (FS-535)</v>
          </cell>
          <cell r="C913">
            <v>5509.88</v>
          </cell>
        </row>
        <row r="914">
          <cell r="A914" t="str">
            <v>A4MDWY1</v>
          </cell>
          <cell r="B914" t="str">
            <v>OT-506 Output Tray</v>
          </cell>
          <cell r="C914">
            <v>111</v>
          </cell>
        </row>
        <row r="915">
          <cell r="A915" t="str">
            <v>FAX OPTIONS:</v>
          </cell>
          <cell r="B915">
            <v>0</v>
          </cell>
          <cell r="C915">
            <v>0</v>
          </cell>
        </row>
        <row r="916">
          <cell r="A916" t="str">
            <v>A4MF012</v>
          </cell>
          <cell r="B916" t="str">
            <v>FK-511 Fax Kit</v>
          </cell>
          <cell r="C916">
            <v>1070</v>
          </cell>
        </row>
        <row r="917">
          <cell r="A917">
            <v>4614506</v>
          </cell>
          <cell r="B917" t="str">
            <v>SP-501 Fax Stamp Unit</v>
          </cell>
          <cell r="C917">
            <v>47.7</v>
          </cell>
        </row>
        <row r="918">
          <cell r="A918">
            <v>4614511</v>
          </cell>
          <cell r="B918" t="str">
            <v>Spare TX Marker Stamp 2</v>
          </cell>
          <cell r="C918">
            <v>26.5</v>
          </cell>
        </row>
        <row r="919">
          <cell r="A919" t="str">
            <v>A4NPWY1</v>
          </cell>
          <cell r="B919" t="str">
            <v>MK-728 Mount Kit (3rd&amp;4th Fax Line Mount Kit)</v>
          </cell>
          <cell r="C919">
            <v>120</v>
          </cell>
        </row>
        <row r="920">
          <cell r="A920" t="str">
            <v>A22M011</v>
          </cell>
          <cell r="B920" t="str">
            <v>FK-508 Fax Board</v>
          </cell>
          <cell r="C920">
            <v>1068.48</v>
          </cell>
        </row>
        <row r="921">
          <cell r="A921" t="str">
            <v>PRINT CONTROLLER OPTIONS:</v>
          </cell>
          <cell r="B921">
            <v>0</v>
          </cell>
          <cell r="C921">
            <v>0</v>
          </cell>
        </row>
        <row r="922">
          <cell r="A922" t="str">
            <v>A4FRWY2</v>
          </cell>
          <cell r="B922" t="str">
            <v xml:space="preserve">IC-414 Fiery Image Controller </v>
          </cell>
          <cell r="C922">
            <v>4158</v>
          </cell>
        </row>
        <row r="923">
          <cell r="A923" t="str">
            <v>A4MGWY1</v>
          </cell>
          <cell r="B923" t="str">
            <v>VI-506 Video Interface Card</v>
          </cell>
          <cell r="C923">
            <v>296</v>
          </cell>
        </row>
        <row r="924">
          <cell r="A924">
            <v>7640004312</v>
          </cell>
          <cell r="B924" t="str">
            <v>EFI Hot Folders</v>
          </cell>
          <cell r="C924">
            <v>874.5</v>
          </cell>
        </row>
        <row r="925">
          <cell r="A925">
            <v>7640004313</v>
          </cell>
          <cell r="B925" t="str">
            <v>EFI AutoTrap</v>
          </cell>
          <cell r="C925">
            <v>874.5</v>
          </cell>
        </row>
        <row r="926">
          <cell r="A926">
            <v>45109642</v>
          </cell>
          <cell r="B926" t="str">
            <v>ES-2000 Spectrophotometer</v>
          </cell>
          <cell r="C926">
            <v>1348</v>
          </cell>
        </row>
        <row r="927">
          <cell r="A927">
            <v>7640009476</v>
          </cell>
          <cell r="B927" t="str">
            <v>EFI Fiery SeeQuence Impose</v>
          </cell>
          <cell r="C927">
            <v>2650</v>
          </cell>
        </row>
        <row r="928">
          <cell r="A928">
            <v>7640009477</v>
          </cell>
          <cell r="B928" t="str">
            <v>EFI Fiery SeeQuence Compose</v>
          </cell>
          <cell r="C928">
            <v>1166</v>
          </cell>
        </row>
        <row r="929">
          <cell r="A929">
            <v>7640009478</v>
          </cell>
          <cell r="B929" t="str">
            <v>EFI Fiery SeeQuence Impose+Compose Suite</v>
          </cell>
          <cell r="C929">
            <v>3178.94</v>
          </cell>
        </row>
        <row r="930">
          <cell r="A930">
            <v>3000005452</v>
          </cell>
          <cell r="B930" t="str">
            <v>Fiery Color Profiler Suite V 4.0 with ES-2000 Spectrophotometer</v>
          </cell>
          <cell r="C930">
            <v>3400</v>
          </cell>
        </row>
        <row r="931">
          <cell r="A931">
            <v>7640017030</v>
          </cell>
          <cell r="B931" t="str">
            <v>EFI IC-414 Productivity Package</v>
          </cell>
          <cell r="C931">
            <v>4500</v>
          </cell>
        </row>
        <row r="932">
          <cell r="A932" t="str">
            <v>i-OPTION ACCESSORIES:</v>
          </cell>
          <cell r="B932">
            <v>0</v>
          </cell>
          <cell r="C932">
            <v>0</v>
          </cell>
        </row>
        <row r="933">
          <cell r="A933" t="str">
            <v>A0PD01H</v>
          </cell>
          <cell r="B933" t="str">
            <v>LK-101 v3 i-Option License Kit (Web Browser)</v>
          </cell>
          <cell r="C933">
            <v>53</v>
          </cell>
        </row>
        <row r="934">
          <cell r="A934" t="str">
            <v>A0PD016</v>
          </cell>
          <cell r="B934" t="str">
            <v>LK-102 v3 i-Option License Kit (Encrypted PDF, PDF/A, Linearized PDF)</v>
          </cell>
          <cell r="C934">
            <v>1100</v>
          </cell>
        </row>
        <row r="935">
          <cell r="A935" t="str">
            <v>A0PD017</v>
          </cell>
          <cell r="B935" t="str">
            <v>LK-104 v3 i-Option License Kiit (Voice Guidance)</v>
          </cell>
          <cell r="C935">
            <v>785</v>
          </cell>
        </row>
        <row r="936">
          <cell r="A936" t="str">
            <v>A0PD018</v>
          </cell>
          <cell r="B936" t="str">
            <v>LK-105 v3 (Searchable PDF)</v>
          </cell>
          <cell r="C936">
            <v>668</v>
          </cell>
        </row>
        <row r="937">
          <cell r="A937" t="str">
            <v>A0PD019</v>
          </cell>
          <cell r="B937" t="str">
            <v>LK-106 i-Option License Kit (Bar Code Font)</v>
          </cell>
          <cell r="C937">
            <v>821</v>
          </cell>
        </row>
        <row r="938">
          <cell r="A938" t="str">
            <v>A0PD01F</v>
          </cell>
          <cell r="B938" t="str">
            <v>LK-107 i-Option License Kit (Unicode Font)</v>
          </cell>
          <cell r="C938">
            <v>690</v>
          </cell>
        </row>
        <row r="939">
          <cell r="A939" t="str">
            <v>A0PD01G</v>
          </cell>
          <cell r="B939" t="str">
            <v>LK-108 i-Option License Kit (OCR Font)</v>
          </cell>
          <cell r="C939">
            <v>191</v>
          </cell>
        </row>
        <row r="940">
          <cell r="A940" t="str">
            <v>A0PD01J</v>
          </cell>
          <cell r="B940" t="str">
            <v>LK-110 i-Option License kit (OOXML File Conversion,Enhanced Image Data)</v>
          </cell>
          <cell r="C940">
            <v>1500</v>
          </cell>
        </row>
        <row r="941">
          <cell r="A941" t="str">
            <v>A0PD01K</v>
          </cell>
          <cell r="B941" t="str">
            <v>LK-111 i-Option License Kit (ThinPrint Client Support)</v>
          </cell>
          <cell r="C941">
            <v>250</v>
          </cell>
        </row>
        <row r="942">
          <cell r="A942" t="str">
            <v>A4MHWY1</v>
          </cell>
          <cell r="B942" t="str">
            <v>UK-204 i-Option Memory Upgrade Kit</v>
          </cell>
          <cell r="C942">
            <v>290</v>
          </cell>
        </row>
        <row r="943">
          <cell r="A943" t="str">
            <v>MISC. OPTIONS:</v>
          </cell>
          <cell r="B943">
            <v>0</v>
          </cell>
          <cell r="C943">
            <v>0</v>
          </cell>
        </row>
        <row r="944">
          <cell r="A944" t="str">
            <v>A0X9WY1</v>
          </cell>
          <cell r="B944" t="str">
            <v xml:space="preserve">AU-102 Biometric Authentication Unit </v>
          </cell>
          <cell r="C944">
            <v>946.58</v>
          </cell>
        </row>
        <row r="945">
          <cell r="A945">
            <v>7640005064</v>
          </cell>
          <cell r="B945" t="str">
            <v>AU-201H HID Proximity Card Authentication Unit</v>
          </cell>
          <cell r="C945">
            <v>422.94</v>
          </cell>
        </row>
        <row r="946">
          <cell r="A946">
            <v>7640008394</v>
          </cell>
          <cell r="B946" t="str">
            <v>AU-202H iClass Card Reader</v>
          </cell>
          <cell r="C946">
            <v>475.94</v>
          </cell>
        </row>
        <row r="947">
          <cell r="A947">
            <v>7640013468</v>
          </cell>
          <cell r="B947" t="str">
            <v>AU-204H Mag Stripe Card Reader</v>
          </cell>
          <cell r="C947">
            <v>422.94</v>
          </cell>
        </row>
        <row r="948">
          <cell r="A948" t="str">
            <v>A4MEWY1</v>
          </cell>
          <cell r="B948" t="str">
            <v>MK-730 Banner paper Guide</v>
          </cell>
          <cell r="C948">
            <v>846</v>
          </cell>
        </row>
        <row r="949">
          <cell r="A949" t="str">
            <v>A4NMWY1</v>
          </cell>
          <cell r="B949" t="str">
            <v>MK-735 Mount Kit  (IC Card Internal Mount Kit)</v>
          </cell>
          <cell r="C949">
            <v>60</v>
          </cell>
        </row>
        <row r="950">
          <cell r="A950" t="str">
            <v>A4MJWY2</v>
          </cell>
          <cell r="B950" t="str">
            <v>EK-606 Local USB Interface Kit</v>
          </cell>
          <cell r="C950">
            <v>200</v>
          </cell>
        </row>
        <row r="951">
          <cell r="A951" t="str">
            <v>A4MKWY2</v>
          </cell>
          <cell r="B951" t="str">
            <v>EK-607 Local USB Interface Kit</v>
          </cell>
          <cell r="C951">
            <v>279</v>
          </cell>
        </row>
        <row r="952">
          <cell r="A952">
            <v>7640006869</v>
          </cell>
          <cell r="B952" t="str">
            <v>External Keyboard</v>
          </cell>
          <cell r="C952">
            <v>222.60000000000002</v>
          </cell>
        </row>
        <row r="953">
          <cell r="A953" t="str">
            <v>A64TWY1</v>
          </cell>
          <cell r="B953" t="str">
            <v>KP-101 10-Key Pad</v>
          </cell>
          <cell r="C953">
            <v>126</v>
          </cell>
        </row>
        <row r="954">
          <cell r="A954" t="str">
            <v>A4NRWY1</v>
          </cell>
          <cell r="B954" t="str">
            <v>KH-102 Keyboard Holder</v>
          </cell>
          <cell r="C954">
            <v>123</v>
          </cell>
        </row>
        <row r="955">
          <cell r="A955" t="str">
            <v>A0W4WY2</v>
          </cell>
          <cell r="B955" t="str">
            <v>WT-506 Working Table</v>
          </cell>
          <cell r="C955">
            <v>112</v>
          </cell>
        </row>
        <row r="956">
          <cell r="A956">
            <v>4623474</v>
          </cell>
          <cell r="B956" t="str">
            <v>Key Counter Mount Kit 1 for Hecon Conventional Counter</v>
          </cell>
          <cell r="C956">
            <v>86</v>
          </cell>
        </row>
        <row r="957">
          <cell r="A957">
            <v>7640005261</v>
          </cell>
          <cell r="B957" t="str">
            <v>HID Proximity Cards - 10 pack</v>
          </cell>
          <cell r="C957">
            <v>68.900000000000006</v>
          </cell>
        </row>
        <row r="958">
          <cell r="A958" t="str">
            <v>A4MMWY1</v>
          </cell>
          <cell r="B958" t="str">
            <v>SC-508 Security Kit (Copy Guard/Password Protect)</v>
          </cell>
          <cell r="C958">
            <v>1225</v>
          </cell>
        </row>
        <row r="959">
          <cell r="A959" t="str">
            <v>XGPCS20DKM</v>
          </cell>
          <cell r="B959" t="str">
            <v>ESP Diagnostic Power Filter 120V/20A</v>
          </cell>
          <cell r="C959">
            <v>307</v>
          </cell>
        </row>
        <row r="960">
          <cell r="A960">
            <v>7640013463</v>
          </cell>
          <cell r="B960" t="str">
            <v>CS-1 Convenience Stapler</v>
          </cell>
          <cell r="C960">
            <v>316.94</v>
          </cell>
        </row>
        <row r="961">
          <cell r="A961" t="str">
            <v>A161192000</v>
          </cell>
          <cell r="B961" t="str">
            <v>Stylus Pen for INFO-Palette Series</v>
          </cell>
          <cell r="C961">
            <v>30</v>
          </cell>
        </row>
        <row r="962">
          <cell r="A962" t="str">
            <v xml:space="preserve">PROFESSIONAL SERVICES: </v>
          </cell>
          <cell r="B962">
            <v>0</v>
          </cell>
          <cell r="C962">
            <v>0</v>
          </cell>
        </row>
        <row r="963">
          <cell r="A963" t="str">
            <v>7640015657</v>
          </cell>
          <cell r="B963" t="str">
            <v>bizhub SECURE</v>
          </cell>
          <cell r="C963">
            <v>250</v>
          </cell>
        </row>
        <row r="964">
          <cell r="A964" t="str">
            <v/>
          </cell>
          <cell r="B964">
            <v>0</v>
          </cell>
          <cell r="C964">
            <v>0</v>
          </cell>
        </row>
        <row r="965">
          <cell r="A965">
            <v>0</v>
          </cell>
          <cell r="B965">
            <v>0</v>
          </cell>
          <cell r="C965">
            <v>0</v>
          </cell>
        </row>
        <row r="966">
          <cell r="A966" t="str">
            <v>A2X1017</v>
          </cell>
          <cell r="B966" t="str">
            <v>bizhub C654e</v>
          </cell>
          <cell r="C966">
            <v>33813</v>
          </cell>
        </row>
        <row r="967">
          <cell r="A967" t="str">
            <v>PAPER SUPPLY OPTIONS:</v>
          </cell>
          <cell r="B967">
            <v>0</v>
          </cell>
          <cell r="C967">
            <v>0</v>
          </cell>
        </row>
        <row r="968">
          <cell r="A968" t="str">
            <v>A0TJWY4</v>
          </cell>
          <cell r="B968" t="str">
            <v>LU-204 Large Capacity Unit</v>
          </cell>
          <cell r="C968">
            <v>3339</v>
          </cell>
        </row>
        <row r="969">
          <cell r="A969" t="str">
            <v>A03NWY2</v>
          </cell>
          <cell r="B969" t="str">
            <v>LU-301 Large Capacity Unit</v>
          </cell>
          <cell r="C969">
            <v>17814</v>
          </cell>
        </row>
        <row r="970">
          <cell r="A970" t="str">
            <v>OUTPUT OPTIONS:</v>
          </cell>
          <cell r="B970">
            <v>0</v>
          </cell>
          <cell r="C970">
            <v>0</v>
          </cell>
        </row>
        <row r="971">
          <cell r="A971" t="str">
            <v>A2Y1WY1</v>
          </cell>
          <cell r="B971" t="str">
            <v>FS-535 100-Sheet Stapling Finisher</v>
          </cell>
          <cell r="C971">
            <v>3020</v>
          </cell>
        </row>
        <row r="972">
          <cell r="A972" t="str">
            <v>A2Y2WY1</v>
          </cell>
          <cell r="B972" t="str">
            <v>SD-512 Saddle Stitcher (FS-535)</v>
          </cell>
          <cell r="C972">
            <v>1670</v>
          </cell>
        </row>
        <row r="973">
          <cell r="A973" t="str">
            <v>A2YRW11</v>
          </cell>
          <cell r="B973" t="str">
            <v>PK-521 2/3 Hole Punch Unit (FS-535)</v>
          </cell>
          <cell r="C973">
            <v>863</v>
          </cell>
        </row>
        <row r="974">
          <cell r="A974" t="str">
            <v>A092WW1</v>
          </cell>
          <cell r="B974" t="str">
            <v>OT-503 Output Tray</v>
          </cell>
          <cell r="C974">
            <v>112</v>
          </cell>
        </row>
        <row r="975">
          <cell r="A975" t="str">
            <v>A10CWY1</v>
          </cell>
          <cell r="B975" t="str">
            <v>JS-602  Job Separator Tray (3rd Output Tray)</v>
          </cell>
          <cell r="C975">
            <v>500</v>
          </cell>
        </row>
        <row r="976">
          <cell r="A976" t="str">
            <v>A109W12</v>
          </cell>
          <cell r="B976" t="str">
            <v>ZU-606 Z-Folding Unit (FS-535)</v>
          </cell>
          <cell r="C976">
            <v>5510</v>
          </cell>
        </row>
        <row r="977">
          <cell r="A977" t="str">
            <v>A10AWY1</v>
          </cell>
          <cell r="B977" t="str">
            <v>PI-505 Post Inserter for FS-526</v>
          </cell>
          <cell r="C977">
            <v>1113</v>
          </cell>
        </row>
        <row r="978">
          <cell r="A978" t="str">
            <v>A3EPWY1</v>
          </cell>
          <cell r="B978" t="str">
            <v>FS-534 50-Sheet Stapling Finisher</v>
          </cell>
          <cell r="C978">
            <v>1855</v>
          </cell>
        </row>
        <row r="979">
          <cell r="A979" t="str">
            <v>A3EPWYA</v>
          </cell>
          <cell r="B979" t="str">
            <v>FS-534 + SD-511  Kit</v>
          </cell>
          <cell r="C979">
            <v>3305</v>
          </cell>
        </row>
        <row r="980">
          <cell r="A980" t="str">
            <v>A3ETW11</v>
          </cell>
          <cell r="B980" t="str">
            <v>PK-520 2/3 Hole Punch Unit (FS-534)</v>
          </cell>
          <cell r="C980">
            <v>586</v>
          </cell>
        </row>
        <row r="981">
          <cell r="A981" t="str">
            <v>FAX / SCAN OPTIONS:</v>
          </cell>
          <cell r="B981">
            <v>0</v>
          </cell>
          <cell r="C981">
            <v>0</v>
          </cell>
        </row>
        <row r="982">
          <cell r="A982" t="str">
            <v>A4MF012</v>
          </cell>
          <cell r="B982" t="str">
            <v>FK-511 Fax Kit</v>
          </cell>
          <cell r="C982">
            <v>1070</v>
          </cell>
        </row>
        <row r="983">
          <cell r="A983">
            <v>4614506</v>
          </cell>
          <cell r="B983" t="str">
            <v>SP-501 Fax Stamp Unit</v>
          </cell>
          <cell r="C983">
            <v>48</v>
          </cell>
        </row>
        <row r="984">
          <cell r="A984">
            <v>4614511</v>
          </cell>
          <cell r="B984" t="str">
            <v>Spare TX Marker Stamp 2</v>
          </cell>
          <cell r="C984">
            <v>27</v>
          </cell>
        </row>
        <row r="985">
          <cell r="A985" t="str">
            <v>A4NPWY1</v>
          </cell>
          <cell r="B985" t="str">
            <v>MK-728 Mount Kit (3rd&amp;4th Fax Line Mount Kit)</v>
          </cell>
          <cell r="C985">
            <v>120</v>
          </cell>
        </row>
        <row r="986">
          <cell r="A986" t="str">
            <v>A22M011</v>
          </cell>
          <cell r="B986" t="str">
            <v>FK-508 Fax Board</v>
          </cell>
          <cell r="C986">
            <v>1068</v>
          </cell>
        </row>
        <row r="987">
          <cell r="A987" t="str">
            <v>PRINT CONTROLLER OPTIONS :</v>
          </cell>
          <cell r="B987">
            <v>0</v>
          </cell>
          <cell r="C987">
            <v>0</v>
          </cell>
        </row>
        <row r="988">
          <cell r="A988" t="str">
            <v>A4FRWY2</v>
          </cell>
          <cell r="B988" t="str">
            <v xml:space="preserve">IC-414 Fiery Image Controller </v>
          </cell>
          <cell r="C988">
            <v>4158</v>
          </cell>
        </row>
        <row r="989">
          <cell r="A989" t="str">
            <v>A4MGWY1</v>
          </cell>
          <cell r="B989" t="str">
            <v>VI-506 Video Interface Card</v>
          </cell>
          <cell r="C989">
            <v>296</v>
          </cell>
        </row>
        <row r="990">
          <cell r="A990">
            <v>7640004312</v>
          </cell>
          <cell r="B990" t="str">
            <v>EFI Hot Folders</v>
          </cell>
          <cell r="C990">
            <v>875</v>
          </cell>
        </row>
        <row r="991">
          <cell r="A991">
            <v>7640004313</v>
          </cell>
          <cell r="B991" t="str">
            <v>EFI AutoTrap</v>
          </cell>
          <cell r="C991">
            <v>875</v>
          </cell>
        </row>
        <row r="992">
          <cell r="A992">
            <v>45109642</v>
          </cell>
          <cell r="B992" t="str">
            <v>ES-2000 Spectrophotometer</v>
          </cell>
          <cell r="C992">
            <v>1348</v>
          </cell>
        </row>
        <row r="993">
          <cell r="A993">
            <v>7640009476</v>
          </cell>
          <cell r="B993" t="str">
            <v>EFI Fiery SeeQuence Impose</v>
          </cell>
          <cell r="C993">
            <v>2650</v>
          </cell>
        </row>
        <row r="994">
          <cell r="A994">
            <v>7640009477</v>
          </cell>
          <cell r="B994" t="str">
            <v>EFI Fiery SeeQuence Compose</v>
          </cell>
          <cell r="C994">
            <v>1166</v>
          </cell>
        </row>
        <row r="995">
          <cell r="A995">
            <v>7640009478</v>
          </cell>
          <cell r="B995" t="str">
            <v>EFI Fiery SeeQuence Impose+Compose Suite</v>
          </cell>
          <cell r="C995">
            <v>3179</v>
          </cell>
        </row>
        <row r="996">
          <cell r="A996">
            <v>3000005452</v>
          </cell>
          <cell r="B996" t="str">
            <v>Fiery Color Profiler Suite V 4.0 with ES-2000 Spectrophotometer</v>
          </cell>
          <cell r="C996">
            <v>3400</v>
          </cell>
        </row>
        <row r="997">
          <cell r="A997">
            <v>7640017030</v>
          </cell>
          <cell r="B997" t="str">
            <v>EFI IC-414 Productivity Package</v>
          </cell>
          <cell r="C997">
            <v>4500</v>
          </cell>
        </row>
        <row r="998">
          <cell r="A998" t="str">
            <v>i-OPTION ACCESSORIES:</v>
          </cell>
          <cell r="B998">
            <v>0</v>
          </cell>
          <cell r="C998">
            <v>0</v>
          </cell>
        </row>
        <row r="999">
          <cell r="A999" t="str">
            <v>A0PD016</v>
          </cell>
          <cell r="B999" t="str">
            <v>LK-102 v3 i-Option License Kit (Encrypted PDF, PDF/A, Linearized PDF)</v>
          </cell>
          <cell r="C999">
            <v>1100</v>
          </cell>
        </row>
        <row r="1000">
          <cell r="A1000" t="str">
            <v>A0PD01H</v>
          </cell>
          <cell r="B1000" t="str">
            <v>LK-101 v3 i-Option License Kit (Web Browser)</v>
          </cell>
          <cell r="C1000">
            <v>53</v>
          </cell>
        </row>
        <row r="1001">
          <cell r="A1001" t="str">
            <v>A0PD017</v>
          </cell>
          <cell r="B1001" t="str">
            <v>LK-104 v3 i-Option License Kiit (Voice Guidance)</v>
          </cell>
          <cell r="C1001">
            <v>785</v>
          </cell>
        </row>
        <row r="1002">
          <cell r="A1002" t="str">
            <v>A0PD018</v>
          </cell>
          <cell r="B1002" t="str">
            <v>LK-105 v3 (Searchable PDF)</v>
          </cell>
          <cell r="C1002">
            <v>668</v>
          </cell>
        </row>
        <row r="1003">
          <cell r="A1003" t="str">
            <v>A0PD019</v>
          </cell>
          <cell r="B1003" t="str">
            <v>LK-106 i-Option License Kit (Bar Code Font)</v>
          </cell>
          <cell r="C1003">
            <v>821</v>
          </cell>
        </row>
        <row r="1004">
          <cell r="A1004" t="str">
            <v>A0PD01F</v>
          </cell>
          <cell r="B1004" t="str">
            <v>LK-107 i-Option License Kit (Unicode Font)</v>
          </cell>
          <cell r="C1004">
            <v>690</v>
          </cell>
        </row>
        <row r="1005">
          <cell r="A1005" t="str">
            <v>A0PD01G</v>
          </cell>
          <cell r="B1005" t="str">
            <v>LK-108 i-Option License Kit (OCR Font)</v>
          </cell>
          <cell r="C1005">
            <v>191</v>
          </cell>
        </row>
        <row r="1006">
          <cell r="A1006" t="str">
            <v>A0PD01J</v>
          </cell>
          <cell r="B1006" t="str">
            <v>LK-110 i-Option License kit (OOXML File Conversion,Enhanced Image Data)</v>
          </cell>
          <cell r="C1006">
            <v>1500</v>
          </cell>
        </row>
        <row r="1007">
          <cell r="A1007" t="str">
            <v>A0PD01K</v>
          </cell>
          <cell r="B1007" t="str">
            <v>LK-111 i-Option License Kit (ThinPrint Client Support)</v>
          </cell>
          <cell r="C1007">
            <v>250</v>
          </cell>
        </row>
        <row r="1008">
          <cell r="A1008" t="str">
            <v>A4MHWY1</v>
          </cell>
          <cell r="B1008" t="str">
            <v>UK-204 i-Option Memory Upgrade Kit</v>
          </cell>
          <cell r="C1008">
            <v>290</v>
          </cell>
        </row>
        <row r="1009">
          <cell r="A1009" t="str">
            <v>MISC. OPTIONS:</v>
          </cell>
          <cell r="B1009">
            <v>0</v>
          </cell>
          <cell r="C1009">
            <v>0</v>
          </cell>
        </row>
        <row r="1010">
          <cell r="A1010" t="str">
            <v>A0X9WY1</v>
          </cell>
          <cell r="B1010" t="str">
            <v xml:space="preserve">AU-102 Biometric Authentication Unit </v>
          </cell>
          <cell r="C1010">
            <v>947</v>
          </cell>
        </row>
        <row r="1011">
          <cell r="A1011">
            <v>7640005064</v>
          </cell>
          <cell r="B1011" t="str">
            <v>AU-201H HID Proximity Card Authentication Unit</v>
          </cell>
          <cell r="C1011">
            <v>423</v>
          </cell>
        </row>
        <row r="1012">
          <cell r="A1012">
            <v>7640008394</v>
          </cell>
          <cell r="B1012" t="str">
            <v>AU-202H iClass Card Reader</v>
          </cell>
          <cell r="C1012">
            <v>476</v>
          </cell>
        </row>
        <row r="1013">
          <cell r="A1013" t="str">
            <v>A4NMWY1</v>
          </cell>
          <cell r="B1013" t="str">
            <v>MK-735 Mount Kit  (IC Card Internal Mount Kit)</v>
          </cell>
          <cell r="C1013">
            <v>60</v>
          </cell>
        </row>
        <row r="1014">
          <cell r="A1014" t="str">
            <v>A0YCWY3</v>
          </cell>
          <cell r="B1014" t="str">
            <v>EK-605 USB Host Board (Local Interface Kit) with Bluetooth Printing Support</v>
          </cell>
          <cell r="C1014">
            <v>279</v>
          </cell>
        </row>
        <row r="1015">
          <cell r="A1015" t="str">
            <v>A0YCWY4</v>
          </cell>
          <cell r="B1015" t="str">
            <v>EK-604 USB Host Board (Local Interface Kit)</v>
          </cell>
          <cell r="C1015">
            <v>200</v>
          </cell>
        </row>
        <row r="1016">
          <cell r="A1016">
            <v>7640006869</v>
          </cell>
          <cell r="B1016" t="str">
            <v>External Keyboard</v>
          </cell>
          <cell r="C1016">
            <v>223</v>
          </cell>
        </row>
        <row r="1017">
          <cell r="A1017">
            <v>7640013468</v>
          </cell>
          <cell r="B1017" t="str">
            <v>AU-204H Mag Stripe Card Reader</v>
          </cell>
          <cell r="C1017">
            <v>423</v>
          </cell>
        </row>
        <row r="1018">
          <cell r="A1018" t="str">
            <v>A4NRWY1</v>
          </cell>
          <cell r="B1018" t="str">
            <v>KH-102 Keyboard Holder</v>
          </cell>
          <cell r="C1018">
            <v>123</v>
          </cell>
        </row>
        <row r="1019">
          <cell r="A1019">
            <v>4623474</v>
          </cell>
          <cell r="B1019" t="str">
            <v>Key Counter Mount Kit 1 for Hecon Conventional Counter</v>
          </cell>
          <cell r="C1019">
            <v>86</v>
          </cell>
        </row>
        <row r="1020">
          <cell r="A1020" t="str">
            <v>A0W4WY2</v>
          </cell>
          <cell r="B1020" t="str">
            <v>WT-506 Working Table</v>
          </cell>
          <cell r="C1020">
            <v>112</v>
          </cell>
        </row>
        <row r="1021">
          <cell r="A1021">
            <v>7640005261</v>
          </cell>
          <cell r="B1021" t="str">
            <v>HID Proximity Cards - 10 pack</v>
          </cell>
          <cell r="C1021">
            <v>69</v>
          </cell>
        </row>
        <row r="1022">
          <cell r="A1022" t="str">
            <v>A4MMWY1</v>
          </cell>
          <cell r="B1022" t="str">
            <v>SC-508 Security Kit (Copy Guard/Password Protect)</v>
          </cell>
          <cell r="C1022">
            <v>1225</v>
          </cell>
        </row>
        <row r="1023">
          <cell r="A1023" t="str">
            <v>XGPCS20DKM</v>
          </cell>
          <cell r="B1023" t="str">
            <v>ESP Diagnostic Power Filter 120V/20A</v>
          </cell>
          <cell r="C1023">
            <v>307</v>
          </cell>
        </row>
        <row r="1024">
          <cell r="A1024">
            <v>7640013463</v>
          </cell>
          <cell r="B1024" t="str">
            <v>CS-1 Convenience Stapler</v>
          </cell>
          <cell r="C1024">
            <v>317</v>
          </cell>
        </row>
        <row r="1025">
          <cell r="A1025" t="str">
            <v>PROFESSIONAL SERVICES:</v>
          </cell>
          <cell r="B1025">
            <v>0</v>
          </cell>
          <cell r="C1025">
            <v>0</v>
          </cell>
        </row>
        <row r="1026">
          <cell r="A1026" t="str">
            <v>7640015657</v>
          </cell>
          <cell r="B1026" t="str">
            <v>bizhub SECURE</v>
          </cell>
          <cell r="C1026">
            <v>250</v>
          </cell>
        </row>
        <row r="1027">
          <cell r="A1027" t="str">
            <v/>
          </cell>
          <cell r="B1027">
            <v>0</v>
          </cell>
          <cell r="C1027">
            <v>0</v>
          </cell>
        </row>
        <row r="1028">
          <cell r="A1028">
            <v>0</v>
          </cell>
          <cell r="B1028">
            <v>0</v>
          </cell>
          <cell r="C1028">
            <v>0</v>
          </cell>
        </row>
        <row r="1029">
          <cell r="A1029" t="str">
            <v>A2X0017</v>
          </cell>
          <cell r="B1029" t="str">
            <v>bizhub C754e</v>
          </cell>
          <cell r="C1029">
            <v>39621</v>
          </cell>
        </row>
        <row r="1030">
          <cell r="A1030" t="str">
            <v>PAPER SUPPLY OPTIONS:</v>
          </cell>
          <cell r="B1030">
            <v>0</v>
          </cell>
          <cell r="C1030">
            <v>0</v>
          </cell>
        </row>
        <row r="1031">
          <cell r="A1031" t="str">
            <v>A0TJWY4</v>
          </cell>
          <cell r="B1031" t="str">
            <v>LU-204 Large Capacity Unit</v>
          </cell>
          <cell r="C1031">
            <v>3339</v>
          </cell>
        </row>
        <row r="1032">
          <cell r="A1032" t="str">
            <v>A03NWY2</v>
          </cell>
          <cell r="B1032" t="str">
            <v>LU-301 Large Capacity Unit</v>
          </cell>
          <cell r="C1032">
            <v>1781</v>
          </cell>
        </row>
        <row r="1033">
          <cell r="A1033" t="str">
            <v>OUTPUT OPTIONS:</v>
          </cell>
          <cell r="B1033">
            <v>0</v>
          </cell>
          <cell r="C1033">
            <v>0</v>
          </cell>
        </row>
        <row r="1034">
          <cell r="A1034" t="str">
            <v>A2Y1WY1</v>
          </cell>
          <cell r="B1034" t="str">
            <v>FS-535 100-Sheet Stapling Finisher</v>
          </cell>
          <cell r="C1034">
            <v>3020</v>
          </cell>
        </row>
        <row r="1035">
          <cell r="A1035" t="str">
            <v>A2Y2WY1</v>
          </cell>
          <cell r="B1035" t="str">
            <v>SD-512 Saddle Stitcher (FS-535)</v>
          </cell>
          <cell r="C1035">
            <v>1670</v>
          </cell>
        </row>
        <row r="1036">
          <cell r="A1036" t="str">
            <v>A2YRW11</v>
          </cell>
          <cell r="B1036" t="str">
            <v>PK-521 2/3 Hole Punch Unit (FS-535)</v>
          </cell>
          <cell r="C1036">
            <v>863</v>
          </cell>
        </row>
        <row r="1037">
          <cell r="A1037" t="str">
            <v>A092WW1</v>
          </cell>
          <cell r="B1037" t="str">
            <v>OT-503 Output Tray</v>
          </cell>
          <cell r="C1037">
            <v>112</v>
          </cell>
        </row>
        <row r="1038">
          <cell r="A1038" t="str">
            <v>A10CWY1</v>
          </cell>
          <cell r="B1038" t="str">
            <v>JS-602  Job Separator Tray (3rd Output Tray)</v>
          </cell>
          <cell r="C1038">
            <v>500</v>
          </cell>
        </row>
        <row r="1039">
          <cell r="A1039" t="str">
            <v>A109W12</v>
          </cell>
          <cell r="B1039" t="str">
            <v>ZU-606 Z-Folding Unit (FS-535)</v>
          </cell>
          <cell r="C1039">
            <v>5510</v>
          </cell>
        </row>
        <row r="1040">
          <cell r="A1040" t="str">
            <v>A10AWY1</v>
          </cell>
          <cell r="B1040" t="str">
            <v>PI-505 Post Inserter for FS-526</v>
          </cell>
          <cell r="C1040">
            <v>1113</v>
          </cell>
        </row>
        <row r="1041">
          <cell r="A1041" t="str">
            <v>A3EPWY1</v>
          </cell>
          <cell r="B1041" t="str">
            <v>FS-534 50-Sheet Stapling Finisher</v>
          </cell>
          <cell r="C1041">
            <v>1855</v>
          </cell>
        </row>
        <row r="1042">
          <cell r="A1042" t="str">
            <v>A3EPWYA</v>
          </cell>
          <cell r="B1042" t="str">
            <v>FS-534 + SD-511  Kit</v>
          </cell>
          <cell r="C1042">
            <v>3305</v>
          </cell>
        </row>
        <row r="1043">
          <cell r="A1043" t="str">
            <v>A3ETW11</v>
          </cell>
          <cell r="B1043" t="str">
            <v>PK-520 2/3 Hole Punch Unit (FS-534)</v>
          </cell>
          <cell r="C1043">
            <v>586</v>
          </cell>
        </row>
        <row r="1044">
          <cell r="A1044" t="str">
            <v>FAX / SCAN OPTIONS:</v>
          </cell>
          <cell r="B1044">
            <v>0</v>
          </cell>
          <cell r="C1044">
            <v>0</v>
          </cell>
        </row>
        <row r="1045">
          <cell r="A1045" t="str">
            <v>A4MF012</v>
          </cell>
          <cell r="B1045" t="str">
            <v>FK-511 Fax Kit</v>
          </cell>
          <cell r="C1045">
            <v>1070</v>
          </cell>
        </row>
        <row r="1046">
          <cell r="A1046" t="str">
            <v>A4NPWY1</v>
          </cell>
          <cell r="B1046" t="str">
            <v>MK-728 Mount Kit (3rd&amp;4th Fax Line Mount Kit)</v>
          </cell>
          <cell r="C1046">
            <v>120</v>
          </cell>
        </row>
        <row r="1047">
          <cell r="A1047" t="str">
            <v>A22M011</v>
          </cell>
          <cell r="B1047" t="str">
            <v>FK-508 Fax Board</v>
          </cell>
          <cell r="C1047">
            <v>1068</v>
          </cell>
        </row>
        <row r="1048">
          <cell r="A1048">
            <v>4614506</v>
          </cell>
          <cell r="B1048" t="str">
            <v>SP-501 Fax Stamp Unit</v>
          </cell>
          <cell r="C1048">
            <v>48</v>
          </cell>
        </row>
        <row r="1049">
          <cell r="A1049">
            <v>4614511</v>
          </cell>
          <cell r="B1049" t="str">
            <v>Spare TX Marker Stamp 2</v>
          </cell>
          <cell r="C1049">
            <v>27</v>
          </cell>
        </row>
        <row r="1050">
          <cell r="A1050" t="str">
            <v>PRINT CONTROLLER OPTIONS :</v>
          </cell>
          <cell r="B1050">
            <v>0</v>
          </cell>
          <cell r="C1050">
            <v>0</v>
          </cell>
        </row>
        <row r="1051">
          <cell r="A1051" t="str">
            <v>A4FRWY2</v>
          </cell>
          <cell r="B1051" t="str">
            <v xml:space="preserve">IC-414 Fiery Image Controller </v>
          </cell>
          <cell r="C1051">
            <v>4158</v>
          </cell>
        </row>
        <row r="1052">
          <cell r="A1052" t="str">
            <v>A4MGWY1</v>
          </cell>
          <cell r="B1052" t="str">
            <v>VI-506 Video Interface Card</v>
          </cell>
          <cell r="C1052">
            <v>296</v>
          </cell>
        </row>
        <row r="1053">
          <cell r="A1053">
            <v>7640004312</v>
          </cell>
          <cell r="B1053" t="str">
            <v>EFI Hot Folders</v>
          </cell>
          <cell r="C1053">
            <v>875</v>
          </cell>
        </row>
        <row r="1054">
          <cell r="A1054">
            <v>7640004313</v>
          </cell>
          <cell r="B1054" t="str">
            <v>EFI AutoTrap</v>
          </cell>
          <cell r="C1054">
            <v>875</v>
          </cell>
        </row>
        <row r="1055">
          <cell r="A1055">
            <v>45109642</v>
          </cell>
          <cell r="B1055" t="str">
            <v>ES-2000 Spectrophotometer</v>
          </cell>
          <cell r="C1055">
            <v>1348</v>
          </cell>
        </row>
        <row r="1056">
          <cell r="A1056">
            <v>7640009476</v>
          </cell>
          <cell r="B1056" t="str">
            <v>EFI Fiery SeeQuence Impose</v>
          </cell>
          <cell r="C1056">
            <v>2650</v>
          </cell>
        </row>
        <row r="1057">
          <cell r="A1057">
            <v>7640009477</v>
          </cell>
          <cell r="B1057" t="str">
            <v>EFI Fiery SeeQuence Compose</v>
          </cell>
          <cell r="C1057">
            <v>1166</v>
          </cell>
        </row>
        <row r="1058">
          <cell r="A1058">
            <v>7640009478</v>
          </cell>
          <cell r="B1058" t="str">
            <v>EFI Fiery SeeQuence Impose+Compose Suite</v>
          </cell>
          <cell r="C1058">
            <v>3179</v>
          </cell>
        </row>
        <row r="1059">
          <cell r="A1059">
            <v>3000005452</v>
          </cell>
          <cell r="B1059" t="str">
            <v>Fiery Color Profiler Suite V 4.0 with ES-2000 Spectrophotometer</v>
          </cell>
          <cell r="C1059">
            <v>3400</v>
          </cell>
        </row>
        <row r="1060">
          <cell r="A1060">
            <v>7640017030</v>
          </cell>
          <cell r="B1060" t="str">
            <v>EFI IC-414 Productivity Package</v>
          </cell>
          <cell r="C1060">
            <v>4500</v>
          </cell>
        </row>
        <row r="1061">
          <cell r="A1061" t="str">
            <v>i-OPTION ACCESSORIES:</v>
          </cell>
          <cell r="B1061">
            <v>0</v>
          </cell>
          <cell r="C1061">
            <v>0</v>
          </cell>
        </row>
        <row r="1062">
          <cell r="A1062" t="str">
            <v>A0PD016</v>
          </cell>
          <cell r="B1062" t="str">
            <v>LK-102 v3 i-Option License Kit (Encrypted PDF, PDF/A, Linearized PDF)</v>
          </cell>
          <cell r="C1062">
            <v>1100</v>
          </cell>
        </row>
        <row r="1063">
          <cell r="A1063" t="str">
            <v>A0PD01H</v>
          </cell>
          <cell r="B1063" t="str">
            <v>LK-101 v3 i-Option License Kit (Web Browser)</v>
          </cell>
          <cell r="C1063">
            <v>53</v>
          </cell>
        </row>
        <row r="1064">
          <cell r="A1064" t="str">
            <v>A0PD017</v>
          </cell>
          <cell r="B1064" t="str">
            <v>LK-104 v3 i-Option License Kiit (Voice Guidance)</v>
          </cell>
          <cell r="C1064">
            <v>785</v>
          </cell>
        </row>
        <row r="1065">
          <cell r="A1065" t="str">
            <v>A0PD018</v>
          </cell>
          <cell r="B1065" t="str">
            <v>LK-105 v3 (Searchable PDF)</v>
          </cell>
          <cell r="C1065">
            <v>668</v>
          </cell>
        </row>
        <row r="1066">
          <cell r="A1066" t="str">
            <v>A0PD019</v>
          </cell>
          <cell r="B1066" t="str">
            <v>LK-106 i-Option License Kit (Bar Code Font)</v>
          </cell>
          <cell r="C1066">
            <v>821</v>
          </cell>
        </row>
        <row r="1067">
          <cell r="A1067" t="str">
            <v>A0PD01F</v>
          </cell>
          <cell r="B1067" t="str">
            <v>LK-107 i-Option License Kit (Unicode Font)</v>
          </cell>
          <cell r="C1067">
            <v>690</v>
          </cell>
        </row>
        <row r="1068">
          <cell r="A1068" t="str">
            <v>A0PD01G</v>
          </cell>
          <cell r="B1068" t="str">
            <v>LK-108 i-Option License Kit (OCR Font)</v>
          </cell>
          <cell r="C1068">
            <v>191</v>
          </cell>
        </row>
        <row r="1069">
          <cell r="A1069" t="str">
            <v>A0PD01J</v>
          </cell>
          <cell r="B1069" t="str">
            <v>LK-110 i-Option License kit (OOXML File Conversion,Enhanced Image Data)</v>
          </cell>
          <cell r="C1069">
            <v>1500</v>
          </cell>
        </row>
        <row r="1070">
          <cell r="A1070" t="str">
            <v>A0PD01K</v>
          </cell>
          <cell r="B1070" t="str">
            <v>LK-111 i-Option License Kit (ThinPrint Client Support)</v>
          </cell>
          <cell r="C1070">
            <v>250</v>
          </cell>
        </row>
        <row r="1071">
          <cell r="A1071" t="str">
            <v>A4MHWY1</v>
          </cell>
          <cell r="B1071" t="str">
            <v>UK-204 i-Option Memory Upgrade Kit</v>
          </cell>
          <cell r="C1071">
            <v>290</v>
          </cell>
        </row>
        <row r="1072">
          <cell r="A1072" t="str">
            <v>MISC. OPTIONS:</v>
          </cell>
          <cell r="B1072">
            <v>0</v>
          </cell>
          <cell r="C1072">
            <v>0</v>
          </cell>
        </row>
        <row r="1073">
          <cell r="A1073" t="str">
            <v>A0X9WY1</v>
          </cell>
          <cell r="B1073" t="str">
            <v xml:space="preserve">AU-102 Biometric Authentication Unit </v>
          </cell>
          <cell r="C1073">
            <v>947</v>
          </cell>
        </row>
        <row r="1074">
          <cell r="A1074">
            <v>7640005064</v>
          </cell>
          <cell r="B1074" t="str">
            <v>AU-201H HID Proximity Card Authentication Unit</v>
          </cell>
          <cell r="C1074">
            <v>423</v>
          </cell>
        </row>
        <row r="1075">
          <cell r="A1075">
            <v>7640008394</v>
          </cell>
          <cell r="B1075" t="str">
            <v>AU-202H iClass Card Reader</v>
          </cell>
          <cell r="C1075">
            <v>476</v>
          </cell>
        </row>
        <row r="1076">
          <cell r="A1076" t="str">
            <v>A4NMWY1</v>
          </cell>
          <cell r="B1076" t="str">
            <v>MK-735 Mount Kit  (IC Card Internal Mount Kit)</v>
          </cell>
          <cell r="C1076">
            <v>60</v>
          </cell>
        </row>
        <row r="1077">
          <cell r="A1077" t="str">
            <v>A0YCWY3</v>
          </cell>
          <cell r="B1077" t="str">
            <v>EK-605 USB Host Board (Local Interface Kit) with Bluetooth Printing Support</v>
          </cell>
          <cell r="C1077">
            <v>279</v>
          </cell>
        </row>
        <row r="1078">
          <cell r="A1078" t="str">
            <v>A0YCWY4</v>
          </cell>
          <cell r="B1078" t="str">
            <v>EK-604 USB Host Board (Local Interface Kit)</v>
          </cell>
          <cell r="C1078">
            <v>200</v>
          </cell>
        </row>
        <row r="1079">
          <cell r="A1079">
            <v>7640006869</v>
          </cell>
          <cell r="B1079" t="str">
            <v>External Keyboard</v>
          </cell>
          <cell r="C1079">
            <v>223</v>
          </cell>
        </row>
        <row r="1080">
          <cell r="A1080">
            <v>7640013468</v>
          </cell>
          <cell r="B1080" t="str">
            <v>AU-204H Mag Stripe Card Reader</v>
          </cell>
          <cell r="C1080">
            <v>423</v>
          </cell>
        </row>
        <row r="1081">
          <cell r="A1081" t="str">
            <v>A4NRWY1</v>
          </cell>
          <cell r="B1081" t="str">
            <v>KH-102 Keyboard Holder</v>
          </cell>
          <cell r="C1081">
            <v>123</v>
          </cell>
        </row>
        <row r="1082">
          <cell r="A1082">
            <v>4623474</v>
          </cell>
          <cell r="B1082" t="str">
            <v>Key Counter Mount Kit 1 for Hecon Conventional Counter</v>
          </cell>
          <cell r="C1082">
            <v>86</v>
          </cell>
        </row>
        <row r="1083">
          <cell r="A1083" t="str">
            <v>A0W4WY2</v>
          </cell>
          <cell r="B1083" t="str">
            <v>WT-506 Working Table</v>
          </cell>
          <cell r="C1083">
            <v>112</v>
          </cell>
        </row>
        <row r="1084">
          <cell r="A1084">
            <v>7640005261</v>
          </cell>
          <cell r="B1084" t="str">
            <v>HID Proximity Cards - 10 pack</v>
          </cell>
          <cell r="C1084">
            <v>69</v>
          </cell>
        </row>
        <row r="1085">
          <cell r="A1085" t="str">
            <v>A4MMWY1</v>
          </cell>
          <cell r="B1085" t="str">
            <v>SC-508 Security Kit (Copy Guard/Password Protect)</v>
          </cell>
          <cell r="C1085">
            <v>1225</v>
          </cell>
        </row>
        <row r="1086">
          <cell r="A1086" t="str">
            <v>XGPCS20DKM</v>
          </cell>
          <cell r="B1086" t="str">
            <v>ESP Diagnostic Power Filter 120V/20A</v>
          </cell>
          <cell r="C1086">
            <v>307</v>
          </cell>
        </row>
        <row r="1087">
          <cell r="A1087">
            <v>7640013463</v>
          </cell>
          <cell r="B1087" t="str">
            <v>CS-1 Convenience Stapler</v>
          </cell>
          <cell r="C1087">
            <v>317</v>
          </cell>
        </row>
        <row r="1088">
          <cell r="A1088" t="str">
            <v xml:space="preserve">PROFESSIONAL SERVICES: </v>
          </cell>
          <cell r="B1088">
            <v>0</v>
          </cell>
          <cell r="C1088">
            <v>0</v>
          </cell>
        </row>
        <row r="1089">
          <cell r="A1089" t="str">
            <v>7640015657</v>
          </cell>
          <cell r="B1089" t="str">
            <v>bizhub SECURE</v>
          </cell>
          <cell r="C1089">
            <v>250</v>
          </cell>
        </row>
        <row r="1090">
          <cell r="A1090">
            <v>0</v>
          </cell>
          <cell r="B1090">
            <v>0</v>
          </cell>
          <cell r="C1090">
            <v>0</v>
          </cell>
        </row>
        <row r="1091">
          <cell r="A1091">
            <v>0</v>
          </cell>
          <cell r="B1091">
            <v>0</v>
          </cell>
          <cell r="C1091">
            <v>0</v>
          </cell>
        </row>
        <row r="1092">
          <cell r="A1092" t="str">
            <v>A5VM011X001</v>
          </cell>
          <cell r="B1092" t="str">
            <v>bizhub PRO C1060L IC-602 PACKAGE</v>
          </cell>
          <cell r="C1092">
            <v>51995</v>
          </cell>
        </row>
        <row r="1093">
          <cell r="A1093">
            <v>0</v>
          </cell>
          <cell r="B1093">
            <v>0</v>
          </cell>
          <cell r="C1093">
            <v>0</v>
          </cell>
        </row>
        <row r="1094">
          <cell r="A1094" t="str">
            <v>A5VM011X002</v>
          </cell>
          <cell r="B1094" t="str">
            <v>bizhub PRO C1060L IC-415 PACKAGE</v>
          </cell>
          <cell r="C1094">
            <v>53795</v>
          </cell>
        </row>
        <row r="1095">
          <cell r="A1095" t="str">
            <v>7640012602</v>
          </cell>
          <cell r="B1095" t="str">
            <v>Basic Professional Services - Level 4</v>
          </cell>
          <cell r="C1095">
            <v>1600</v>
          </cell>
        </row>
        <row r="1096">
          <cell r="A1096" t="str">
            <v>7640012635</v>
          </cell>
          <cell r="B1096" t="str">
            <v>Basic Professional Services- EFI/Creo Training</v>
          </cell>
          <cell r="C1096">
            <v>600</v>
          </cell>
        </row>
        <row r="1097">
          <cell r="A1097" t="str">
            <v>7640015254</v>
          </cell>
          <cell r="B1097" t="str">
            <v>Professional Services- EFI Graphics Arts Training</v>
          </cell>
          <cell r="C1097">
            <v>5000</v>
          </cell>
        </row>
        <row r="1098">
          <cell r="A1098" t="str">
            <v>7640015253</v>
          </cell>
          <cell r="B1098" t="str">
            <v>Professional Services- Advanced Production Training</v>
          </cell>
          <cell r="C1098">
            <v>8000</v>
          </cell>
        </row>
        <row r="1099">
          <cell r="A1099" t="str">
            <v>7640018460</v>
          </cell>
          <cell r="B1099" t="str">
            <v>Networking Fee</v>
          </cell>
          <cell r="C1099">
            <v>1</v>
          </cell>
        </row>
        <row r="1100">
          <cell r="A1100" t="str">
            <v>7640015255</v>
          </cell>
          <cell r="B1100" t="str">
            <v>Professional Services Project Fee</v>
          </cell>
          <cell r="C1100">
            <v>1</v>
          </cell>
        </row>
        <row r="1101">
          <cell r="A1101" t="str">
            <v>PAPER SUPPLY OPTIONS:</v>
          </cell>
          <cell r="B1101">
            <v>0</v>
          </cell>
          <cell r="C1101">
            <v>0</v>
          </cell>
        </row>
        <row r="1102">
          <cell r="A1102" t="str">
            <v>A03WWW0</v>
          </cell>
          <cell r="B1102" t="str">
            <v>LU-202 Large Capacity Tray (2.5K)</v>
          </cell>
          <cell r="C1102">
            <v>3562</v>
          </cell>
        </row>
        <row r="1103">
          <cell r="A1103" t="str">
            <v>A0410Y0</v>
          </cell>
          <cell r="B1103" t="str">
            <v>HT-503 Heater for LU-202</v>
          </cell>
          <cell r="C1103">
            <v>1336</v>
          </cell>
        </row>
        <row r="1104">
          <cell r="A1104" t="str">
            <v>A57WWY1</v>
          </cell>
          <cell r="B1104" t="str">
            <v>MB-506 Multi-Bypass Tray</v>
          </cell>
          <cell r="C1104">
            <v>582</v>
          </cell>
        </row>
        <row r="1105">
          <cell r="A1105" t="str">
            <v>OUTPUT OPTIONS:</v>
          </cell>
          <cell r="B1105">
            <v>0</v>
          </cell>
          <cell r="C1105">
            <v>0</v>
          </cell>
        </row>
        <row r="1106">
          <cell r="A1106" t="str">
            <v>A0430Y0</v>
          </cell>
          <cell r="B1106" t="str">
            <v>OT-502 Exit Tray</v>
          </cell>
          <cell r="C1106">
            <v>690</v>
          </cell>
        </row>
        <row r="1107">
          <cell r="A1107" t="str">
            <v>A0HUWY2</v>
          </cell>
          <cell r="B1107" t="str">
            <v>DF-626 Automatic Document Feeder</v>
          </cell>
          <cell r="C1107">
            <v>2002</v>
          </cell>
        </row>
        <row r="1108">
          <cell r="A1108" t="str">
            <v>A128WY2</v>
          </cell>
          <cell r="B1108" t="str">
            <v>OC-509 Original Cover</v>
          </cell>
          <cell r="C1108">
            <v>150</v>
          </cell>
        </row>
        <row r="1109">
          <cell r="A1109" t="str">
            <v>A57UWY1</v>
          </cell>
          <cell r="B1109" t="str">
            <v>WT-511 Working Table</v>
          </cell>
          <cell r="C1109">
            <v>580</v>
          </cell>
        </row>
        <row r="1110">
          <cell r="A1110" t="str">
            <v>A5VKWY1</v>
          </cell>
          <cell r="B1110" t="str">
            <v>HT-511 Dehumidifier Heater</v>
          </cell>
          <cell r="C1110">
            <v>2115</v>
          </cell>
        </row>
        <row r="1111">
          <cell r="A1111" t="str">
            <v>A1TVWY1</v>
          </cell>
          <cell r="B1111" t="str">
            <v>FS-612 Booklet Finisher</v>
          </cell>
          <cell r="C1111">
            <v>5406</v>
          </cell>
        </row>
        <row r="1112">
          <cell r="A1112" t="str">
            <v>A2A4WY1</v>
          </cell>
          <cell r="B1112" t="str">
            <v>FS-531 50 Sheet Stapling Finisher</v>
          </cell>
          <cell r="C1112">
            <v>3173</v>
          </cell>
        </row>
        <row r="1113">
          <cell r="A1113" t="str">
            <v>A04HWY1</v>
          </cell>
          <cell r="B1113" t="str">
            <v>PI-502 Cover Inserter (or FS-612, FS-531)</v>
          </cell>
          <cell r="C1113">
            <v>1164</v>
          </cell>
        </row>
        <row r="1114">
          <cell r="A1114" t="str">
            <v>A04F0Y1</v>
          </cell>
          <cell r="B1114" t="str">
            <v>PK-512 2/3 Hole Punch (for FS-612, FS-531)</v>
          </cell>
          <cell r="C1114">
            <v>863</v>
          </cell>
        </row>
        <row r="1115">
          <cell r="A1115" t="str">
            <v>PRINT CONTROLLER OPTIONS:</v>
          </cell>
          <cell r="B1115">
            <v>0</v>
          </cell>
          <cell r="C1115">
            <v>0</v>
          </cell>
        </row>
        <row r="1116">
          <cell r="A1116" t="str">
            <v>A5AAWY1</v>
          </cell>
          <cell r="B1116" t="str">
            <v>UK-206 Upgrade Kit (eCopy enabled)</v>
          </cell>
          <cell r="C1116">
            <v>1000</v>
          </cell>
        </row>
        <row r="1117">
          <cell r="A1117" t="str">
            <v>45111156</v>
          </cell>
          <cell r="B1117" t="str">
            <v xml:space="preserve">EFI Productivity Package S/W License </v>
          </cell>
          <cell r="C1117">
            <v>5300</v>
          </cell>
        </row>
        <row r="1118">
          <cell r="A1118" t="str">
            <v>45111134</v>
          </cell>
          <cell r="B1118" t="str">
            <v>Fiery Impose</v>
          </cell>
          <cell r="C1118">
            <v>2500</v>
          </cell>
        </row>
        <row r="1119">
          <cell r="A1119" t="str">
            <v>45111136</v>
          </cell>
          <cell r="B1119" t="str">
            <v xml:space="preserve">EFI Fiery Compose S/W License </v>
          </cell>
          <cell r="C1119">
            <v>1100</v>
          </cell>
        </row>
        <row r="1120">
          <cell r="A1120" t="str">
            <v>45111138</v>
          </cell>
          <cell r="B1120" t="str">
            <v xml:space="preserve">EFI Fiery Impose-Compose S/W License </v>
          </cell>
          <cell r="C1120">
            <v>3000</v>
          </cell>
        </row>
        <row r="1121">
          <cell r="A1121" t="str">
            <v>45112179</v>
          </cell>
          <cell r="B1121" t="str">
            <v>Fiery JobMaster</v>
          </cell>
          <cell r="C1121">
            <v>3500</v>
          </cell>
        </row>
        <row r="1122">
          <cell r="A1122" t="str">
            <v>45111153</v>
          </cell>
          <cell r="B1122" t="str">
            <v xml:space="preserve">EFI Spot-On S/W License </v>
          </cell>
          <cell r="C1122">
            <v>995</v>
          </cell>
        </row>
        <row r="1123">
          <cell r="A1123" t="str">
            <v>45111142</v>
          </cell>
          <cell r="B1123" t="str">
            <v xml:space="preserve">EFI Hot Folders &amp; Virtual S/W License </v>
          </cell>
          <cell r="C1123">
            <v>995</v>
          </cell>
        </row>
        <row r="1124">
          <cell r="A1124" t="str">
            <v>45111094</v>
          </cell>
          <cell r="B1124" t="str">
            <v xml:space="preserve">EFI Auto Trap S/W License </v>
          </cell>
          <cell r="C1124">
            <v>995</v>
          </cell>
        </row>
        <row r="1125">
          <cell r="A1125" t="str">
            <v>100000006366</v>
          </cell>
          <cell r="B1125" t="str">
            <v>Fiery JobMaster Annual Support &amp; Maintenance</v>
          </cell>
          <cell r="C1125">
            <v>700</v>
          </cell>
        </row>
        <row r="1126">
          <cell r="A1126" t="str">
            <v>MISC. OPTIONS:</v>
          </cell>
          <cell r="B1126">
            <v>0</v>
          </cell>
          <cell r="C1126">
            <v>0</v>
          </cell>
        </row>
        <row r="1127">
          <cell r="A1127" t="str">
            <v>SMT1500</v>
          </cell>
          <cell r="B1127" t="str">
            <v>APC Smart UPS 1500VA - Tower</v>
          </cell>
          <cell r="C1127">
            <v>498</v>
          </cell>
        </row>
        <row r="1128">
          <cell r="A1128" t="str">
            <v>XGPCSL630KM</v>
          </cell>
          <cell r="B1128" t="str">
            <v>ESP Diagnostic Power Filter 240V/30A</v>
          </cell>
          <cell r="C1128">
            <v>1059</v>
          </cell>
        </row>
        <row r="1129">
          <cell r="A1129" t="str">
            <v>XGPCS15DKM</v>
          </cell>
          <cell r="B1129" t="str">
            <v>ESP Diagnostic Power Filter 120V/15A</v>
          </cell>
          <cell r="C1129">
            <v>275</v>
          </cell>
        </row>
        <row r="1130">
          <cell r="A1130" t="str">
            <v>7640019042</v>
          </cell>
          <cell r="B1130" t="str">
            <v>bizhub PRESS Starter Kit</v>
          </cell>
          <cell r="C1130">
            <v>200</v>
          </cell>
        </row>
        <row r="1131">
          <cell r="A1131">
            <v>0</v>
          </cell>
          <cell r="B1131">
            <v>0</v>
          </cell>
          <cell r="C1131">
            <v>0</v>
          </cell>
        </row>
        <row r="1132">
          <cell r="A1132">
            <v>0</v>
          </cell>
          <cell r="B1132">
            <v>0</v>
          </cell>
          <cell r="C1132">
            <v>0</v>
          </cell>
        </row>
        <row r="1133">
          <cell r="A1133" t="str">
            <v>A50V011</v>
          </cell>
          <cell r="B1133" t="str">
            <v>bizhub PRESS C1060</v>
          </cell>
          <cell r="C1133">
            <v>52110</v>
          </cell>
        </row>
        <row r="1134">
          <cell r="A1134" t="str">
            <v>7640012602</v>
          </cell>
          <cell r="B1134" t="str">
            <v>Basic Professional Services - Level 4</v>
          </cell>
          <cell r="C1134">
            <v>1600</v>
          </cell>
        </row>
        <row r="1135">
          <cell r="A1135" t="str">
            <v>7640012635</v>
          </cell>
          <cell r="B1135" t="str">
            <v>Basic Professional Services- EFI/Creo Training</v>
          </cell>
          <cell r="C1135">
            <v>600</v>
          </cell>
        </row>
        <row r="1136">
          <cell r="A1136" t="str">
            <v>7640015254</v>
          </cell>
          <cell r="B1136" t="str">
            <v>Professional Services- EFI Graphics Arts Training</v>
          </cell>
          <cell r="C1136">
            <v>5000</v>
          </cell>
        </row>
        <row r="1137">
          <cell r="A1137" t="str">
            <v>7640015253</v>
          </cell>
          <cell r="B1137" t="str">
            <v>Professional Services- Advanced Production Training</v>
          </cell>
          <cell r="C1137">
            <v>8000</v>
          </cell>
        </row>
        <row r="1138">
          <cell r="A1138" t="str">
            <v>7640018460</v>
          </cell>
          <cell r="B1138" t="str">
            <v>Networking Fee</v>
          </cell>
          <cell r="C1138">
            <v>1</v>
          </cell>
        </row>
        <row r="1139">
          <cell r="A1139" t="str">
            <v>7640015255</v>
          </cell>
          <cell r="B1139" t="str">
            <v>Professional Services Project Fee</v>
          </cell>
          <cell r="C1139">
            <v>1</v>
          </cell>
        </row>
        <row r="1140">
          <cell r="A1140" t="str">
            <v>PAPER SUPPLY OPTIONS:</v>
          </cell>
          <cell r="B1140">
            <v>0</v>
          </cell>
          <cell r="C1140">
            <v>0</v>
          </cell>
        </row>
        <row r="1141">
          <cell r="A1141" t="str">
            <v>A0U4WY2</v>
          </cell>
          <cell r="B1141" t="str">
            <v>PF-602 Paper Feed Unit</v>
          </cell>
          <cell r="C1141">
            <v>6455</v>
          </cell>
        </row>
        <row r="1142">
          <cell r="A1142" t="str">
            <v>A0410Y1</v>
          </cell>
          <cell r="B1142" t="str">
            <v>HT-504 Heater for PF-602</v>
          </cell>
          <cell r="C1142">
            <v>2115</v>
          </cell>
        </row>
        <row r="1143">
          <cell r="A1143" t="str">
            <v>A03WWW0</v>
          </cell>
          <cell r="B1143" t="str">
            <v>LU-202 Large Capacity Tray (2.5K)</v>
          </cell>
          <cell r="C1143">
            <v>3562</v>
          </cell>
        </row>
        <row r="1144">
          <cell r="A1144" t="str">
            <v>A0410Y0</v>
          </cell>
          <cell r="B1144" t="str">
            <v>HT-503 Heater for LU-202</v>
          </cell>
          <cell r="C1144">
            <v>1336</v>
          </cell>
        </row>
        <row r="1145">
          <cell r="A1145" t="str">
            <v>A55CWY1</v>
          </cell>
          <cell r="B1145" t="str">
            <v>PF-707 Paper Feeder</v>
          </cell>
          <cell r="C1145">
            <v>10720</v>
          </cell>
        </row>
        <row r="1146">
          <cell r="A1146" t="str">
            <v>A1RKWY1</v>
          </cell>
          <cell r="B1146" t="str">
            <v>HT-506 Heater Dehumidifier for PF-704/PF-705</v>
          </cell>
          <cell r="C1146">
            <v>2332</v>
          </cell>
        </row>
        <row r="1147">
          <cell r="A1147" t="str">
            <v>A57WWY1</v>
          </cell>
          <cell r="B1147" t="str">
            <v>MB-506 Multi-Bypass Tray</v>
          </cell>
          <cell r="C1147">
            <v>582</v>
          </cell>
        </row>
        <row r="1148">
          <cell r="A1148" t="str">
            <v>A57VW11</v>
          </cell>
          <cell r="B1148" t="str">
            <v>EF-103 Envelope Fusing</v>
          </cell>
          <cell r="C1148">
            <v>5000</v>
          </cell>
        </row>
        <row r="1149">
          <cell r="A1149" t="str">
            <v>OUTPUT OPTIONS:</v>
          </cell>
          <cell r="B1149">
            <v>0</v>
          </cell>
          <cell r="C1149">
            <v>0</v>
          </cell>
        </row>
        <row r="1150">
          <cell r="A1150" t="str">
            <v>A0430Y2</v>
          </cell>
          <cell r="B1150" t="str">
            <v>OT-502 Exit Tray</v>
          </cell>
          <cell r="C1150">
            <v>690</v>
          </cell>
        </row>
        <row r="1151">
          <cell r="A1151" t="str">
            <v>A0HUWY2</v>
          </cell>
          <cell r="B1151" t="str">
            <v>DF-626 Automatic Document Feeder</v>
          </cell>
          <cell r="C1151">
            <v>2002</v>
          </cell>
        </row>
        <row r="1152">
          <cell r="A1152" t="str">
            <v>A128WY2</v>
          </cell>
          <cell r="B1152" t="str">
            <v>OC-509 Original Cover</v>
          </cell>
          <cell r="C1152">
            <v>150</v>
          </cell>
        </row>
        <row r="1153">
          <cell r="A1153" t="str">
            <v>A57UWY1</v>
          </cell>
          <cell r="B1153" t="str">
            <v>WT-511 Working Table</v>
          </cell>
          <cell r="C1153">
            <v>580</v>
          </cell>
        </row>
        <row r="1154">
          <cell r="A1154" t="str">
            <v>A5VKWY1</v>
          </cell>
          <cell r="B1154" t="str">
            <v>HT-511 Dehumidifier Heater</v>
          </cell>
          <cell r="C1154">
            <v>2115</v>
          </cell>
        </row>
        <row r="1155">
          <cell r="A1155" t="str">
            <v>A1TVWY1</v>
          </cell>
          <cell r="B1155" t="str">
            <v>FS-612 Booklet Finisher</v>
          </cell>
          <cell r="C1155">
            <v>5406</v>
          </cell>
        </row>
        <row r="1156">
          <cell r="A1156" t="str">
            <v>A2A4WY1</v>
          </cell>
          <cell r="B1156" t="str">
            <v>FS-531 50 Sheet Stapling Finisher</v>
          </cell>
          <cell r="C1156">
            <v>3173</v>
          </cell>
        </row>
        <row r="1157">
          <cell r="A1157" t="str">
            <v>A04HWY1</v>
          </cell>
          <cell r="B1157" t="str">
            <v>PI-502 Cover Inserter (or FS-612, FS-531)</v>
          </cell>
          <cell r="C1157">
            <v>1164</v>
          </cell>
        </row>
        <row r="1158">
          <cell r="A1158" t="str">
            <v>A04F0Y1</v>
          </cell>
          <cell r="B1158" t="str">
            <v>PK-512 2/3 Hole Punch (for FS-612, FS-531)</v>
          </cell>
          <cell r="C1158">
            <v>863</v>
          </cell>
        </row>
        <row r="1159">
          <cell r="A1159" t="str">
            <v>A4F3WY2</v>
          </cell>
          <cell r="B1159" t="str">
            <v>FS-532 100 Sheet Staple Finisher</v>
          </cell>
          <cell r="C1159">
            <v>5205</v>
          </cell>
        </row>
        <row r="1160">
          <cell r="A1160" t="str">
            <v>A4FAW12</v>
          </cell>
          <cell r="B1160" t="str">
            <v>PK-522 Punch Kit</v>
          </cell>
          <cell r="C1160">
            <v>835</v>
          </cell>
        </row>
        <row r="1161">
          <cell r="A1161" t="str">
            <v>A4F5WY1</v>
          </cell>
          <cell r="B1161" t="str">
            <v>MK-732 (mount kit for PI-502)</v>
          </cell>
          <cell r="C1161">
            <v>445</v>
          </cell>
        </row>
        <row r="1162">
          <cell r="A1162" t="str">
            <v>A4F4WY1</v>
          </cell>
          <cell r="B1162" t="str">
            <v>SD-510 Saddle Stitch Kit</v>
          </cell>
          <cell r="C1162">
            <v>1977</v>
          </cell>
        </row>
        <row r="1163">
          <cell r="A1163" t="str">
            <v>A0H0W11</v>
          </cell>
          <cell r="B1163" t="str">
            <v>FD-503 Multi Folding Unit</v>
          </cell>
          <cell r="C1163">
            <v>18921</v>
          </cell>
        </row>
        <row r="1164">
          <cell r="A1164" t="str">
            <v>A0H2WY2</v>
          </cell>
          <cell r="B1164" t="str">
            <v>SD-506 Saddle Stitch Unit</v>
          </cell>
          <cell r="C1164">
            <v>27825</v>
          </cell>
        </row>
        <row r="1165">
          <cell r="A1165" t="str">
            <v>A0H1W12</v>
          </cell>
          <cell r="B1165" t="str">
            <v>LS-505 Large Capacity Stacker (includes one LC-501)</v>
          </cell>
          <cell r="C1165">
            <v>18365</v>
          </cell>
        </row>
        <row r="1166">
          <cell r="A1166" t="str">
            <v>A1AHWY1</v>
          </cell>
          <cell r="B1166" t="str">
            <v>LC-501 Additional Cart for LS-505</v>
          </cell>
          <cell r="C1166">
            <v>890</v>
          </cell>
        </row>
        <row r="1167">
          <cell r="A1167" t="str">
            <v>A15XW11</v>
          </cell>
          <cell r="B1167" t="str">
            <v>PB-503 Perfect Binder</v>
          </cell>
          <cell r="C1167">
            <v>44838</v>
          </cell>
        </row>
        <row r="1168">
          <cell r="A1168" t="str">
            <v>A0N9W11</v>
          </cell>
          <cell r="B1168" t="str">
            <v>GP-501 GBC Punch Unit (punch dies sold separately)</v>
          </cell>
          <cell r="C1168">
            <v>18232</v>
          </cell>
        </row>
        <row r="1169">
          <cell r="A1169" t="str">
            <v>A4FCWY1</v>
          </cell>
          <cell r="B1169" t="str">
            <v>RU-510 Relay Unit</v>
          </cell>
          <cell r="C1169">
            <v>2980</v>
          </cell>
        </row>
        <row r="1170">
          <cell r="A1170" t="str">
            <v>A2A3WY2</v>
          </cell>
          <cell r="B1170" t="str">
            <v>HM-102 Humidifier Kit</v>
          </cell>
          <cell r="C1170">
            <v>11660</v>
          </cell>
        </row>
        <row r="1171">
          <cell r="A1171" t="str">
            <v>A4F6W12</v>
          </cell>
          <cell r="B1171" t="str">
            <v>GP-502 Ring Binder</v>
          </cell>
          <cell r="C1171">
            <v>29000</v>
          </cell>
        </row>
        <row r="1172">
          <cell r="A1172" t="str">
            <v>A2A2W13</v>
          </cell>
          <cell r="B1172" t="str">
            <v>RU-509 Relay/Buffer Pass Unit</v>
          </cell>
          <cell r="C1172">
            <v>6360</v>
          </cell>
        </row>
        <row r="1173">
          <cell r="A1173" t="str">
            <v>A2A3WY2</v>
          </cell>
          <cell r="B1173" t="str">
            <v>HM-102 Humidifier Kit</v>
          </cell>
          <cell r="C1173">
            <v>11660</v>
          </cell>
        </row>
        <row r="1174">
          <cell r="A1174" t="str">
            <v>A0NAW11</v>
          </cell>
          <cell r="B1174" t="str">
            <v>DS-501 3 Hole Punch Die</v>
          </cell>
          <cell r="C1174">
            <v>1484</v>
          </cell>
        </row>
        <row r="1175">
          <cell r="A1175" t="str">
            <v>A0NCW11</v>
          </cell>
          <cell r="B1175" t="str">
            <v>DS-502 19 Hole Cerlox Punch Die</v>
          </cell>
          <cell r="C1175">
            <v>1484</v>
          </cell>
        </row>
        <row r="1176">
          <cell r="A1176" t="str">
            <v>A0NDW11</v>
          </cell>
          <cell r="B1176" t="str">
            <v>DS-503 32 Hole Wirebind Punch Die</v>
          </cell>
          <cell r="C1176">
            <v>1484</v>
          </cell>
        </row>
        <row r="1177">
          <cell r="A1177" t="str">
            <v>A0NEW11</v>
          </cell>
          <cell r="B1177" t="str">
            <v>DS-504 21 Hole Wirebind Punch Die</v>
          </cell>
          <cell r="C1177">
            <v>1484</v>
          </cell>
        </row>
        <row r="1178">
          <cell r="A1178" t="str">
            <v>A0NFW11</v>
          </cell>
          <cell r="B1178" t="str">
            <v>DS-505 44 Hole Color Coil Punch Die</v>
          </cell>
          <cell r="C1178">
            <v>1484</v>
          </cell>
        </row>
        <row r="1179">
          <cell r="A1179" t="str">
            <v>A0NGW11</v>
          </cell>
          <cell r="B1179" t="str">
            <v>DS-506 11 Hole Velobind Punch Die</v>
          </cell>
          <cell r="C1179">
            <v>1484</v>
          </cell>
        </row>
        <row r="1180">
          <cell r="A1180" t="str">
            <v>A0NHW11</v>
          </cell>
          <cell r="B1180" t="str">
            <v>DS-507 32 Hole Proclick Punch Die</v>
          </cell>
          <cell r="C1180">
            <v>1484</v>
          </cell>
        </row>
        <row r="1181">
          <cell r="A1181" t="str">
            <v>7714357</v>
          </cell>
          <cell r="B1181" t="str">
            <v>GBC 3-Hole DuraGlide HD Die Set</v>
          </cell>
          <cell r="C1181">
            <v>2124</v>
          </cell>
        </row>
        <row r="1182">
          <cell r="A1182" t="str">
            <v>7714355</v>
          </cell>
          <cell r="B1182" t="str">
            <v>GBC 19-Hole DuraGlide HD Die Set</v>
          </cell>
          <cell r="C1182">
            <v>4265</v>
          </cell>
        </row>
        <row r="1183">
          <cell r="A1183" t="str">
            <v>7640017527</v>
          </cell>
          <cell r="B1183" t="str">
            <v>GBC 44-Hole Oval DuraGlide HD Die Set</v>
          </cell>
          <cell r="C1183">
            <v>2015</v>
          </cell>
        </row>
        <row r="1184">
          <cell r="A1184" t="str">
            <v>A4F7WY1</v>
          </cell>
          <cell r="B1184" t="str">
            <v>RB-101 Binding Element for GP-502 - BLACK (1,000 pcs)</v>
          </cell>
          <cell r="C1184">
            <v>600</v>
          </cell>
        </row>
        <row r="1185">
          <cell r="A1185" t="str">
            <v>A4F7WY2</v>
          </cell>
          <cell r="B1185" t="str">
            <v>RB-101 Binding Element for GP-502 - CLEAR (1,000 pcs)</v>
          </cell>
          <cell r="C1185">
            <v>600</v>
          </cell>
        </row>
        <row r="1186">
          <cell r="A1186" t="str">
            <v>A4F7WY3</v>
          </cell>
          <cell r="B1186" t="str">
            <v>RB-101 Binding Element for GP-502 - WHITE (1,000 pcs)</v>
          </cell>
          <cell r="C1186">
            <v>600</v>
          </cell>
        </row>
        <row r="1187">
          <cell r="A1187" t="str">
            <v>A4F7WY4</v>
          </cell>
          <cell r="B1187" t="str">
            <v>RB-101 Binding Element for GP-502 - NAVY (1,000 pcs)</v>
          </cell>
          <cell r="C1187">
            <v>600</v>
          </cell>
        </row>
        <row r="1188">
          <cell r="A1188" t="str">
            <v>HDD OPTIONS:</v>
          </cell>
          <cell r="B1188">
            <v>0</v>
          </cell>
          <cell r="C1188">
            <v>0</v>
          </cell>
        </row>
        <row r="1189">
          <cell r="A1189" t="str">
            <v>A5XJWY1</v>
          </cell>
          <cell r="B1189" t="str">
            <v>UK-104 Upgrade Kit (Additional 500GB memory)</v>
          </cell>
          <cell r="C1189">
            <v>1200</v>
          </cell>
        </row>
        <row r="1190">
          <cell r="A1190" t="str">
            <v>PRINT CONTROLLER OPTIONS:</v>
          </cell>
          <cell r="B1190">
            <v>0</v>
          </cell>
          <cell r="C1190">
            <v>0</v>
          </cell>
        </row>
        <row r="1191">
          <cell r="A1191" t="str">
            <v>A5URWY1</v>
          </cell>
          <cell r="B1191" t="str">
            <v>IC-415 EFI Embedded Image Controller</v>
          </cell>
          <cell r="C1191">
            <v>9000</v>
          </cell>
        </row>
        <row r="1192">
          <cell r="A1192" t="str">
            <v>A5UTWY1</v>
          </cell>
          <cell r="B1192" t="str">
            <v>IC-308 EFI Server Type Image Controller</v>
          </cell>
          <cell r="C1192">
            <v>30492</v>
          </cell>
        </row>
        <row r="1193">
          <cell r="A1193" t="str">
            <v>45111156</v>
          </cell>
          <cell r="B1193" t="str">
            <v xml:space="preserve">EFI Productivity Package S/W License </v>
          </cell>
          <cell r="C1193">
            <v>5300</v>
          </cell>
        </row>
        <row r="1194">
          <cell r="A1194" t="str">
            <v>45111134</v>
          </cell>
          <cell r="B1194" t="str">
            <v>Fiery Impose</v>
          </cell>
          <cell r="C1194">
            <v>2500</v>
          </cell>
        </row>
        <row r="1195">
          <cell r="A1195" t="str">
            <v>45111136</v>
          </cell>
          <cell r="B1195" t="str">
            <v xml:space="preserve">EFI Fiery Compose S/W License </v>
          </cell>
          <cell r="C1195">
            <v>1100</v>
          </cell>
        </row>
        <row r="1196">
          <cell r="A1196" t="str">
            <v>45111138</v>
          </cell>
          <cell r="B1196" t="str">
            <v xml:space="preserve">EFI Fiery Impose-Compose S/W License </v>
          </cell>
          <cell r="C1196">
            <v>3000</v>
          </cell>
        </row>
        <row r="1197">
          <cell r="A1197" t="str">
            <v>45112179</v>
          </cell>
          <cell r="B1197" t="str">
            <v>Fiery JobMaster</v>
          </cell>
          <cell r="C1197">
            <v>3500</v>
          </cell>
        </row>
        <row r="1198">
          <cell r="A1198" t="str">
            <v>45111153</v>
          </cell>
          <cell r="B1198" t="str">
            <v xml:space="preserve">EFI Spot-On S/W License </v>
          </cell>
          <cell r="C1198">
            <v>995</v>
          </cell>
        </row>
        <row r="1199">
          <cell r="A1199" t="str">
            <v>45111142</v>
          </cell>
          <cell r="B1199" t="str">
            <v xml:space="preserve">EFI Hot Folders &amp; Virtual S/W License </v>
          </cell>
          <cell r="C1199">
            <v>995</v>
          </cell>
        </row>
        <row r="1200">
          <cell r="A1200" t="str">
            <v>45111094</v>
          </cell>
          <cell r="B1200" t="str">
            <v xml:space="preserve">EFI Auto Trap S/W License </v>
          </cell>
          <cell r="C1200">
            <v>995</v>
          </cell>
        </row>
        <row r="1201">
          <cell r="A1201" t="str">
            <v>45111100</v>
          </cell>
          <cell r="B1201" t="str">
            <v>EFI Fiery Gappe(GA2)</v>
          </cell>
          <cell r="C1201">
            <v>7000</v>
          </cell>
        </row>
        <row r="1202">
          <cell r="A1202" t="str">
            <v>45052707</v>
          </cell>
          <cell r="B1202" t="str">
            <v>EFI HDD Security For PRO80</v>
          </cell>
          <cell r="C1202">
            <v>1200</v>
          </cell>
        </row>
        <row r="1203">
          <cell r="A1203" t="str">
            <v>45087436</v>
          </cell>
          <cell r="B1203" t="str">
            <v>Furniture For Fiery Server Includes Stand, Keyboard, Monitor, And Mouse</v>
          </cell>
          <cell r="C1203">
            <v>2670</v>
          </cell>
        </row>
        <row r="1204">
          <cell r="A1204" t="str">
            <v>45125832</v>
          </cell>
          <cell r="B1204" t="str">
            <v>EFI Option Bundle - 19inch FACI+CPS+Impose+Compose+Gappe</v>
          </cell>
          <cell r="C1204">
            <v>11625</v>
          </cell>
        </row>
        <row r="1205">
          <cell r="A1205" t="str">
            <v>100000006366</v>
          </cell>
          <cell r="B1205" t="str">
            <v>Fiery JobMaster Annual Support &amp; Maintenance</v>
          </cell>
          <cell r="C1205">
            <v>700</v>
          </cell>
        </row>
        <row r="1206">
          <cell r="A1206" t="str">
            <v>A5A90Y1</v>
          </cell>
          <cell r="B1206" t="str">
            <v>IC-602A Image Controller (C1070, C1060, C1060L)</v>
          </cell>
          <cell r="C1206">
            <v>5040</v>
          </cell>
        </row>
        <row r="1207">
          <cell r="A1207" t="str">
            <v>A5XG0Y1</v>
          </cell>
          <cell r="B1207" t="str">
            <v>IC-602B Image Controller (C1070P only)</v>
          </cell>
          <cell r="C1207">
            <v>6400</v>
          </cell>
        </row>
        <row r="1208">
          <cell r="A1208" t="str">
            <v>A5AAWY1</v>
          </cell>
          <cell r="B1208" t="str">
            <v>UK-206 Upgrade Kit (eCopy enabled)</v>
          </cell>
          <cell r="C1208">
            <v>1000</v>
          </cell>
        </row>
        <row r="1209">
          <cell r="A1209" t="str">
            <v>A5XHWY1</v>
          </cell>
          <cell r="B1209" t="str">
            <v>UK-207 Upgrade Kit (APPE enabled)</v>
          </cell>
          <cell r="C1209">
            <v>2100</v>
          </cell>
        </row>
        <row r="1210">
          <cell r="A1210" t="str">
            <v>A5A7WY1</v>
          </cell>
          <cell r="B1210" t="str">
            <v>VI-507 Video Interface Kit</v>
          </cell>
          <cell r="C1210">
            <v>1000</v>
          </cell>
        </row>
        <row r="1211">
          <cell r="A1211" t="str">
            <v>IC309</v>
          </cell>
          <cell r="B1211" t="str">
            <v>Creo IC-309 Controller for C1070 Series</v>
          </cell>
          <cell r="C1211">
            <v>25000</v>
          </cell>
        </row>
        <row r="1212">
          <cell r="A1212" t="str">
            <v>63800214A</v>
          </cell>
          <cell r="B1212" t="str">
            <v>Action Pack Option for Creo IC-309 and IC-309m</v>
          </cell>
          <cell r="C1212">
            <v>5200</v>
          </cell>
        </row>
        <row r="1213">
          <cell r="A1213" t="str">
            <v>63800212A</v>
          </cell>
          <cell r="B1213" t="str">
            <v>Fast Pack Option for Creo IC-309 and IC-309m</v>
          </cell>
          <cell r="C1213">
            <v>5200</v>
          </cell>
        </row>
        <row r="1214">
          <cell r="A1214" t="str">
            <v>63800196A</v>
          </cell>
          <cell r="B1214" t="str">
            <v>Match Pack Option for Creo IC-309</v>
          </cell>
          <cell r="C1214">
            <v>5200</v>
          </cell>
        </row>
        <row r="1215">
          <cell r="A1215" t="str">
            <v>63800862A</v>
          </cell>
          <cell r="B1215" t="str">
            <v>Preps Pack Option for Creo IC-309 and IC-309m</v>
          </cell>
          <cell r="C1215">
            <v>2395</v>
          </cell>
        </row>
        <row r="1216">
          <cell r="A1216" t="str">
            <v>63800216A</v>
          </cell>
          <cell r="B1216" t="str">
            <v>Trans Pack Option for Creo IC-309 and IC-309m</v>
          </cell>
          <cell r="C1216">
            <v>9995</v>
          </cell>
        </row>
        <row r="1217">
          <cell r="A1217" t="str">
            <v>7640013552</v>
          </cell>
          <cell r="B1217" t="str">
            <v>IC-307 Universal Stand</v>
          </cell>
          <cell r="C1217">
            <v>954</v>
          </cell>
        </row>
        <row r="1218">
          <cell r="A1218" t="str">
            <v>MISC. OPTIONS:</v>
          </cell>
          <cell r="B1218">
            <v>0</v>
          </cell>
          <cell r="C1218">
            <v>0</v>
          </cell>
        </row>
        <row r="1219">
          <cell r="A1219" t="str">
            <v>LES402A</v>
          </cell>
          <cell r="B1219" t="str">
            <v>Patlite Status Light for bizhub PRESS Models</v>
          </cell>
          <cell r="C1219">
            <v>350</v>
          </cell>
        </row>
        <row r="1220">
          <cell r="A1220" t="str">
            <v>XGPCSL630KM</v>
          </cell>
          <cell r="B1220" t="str">
            <v>ESP Diagnostic Power Filter 240V/30A</v>
          </cell>
          <cell r="C1220">
            <v>1059</v>
          </cell>
        </row>
        <row r="1221">
          <cell r="A1221" t="str">
            <v>XGPCS15DKM</v>
          </cell>
          <cell r="B1221" t="str">
            <v>ESP Diagnostic Power Filter 120V/15A</v>
          </cell>
          <cell r="C1221">
            <v>275</v>
          </cell>
        </row>
        <row r="1222">
          <cell r="A1222" t="str">
            <v>SMT1500</v>
          </cell>
          <cell r="B1222" t="str">
            <v>APC Smart UPS 1500VA - Tower</v>
          </cell>
          <cell r="C1222">
            <v>498</v>
          </cell>
        </row>
        <row r="1223">
          <cell r="A1223" t="str">
            <v>7640019042</v>
          </cell>
          <cell r="B1223" t="str">
            <v>bizhub PRESS Starter Kit</v>
          </cell>
          <cell r="C1223">
            <v>200</v>
          </cell>
        </row>
        <row r="1224">
          <cell r="A1224" t="str">
            <v>ORU:</v>
          </cell>
          <cell r="B1224">
            <v>0</v>
          </cell>
          <cell r="C1224">
            <v>0</v>
          </cell>
        </row>
        <row r="1225">
          <cell r="A1225" t="str">
            <v>7640019021</v>
          </cell>
          <cell r="B1225" t="str">
            <v>ORU Replacement Starter Kit (C1070/C1060)</v>
          </cell>
          <cell r="C1225">
            <v>4633</v>
          </cell>
        </row>
        <row r="1226">
          <cell r="A1226" t="str">
            <v>7640018666</v>
          </cell>
          <cell r="B1226" t="str">
            <v>ORU Operator Training (1 Day)</v>
          </cell>
          <cell r="C1226">
            <v>650</v>
          </cell>
        </row>
        <row r="1227">
          <cell r="A1227">
            <v>0</v>
          </cell>
          <cell r="B1227">
            <v>0</v>
          </cell>
          <cell r="C1227">
            <v>0</v>
          </cell>
        </row>
        <row r="1228">
          <cell r="A1228">
            <v>0</v>
          </cell>
          <cell r="B1228">
            <v>0</v>
          </cell>
          <cell r="C1228">
            <v>0</v>
          </cell>
        </row>
        <row r="1229">
          <cell r="A1229" t="str">
            <v>A50U011</v>
          </cell>
          <cell r="B1229" t="str">
            <v>bizhub PRESS C1070</v>
          </cell>
          <cell r="C1229">
            <v>67320</v>
          </cell>
        </row>
        <row r="1230">
          <cell r="A1230" t="str">
            <v>7640012602</v>
          </cell>
          <cell r="B1230" t="str">
            <v>Basic Professional Services - Level 4</v>
          </cell>
          <cell r="C1230">
            <v>1600</v>
          </cell>
        </row>
        <row r="1231">
          <cell r="A1231" t="str">
            <v>7640012635</v>
          </cell>
          <cell r="B1231" t="str">
            <v>Basic Professional Services- EFI/Creo Training</v>
          </cell>
          <cell r="C1231">
            <v>600</v>
          </cell>
        </row>
        <row r="1232">
          <cell r="A1232" t="str">
            <v>7640015254</v>
          </cell>
          <cell r="B1232" t="str">
            <v>Professional Services- EFI Graphics Arts Training</v>
          </cell>
          <cell r="C1232">
            <v>5000</v>
          </cell>
        </row>
        <row r="1233">
          <cell r="A1233" t="str">
            <v>7640015253</v>
          </cell>
          <cell r="B1233" t="str">
            <v>Professional Services- Advanced Production Training</v>
          </cell>
          <cell r="C1233">
            <v>8000</v>
          </cell>
        </row>
        <row r="1234">
          <cell r="A1234" t="str">
            <v>7640018460</v>
          </cell>
          <cell r="B1234" t="str">
            <v>Networking Fee</v>
          </cell>
          <cell r="C1234">
            <v>1</v>
          </cell>
        </row>
        <row r="1235">
          <cell r="A1235" t="str">
            <v>7640015255</v>
          </cell>
          <cell r="B1235" t="str">
            <v>Professional Services Project Fee</v>
          </cell>
          <cell r="C1235">
            <v>1</v>
          </cell>
        </row>
        <row r="1236">
          <cell r="A1236" t="str">
            <v>PAPER SUPPLY OPTIONS:</v>
          </cell>
          <cell r="B1236">
            <v>0</v>
          </cell>
          <cell r="C1236">
            <v>0</v>
          </cell>
        </row>
        <row r="1237">
          <cell r="A1237" t="str">
            <v>A0U4WY2</v>
          </cell>
          <cell r="B1237" t="str">
            <v>PF-602 Paper Feed Unit</v>
          </cell>
          <cell r="C1237">
            <v>6455</v>
          </cell>
        </row>
        <row r="1238">
          <cell r="A1238" t="str">
            <v>A0410Y1</v>
          </cell>
          <cell r="B1238" t="str">
            <v>HT-504 Heater for PF-602</v>
          </cell>
          <cell r="C1238">
            <v>2115</v>
          </cell>
        </row>
        <row r="1239">
          <cell r="A1239" t="str">
            <v>A03WWW0</v>
          </cell>
          <cell r="B1239" t="str">
            <v>LU-202 Large Capacity Tray (2.5K)</v>
          </cell>
          <cell r="C1239">
            <v>3562</v>
          </cell>
        </row>
        <row r="1240">
          <cell r="A1240" t="str">
            <v>A0410Y0</v>
          </cell>
          <cell r="B1240" t="str">
            <v>HT-503 Heater for LU-202</v>
          </cell>
          <cell r="C1240">
            <v>1336</v>
          </cell>
        </row>
        <row r="1241">
          <cell r="A1241" t="str">
            <v>A55CWY1</v>
          </cell>
          <cell r="B1241" t="str">
            <v>PF-707 Paper Feeder</v>
          </cell>
          <cell r="C1241">
            <v>10720</v>
          </cell>
        </row>
        <row r="1242">
          <cell r="A1242" t="str">
            <v>A1RKWY1</v>
          </cell>
          <cell r="B1242" t="str">
            <v>HT-506 Heater Dehumidifier for PF-704/PF-705</v>
          </cell>
          <cell r="C1242">
            <v>2332</v>
          </cell>
        </row>
        <row r="1243">
          <cell r="A1243" t="str">
            <v>A57WWY1</v>
          </cell>
          <cell r="B1243" t="str">
            <v>MB-506 Multi-Bypass Tray</v>
          </cell>
          <cell r="C1243">
            <v>582</v>
          </cell>
        </row>
        <row r="1244">
          <cell r="A1244" t="str">
            <v>A57VW11</v>
          </cell>
          <cell r="B1244" t="str">
            <v>EF-103 Envelope Fusing</v>
          </cell>
          <cell r="C1244">
            <v>5000</v>
          </cell>
        </row>
        <row r="1245">
          <cell r="A1245" t="str">
            <v>OUTPUT OPTIONS:</v>
          </cell>
          <cell r="B1245">
            <v>0</v>
          </cell>
          <cell r="C1245">
            <v>0</v>
          </cell>
        </row>
        <row r="1246">
          <cell r="A1246" t="str">
            <v>A0430Y2</v>
          </cell>
          <cell r="B1246" t="str">
            <v>OT-502 Exit Tray</v>
          </cell>
          <cell r="C1246">
            <v>690</v>
          </cell>
        </row>
        <row r="1247">
          <cell r="A1247" t="str">
            <v>A0HUWY2</v>
          </cell>
          <cell r="B1247" t="str">
            <v>DF-626 Automatic Document Feeder</v>
          </cell>
          <cell r="C1247">
            <v>2002</v>
          </cell>
        </row>
        <row r="1248">
          <cell r="A1248" t="str">
            <v>A128WY2</v>
          </cell>
          <cell r="B1248" t="str">
            <v>OC-509 Original Cover</v>
          </cell>
          <cell r="C1248">
            <v>150</v>
          </cell>
        </row>
        <row r="1249">
          <cell r="A1249" t="str">
            <v>A57UWY1</v>
          </cell>
          <cell r="B1249" t="str">
            <v>WT-511 Working Table</v>
          </cell>
          <cell r="C1249">
            <v>580</v>
          </cell>
        </row>
        <row r="1250">
          <cell r="A1250" t="str">
            <v>A5VKWY1</v>
          </cell>
          <cell r="B1250" t="str">
            <v>HT-511 Dehumidifier Heater</v>
          </cell>
          <cell r="C1250">
            <v>2115</v>
          </cell>
        </row>
        <row r="1251">
          <cell r="A1251" t="str">
            <v>A1TVWY1</v>
          </cell>
          <cell r="B1251" t="str">
            <v>FS-612 Booklet Finisher</v>
          </cell>
          <cell r="C1251">
            <v>5406</v>
          </cell>
        </row>
        <row r="1252">
          <cell r="A1252" t="str">
            <v>A2A4WY1</v>
          </cell>
          <cell r="B1252" t="str">
            <v>FS-531 50 Sheet Stapling Finisher</v>
          </cell>
          <cell r="C1252">
            <v>3173</v>
          </cell>
        </row>
        <row r="1253">
          <cell r="A1253" t="str">
            <v>A04HWY1</v>
          </cell>
          <cell r="B1253" t="str">
            <v>PI-502 Cover Inserter (or FS-612, FS-531)</v>
          </cell>
          <cell r="C1253">
            <v>1164</v>
          </cell>
        </row>
        <row r="1254">
          <cell r="A1254" t="str">
            <v>A04F0Y1</v>
          </cell>
          <cell r="B1254" t="str">
            <v>PK-512 2/3 Hole Punch (for FS-612, FS-531)</v>
          </cell>
          <cell r="C1254">
            <v>863</v>
          </cell>
        </row>
        <row r="1255">
          <cell r="A1255" t="str">
            <v>A4F3WY2</v>
          </cell>
          <cell r="B1255" t="str">
            <v>FS-532 100 Sheet Staple Finisher</v>
          </cell>
          <cell r="C1255">
            <v>5205</v>
          </cell>
        </row>
        <row r="1256">
          <cell r="A1256" t="str">
            <v>A4FAW12</v>
          </cell>
          <cell r="B1256" t="str">
            <v>PK-522 Punch Kit</v>
          </cell>
          <cell r="C1256">
            <v>835</v>
          </cell>
        </row>
        <row r="1257">
          <cell r="A1257" t="str">
            <v>A4F5WY1</v>
          </cell>
          <cell r="B1257" t="str">
            <v>MK-732 (mount kit for PI-502)</v>
          </cell>
          <cell r="C1257">
            <v>445</v>
          </cell>
        </row>
        <row r="1258">
          <cell r="A1258" t="str">
            <v>A4F4WY1</v>
          </cell>
          <cell r="B1258" t="str">
            <v>SD-510 Saddle Stitch Kit</v>
          </cell>
          <cell r="C1258">
            <v>1977</v>
          </cell>
        </row>
        <row r="1259">
          <cell r="A1259" t="str">
            <v>A0H0W11</v>
          </cell>
          <cell r="B1259" t="str">
            <v>FD-503 Multi Folding Unit</v>
          </cell>
          <cell r="C1259">
            <v>18921</v>
          </cell>
        </row>
        <row r="1260">
          <cell r="A1260" t="str">
            <v>A0H2WY2</v>
          </cell>
          <cell r="B1260" t="str">
            <v>SD-506 Saddle Stitch Unit</v>
          </cell>
          <cell r="C1260">
            <v>27825</v>
          </cell>
        </row>
        <row r="1261">
          <cell r="A1261" t="str">
            <v>A0H1W12</v>
          </cell>
          <cell r="B1261" t="str">
            <v>LS-505 Large Capacity Stacker (includes one LC-501)</v>
          </cell>
          <cell r="C1261">
            <v>18365</v>
          </cell>
        </row>
        <row r="1262">
          <cell r="A1262" t="str">
            <v>A1AHWY1</v>
          </cell>
          <cell r="B1262" t="str">
            <v>LC-501 Additional Cart for LS-505</v>
          </cell>
          <cell r="C1262">
            <v>890</v>
          </cell>
        </row>
        <row r="1263">
          <cell r="A1263" t="str">
            <v>A15XW11</v>
          </cell>
          <cell r="B1263" t="str">
            <v>PB-503 Perfect Binder</v>
          </cell>
          <cell r="C1263">
            <v>44838</v>
          </cell>
        </row>
        <row r="1264">
          <cell r="A1264" t="str">
            <v>A0N9W11</v>
          </cell>
          <cell r="B1264" t="str">
            <v>GP-501 GBC Punch Unit (punch dies sold separately)</v>
          </cell>
          <cell r="C1264">
            <v>18232</v>
          </cell>
        </row>
        <row r="1265">
          <cell r="A1265" t="str">
            <v>A4FCWY1</v>
          </cell>
          <cell r="B1265" t="str">
            <v>RU-510 Relay Unit</v>
          </cell>
          <cell r="C1265">
            <v>2980</v>
          </cell>
        </row>
        <row r="1266">
          <cell r="A1266" t="str">
            <v>A4F6W12</v>
          </cell>
          <cell r="B1266" t="str">
            <v>GP-502 Ring Binder</v>
          </cell>
          <cell r="C1266">
            <v>29000</v>
          </cell>
        </row>
        <row r="1267">
          <cell r="A1267" t="str">
            <v>A2A2W13</v>
          </cell>
          <cell r="B1267" t="str">
            <v>RU-509 Relay/Buffer Pass Unit</v>
          </cell>
          <cell r="C1267">
            <v>6360</v>
          </cell>
        </row>
        <row r="1268">
          <cell r="A1268" t="str">
            <v>A2A3WY2</v>
          </cell>
          <cell r="B1268" t="str">
            <v>HM-102 Humidifier Kit</v>
          </cell>
          <cell r="C1268">
            <v>11660</v>
          </cell>
        </row>
        <row r="1269">
          <cell r="A1269" t="str">
            <v>A0NAW11</v>
          </cell>
          <cell r="B1269" t="str">
            <v>DS-501 3 Hole Punch Die</v>
          </cell>
          <cell r="C1269">
            <v>1484</v>
          </cell>
        </row>
        <row r="1270">
          <cell r="A1270" t="str">
            <v>A0NCW11</v>
          </cell>
          <cell r="B1270" t="str">
            <v>DS-502 19 Hole Cerlox Punch Die</v>
          </cell>
          <cell r="C1270">
            <v>1484</v>
          </cell>
        </row>
        <row r="1271">
          <cell r="A1271" t="str">
            <v>A0NDW11</v>
          </cell>
          <cell r="B1271" t="str">
            <v>DS-503 32 Hole Wirebind Punch Die</v>
          </cell>
          <cell r="C1271">
            <v>1484</v>
          </cell>
        </row>
        <row r="1272">
          <cell r="A1272" t="str">
            <v>A0NEW11</v>
          </cell>
          <cell r="B1272" t="str">
            <v>DS-504 21 Hole Wirebind Punch Die</v>
          </cell>
          <cell r="C1272">
            <v>1484</v>
          </cell>
        </row>
        <row r="1273">
          <cell r="A1273" t="str">
            <v>A0NFW11</v>
          </cell>
          <cell r="B1273" t="str">
            <v>DS-505 44 Hole Color Coil Punch Die</v>
          </cell>
          <cell r="C1273">
            <v>1484</v>
          </cell>
        </row>
        <row r="1274">
          <cell r="A1274" t="str">
            <v>A0NGW11</v>
          </cell>
          <cell r="B1274" t="str">
            <v>DS-506 11 Hole Velobind Punch Die</v>
          </cell>
          <cell r="C1274">
            <v>1484</v>
          </cell>
        </row>
        <row r="1275">
          <cell r="A1275" t="str">
            <v>A0NHW11</v>
          </cell>
          <cell r="B1275" t="str">
            <v>DS-507 32 Hole Proclick Punch Die</v>
          </cell>
          <cell r="C1275">
            <v>1484</v>
          </cell>
        </row>
        <row r="1276">
          <cell r="A1276" t="str">
            <v>7714357</v>
          </cell>
          <cell r="B1276" t="str">
            <v>GBC 3-Hole DuraGlide HD Die Set</v>
          </cell>
          <cell r="C1276">
            <v>2124</v>
          </cell>
        </row>
        <row r="1277">
          <cell r="A1277" t="str">
            <v>7714355</v>
          </cell>
          <cell r="B1277" t="str">
            <v>GBC 19-Hole DuraGlide HD Die Set</v>
          </cell>
          <cell r="C1277">
            <v>4265</v>
          </cell>
        </row>
        <row r="1278">
          <cell r="A1278" t="str">
            <v>7640017527</v>
          </cell>
          <cell r="B1278" t="str">
            <v>GBC 44-Hole Oval DuraGlide HD Die Set</v>
          </cell>
          <cell r="C1278">
            <v>2015</v>
          </cell>
        </row>
        <row r="1279">
          <cell r="A1279" t="str">
            <v>A4F7WY1</v>
          </cell>
          <cell r="B1279" t="str">
            <v>RB-101 Binding Element for GP-502 - BLACK (1,000 pcs)</v>
          </cell>
          <cell r="C1279">
            <v>600</v>
          </cell>
        </row>
        <row r="1280">
          <cell r="A1280" t="str">
            <v>A4F7WY2</v>
          </cell>
          <cell r="B1280" t="str">
            <v>RB-101 Binding Element for GP-502 - CLEAR (1,000 pcs)</v>
          </cell>
          <cell r="C1280">
            <v>600</v>
          </cell>
        </row>
        <row r="1281">
          <cell r="A1281" t="str">
            <v>A4F7WY3</v>
          </cell>
          <cell r="B1281" t="str">
            <v>RB-101 Binding Element for GP-502 - WHITE (1,000 pcs)</v>
          </cell>
          <cell r="C1281">
            <v>600</v>
          </cell>
        </row>
        <row r="1282">
          <cell r="A1282" t="str">
            <v>A4F7WY4</v>
          </cell>
          <cell r="B1282" t="str">
            <v>RB-101 Binding Element for GP-502 - NAVY (1,000 pcs)</v>
          </cell>
          <cell r="C1282">
            <v>600</v>
          </cell>
        </row>
        <row r="1283">
          <cell r="A1283" t="str">
            <v>HDD OPTIONS:</v>
          </cell>
          <cell r="B1283">
            <v>0</v>
          </cell>
          <cell r="C1283">
            <v>0</v>
          </cell>
        </row>
        <row r="1284">
          <cell r="A1284" t="str">
            <v>A5XJWY1</v>
          </cell>
          <cell r="B1284" t="str">
            <v>UK-104 Upgrade Kit (Additional 500GB memory)</v>
          </cell>
          <cell r="C1284">
            <v>1200</v>
          </cell>
        </row>
        <row r="1285">
          <cell r="A1285" t="str">
            <v>PRINT CONTROLLER OPTIONS:</v>
          </cell>
          <cell r="B1285">
            <v>0</v>
          </cell>
          <cell r="C1285">
            <v>0</v>
          </cell>
        </row>
        <row r="1286">
          <cell r="A1286" t="str">
            <v>A5URWY1</v>
          </cell>
          <cell r="B1286" t="str">
            <v>IC-415 EFI Embedded Image Controller</v>
          </cell>
          <cell r="C1286">
            <v>9000</v>
          </cell>
        </row>
        <row r="1287">
          <cell r="A1287" t="str">
            <v>A5UTWY1</v>
          </cell>
          <cell r="B1287" t="str">
            <v>IC-308 EFI Server Type Image Controller</v>
          </cell>
          <cell r="C1287">
            <v>30492</v>
          </cell>
        </row>
        <row r="1288">
          <cell r="A1288" t="str">
            <v>45111156</v>
          </cell>
          <cell r="B1288" t="str">
            <v xml:space="preserve">EFI Productivity Package S/W License </v>
          </cell>
          <cell r="C1288">
            <v>5300</v>
          </cell>
        </row>
        <row r="1289">
          <cell r="A1289" t="str">
            <v>45111134</v>
          </cell>
          <cell r="B1289" t="str">
            <v>Fiery Impose</v>
          </cell>
          <cell r="C1289">
            <v>2500</v>
          </cell>
        </row>
        <row r="1290">
          <cell r="A1290" t="str">
            <v>45111136</v>
          </cell>
          <cell r="B1290" t="str">
            <v xml:space="preserve">EFI Fiery Compose S/W License </v>
          </cell>
          <cell r="C1290">
            <v>1100</v>
          </cell>
        </row>
        <row r="1291">
          <cell r="A1291" t="str">
            <v>45111138</v>
          </cell>
          <cell r="B1291" t="str">
            <v xml:space="preserve">EFI Fiery Impose-Compose S/W License </v>
          </cell>
          <cell r="C1291">
            <v>3000</v>
          </cell>
        </row>
        <row r="1292">
          <cell r="A1292" t="str">
            <v>45112179</v>
          </cell>
          <cell r="B1292" t="str">
            <v>Fiery JobMaster</v>
          </cell>
          <cell r="C1292">
            <v>3500</v>
          </cell>
        </row>
        <row r="1293">
          <cell r="A1293" t="str">
            <v>45111153</v>
          </cell>
          <cell r="B1293" t="str">
            <v xml:space="preserve">EFI Spot-On S/W License </v>
          </cell>
          <cell r="C1293">
            <v>995</v>
          </cell>
        </row>
        <row r="1294">
          <cell r="A1294" t="str">
            <v>45111142</v>
          </cell>
          <cell r="B1294" t="str">
            <v xml:space="preserve">EFI Hot Folders &amp; Virtual S/W License </v>
          </cell>
          <cell r="C1294">
            <v>995</v>
          </cell>
        </row>
        <row r="1295">
          <cell r="A1295" t="str">
            <v>45111094</v>
          </cell>
          <cell r="B1295" t="str">
            <v xml:space="preserve">EFI Auto Trap S/W License </v>
          </cell>
          <cell r="C1295">
            <v>995</v>
          </cell>
        </row>
        <row r="1296">
          <cell r="A1296" t="str">
            <v>45111100</v>
          </cell>
          <cell r="B1296" t="str">
            <v>EFI Fiery Gappe(GA2)</v>
          </cell>
          <cell r="C1296">
            <v>7000</v>
          </cell>
        </row>
        <row r="1297">
          <cell r="A1297" t="str">
            <v>45052707</v>
          </cell>
          <cell r="B1297" t="str">
            <v>EFI HDD Security For PRO80</v>
          </cell>
          <cell r="C1297">
            <v>1200</v>
          </cell>
        </row>
        <row r="1298">
          <cell r="A1298" t="str">
            <v>45087436</v>
          </cell>
          <cell r="B1298" t="str">
            <v>Furniture For Fiery Server Includes Stand, Keyboard, Monitor, And Mouse</v>
          </cell>
          <cell r="C1298">
            <v>2670</v>
          </cell>
        </row>
        <row r="1299">
          <cell r="A1299" t="str">
            <v>45125832</v>
          </cell>
          <cell r="B1299" t="str">
            <v>EFI Option Bundle - 19inch FACI+CPS+Impose+Compose+Gappe</v>
          </cell>
          <cell r="C1299">
            <v>11625</v>
          </cell>
        </row>
        <row r="1300">
          <cell r="A1300" t="str">
            <v>100000006366</v>
          </cell>
          <cell r="B1300" t="str">
            <v>Fiery JobMaster Annual Support &amp; Maintenance</v>
          </cell>
          <cell r="C1300">
            <v>700</v>
          </cell>
        </row>
        <row r="1301">
          <cell r="A1301" t="str">
            <v>A5A90Y1</v>
          </cell>
          <cell r="B1301" t="str">
            <v>IC-602A Image Controller (C1070, C1060, C1060L)</v>
          </cell>
          <cell r="C1301">
            <v>5040</v>
          </cell>
        </row>
        <row r="1302">
          <cell r="A1302" t="str">
            <v>A5XG0Y1</v>
          </cell>
          <cell r="B1302" t="str">
            <v>IC-602B Image Controller (C1070P only)</v>
          </cell>
          <cell r="C1302">
            <v>6400</v>
          </cell>
        </row>
        <row r="1303">
          <cell r="A1303" t="str">
            <v>A5AAWY1</v>
          </cell>
          <cell r="B1303" t="str">
            <v>UK-206 Upgrade Kit (eCopy enabled)</v>
          </cell>
          <cell r="C1303">
            <v>1000</v>
          </cell>
        </row>
        <row r="1304">
          <cell r="A1304" t="str">
            <v>A5XHWY1</v>
          </cell>
          <cell r="B1304" t="str">
            <v>UK-207 Upgrade Kit (APPE enabled)</v>
          </cell>
          <cell r="C1304">
            <v>2100</v>
          </cell>
        </row>
        <row r="1305">
          <cell r="A1305" t="str">
            <v>A5A7WY1</v>
          </cell>
          <cell r="B1305" t="str">
            <v>VI-507 Video Interface Kit</v>
          </cell>
          <cell r="C1305">
            <v>1000</v>
          </cell>
        </row>
        <row r="1306">
          <cell r="A1306" t="str">
            <v>IC309</v>
          </cell>
          <cell r="B1306" t="str">
            <v>Creo IC-309 Controller for C1070 Series</v>
          </cell>
          <cell r="C1306">
            <v>25000</v>
          </cell>
        </row>
        <row r="1307">
          <cell r="A1307" t="str">
            <v>63800214A</v>
          </cell>
          <cell r="B1307" t="str">
            <v>Action Pack Option for Creo IC-309 and IC-309m</v>
          </cell>
          <cell r="C1307">
            <v>5200</v>
          </cell>
        </row>
        <row r="1308">
          <cell r="A1308" t="str">
            <v>63800212A</v>
          </cell>
          <cell r="B1308" t="str">
            <v>Fast Pack Option for Creo IC-309 and IC-309m</v>
          </cell>
          <cell r="C1308">
            <v>5200</v>
          </cell>
        </row>
        <row r="1309">
          <cell r="A1309" t="str">
            <v>63800196A</v>
          </cell>
          <cell r="B1309" t="str">
            <v>Match Pack Option for Creo IC-309</v>
          </cell>
          <cell r="C1309">
            <v>5200</v>
          </cell>
        </row>
        <row r="1310">
          <cell r="A1310" t="str">
            <v>63800862A</v>
          </cell>
          <cell r="B1310" t="str">
            <v>Preps Pack Option for Creo IC-309 and IC-309m</v>
          </cell>
          <cell r="C1310">
            <v>2395</v>
          </cell>
        </row>
        <row r="1311">
          <cell r="A1311" t="str">
            <v>63800216A</v>
          </cell>
          <cell r="B1311" t="str">
            <v>Trans Pack Option for Creo IC-309 and IC-309m</v>
          </cell>
          <cell r="C1311">
            <v>9995</v>
          </cell>
        </row>
        <row r="1312">
          <cell r="A1312" t="str">
            <v>7640013552</v>
          </cell>
          <cell r="B1312" t="str">
            <v>IC-307 Universal Stand</v>
          </cell>
          <cell r="C1312">
            <v>954</v>
          </cell>
        </row>
        <row r="1313">
          <cell r="A1313" t="str">
            <v>MISC. OPTIONS:</v>
          </cell>
          <cell r="B1313">
            <v>0</v>
          </cell>
          <cell r="C1313">
            <v>0</v>
          </cell>
        </row>
        <row r="1314">
          <cell r="A1314" t="str">
            <v>LES402A</v>
          </cell>
          <cell r="B1314" t="str">
            <v>Patlite Status Light for bizhub PRESS Models</v>
          </cell>
          <cell r="C1314">
            <v>350</v>
          </cell>
        </row>
        <row r="1315">
          <cell r="A1315" t="str">
            <v>XGPCSL630KM</v>
          </cell>
          <cell r="B1315" t="str">
            <v>ESP Diagnostic Power Filter 240V/30A</v>
          </cell>
          <cell r="C1315">
            <v>1059</v>
          </cell>
        </row>
        <row r="1316">
          <cell r="A1316" t="str">
            <v>XGPCS15DKM</v>
          </cell>
          <cell r="B1316" t="str">
            <v>ESP Diagnostic Power Filter 120V/15A</v>
          </cell>
          <cell r="C1316">
            <v>275</v>
          </cell>
        </row>
        <row r="1317">
          <cell r="A1317" t="str">
            <v>SMT1500</v>
          </cell>
          <cell r="B1317" t="str">
            <v>APC Smart UPS 1500VA - Tower</v>
          </cell>
          <cell r="C1317">
            <v>498</v>
          </cell>
        </row>
        <row r="1318">
          <cell r="A1318" t="str">
            <v>7640019042</v>
          </cell>
          <cell r="B1318" t="str">
            <v>bizhub PRESS Starter Kit</v>
          </cell>
          <cell r="C1318">
            <v>200</v>
          </cell>
        </row>
        <row r="1319">
          <cell r="A1319" t="str">
            <v>ORU:</v>
          </cell>
          <cell r="B1319">
            <v>0</v>
          </cell>
          <cell r="C1319">
            <v>0</v>
          </cell>
        </row>
        <row r="1320">
          <cell r="A1320" t="str">
            <v>7640019021</v>
          </cell>
          <cell r="B1320" t="str">
            <v>ORU Replacement Starter Kit (C1070/C1060)</v>
          </cell>
          <cell r="C1320">
            <v>4633</v>
          </cell>
        </row>
        <row r="1321">
          <cell r="A1321" t="str">
            <v>7640018666</v>
          </cell>
          <cell r="B1321" t="str">
            <v>ORU Operator Training (1 Day)</v>
          </cell>
          <cell r="C1321">
            <v>650</v>
          </cell>
        </row>
        <row r="1322">
          <cell r="A1322">
            <v>0</v>
          </cell>
          <cell r="B1322">
            <v>0</v>
          </cell>
          <cell r="C1322">
            <v>0</v>
          </cell>
        </row>
        <row r="1323">
          <cell r="A1323">
            <v>0</v>
          </cell>
          <cell r="B1323">
            <v>0</v>
          </cell>
          <cell r="C1323">
            <v>0</v>
          </cell>
        </row>
        <row r="1324">
          <cell r="A1324" t="str">
            <v>A5AX011</v>
          </cell>
          <cell r="B1324" t="str">
            <v>bizhub PRESS C1085</v>
          </cell>
          <cell r="C1324">
            <v>130253</v>
          </cell>
        </row>
        <row r="1325">
          <cell r="A1325" t="str">
            <v>7640018098</v>
          </cell>
          <cell r="B1325" t="str">
            <v>Basic Network Service - BNS08</v>
          </cell>
          <cell r="C1325">
            <v>1380</v>
          </cell>
        </row>
        <row r="1326">
          <cell r="A1326" t="str">
            <v>7640012601</v>
          </cell>
          <cell r="B1326" t="str">
            <v>Basic Professional Services - Level 5</v>
          </cell>
          <cell r="C1326">
            <v>2400</v>
          </cell>
        </row>
        <row r="1327">
          <cell r="A1327" t="str">
            <v>7640012635</v>
          </cell>
          <cell r="B1327" t="str">
            <v>Basic Professional Services- EFI/Creo Training</v>
          </cell>
          <cell r="C1327">
            <v>600</v>
          </cell>
        </row>
        <row r="1328">
          <cell r="A1328" t="str">
            <v>7640015254</v>
          </cell>
          <cell r="B1328" t="str">
            <v>Professional Services- EFI Graphics Arts Training</v>
          </cell>
          <cell r="C1328">
            <v>5000</v>
          </cell>
        </row>
        <row r="1329">
          <cell r="A1329" t="str">
            <v>7640015253</v>
          </cell>
          <cell r="B1329" t="str">
            <v>Professional Services- Advanced Production Training</v>
          </cell>
          <cell r="C1329">
            <v>8000</v>
          </cell>
        </row>
        <row r="1330">
          <cell r="A1330" t="str">
            <v>7640018460</v>
          </cell>
          <cell r="B1330" t="str">
            <v>Networking Fee</v>
          </cell>
          <cell r="C1330">
            <v>1</v>
          </cell>
        </row>
        <row r="1331">
          <cell r="A1331" t="str">
            <v>7640015255</v>
          </cell>
          <cell r="B1331" t="str">
            <v>Professional Services Project Fee</v>
          </cell>
          <cell r="C1331">
            <v>1</v>
          </cell>
        </row>
        <row r="1332">
          <cell r="A1332" t="str">
            <v>PAPER SUPPLY OPTIONS:</v>
          </cell>
          <cell r="B1332">
            <v>0</v>
          </cell>
          <cell r="C1332">
            <v>0</v>
          </cell>
        </row>
        <row r="1333">
          <cell r="A1333" t="str">
            <v>A55CWY1</v>
          </cell>
          <cell r="B1333" t="str">
            <v>PF-707 Paper Feeder</v>
          </cell>
          <cell r="C1333">
            <v>10720</v>
          </cell>
        </row>
        <row r="1334">
          <cell r="A1334" t="str">
            <v>A55DWY1</v>
          </cell>
          <cell r="B1334" t="str">
            <v>PF-708 Paper Feed Unit with Doc Feeder</v>
          </cell>
          <cell r="C1334">
            <v>18000</v>
          </cell>
        </row>
        <row r="1335">
          <cell r="A1335" t="str">
            <v>A1RKWY1</v>
          </cell>
          <cell r="B1335" t="str">
            <v>HT-506 Heater Dehumidifier for PF-704/705/707/708</v>
          </cell>
          <cell r="C1335">
            <v>2332</v>
          </cell>
        </row>
        <row r="1336">
          <cell r="A1336" t="str">
            <v>A69EWY1</v>
          </cell>
          <cell r="B1336" t="str">
            <v>FA-502 PI-PFU Connection Kit</v>
          </cell>
          <cell r="C1336">
            <v>700</v>
          </cell>
        </row>
        <row r="1337">
          <cell r="A1337" t="str">
            <v>OUTPUT OPTIONS:</v>
          </cell>
          <cell r="B1337">
            <v>0</v>
          </cell>
          <cell r="C1337">
            <v>0</v>
          </cell>
        </row>
        <row r="1338">
          <cell r="A1338" t="str">
            <v>A1TUWY1</v>
          </cell>
          <cell r="B1338" t="str">
            <v>HM-101 Humidification Unit for RU-508/509/511</v>
          </cell>
          <cell r="C1338">
            <v>10600</v>
          </cell>
        </row>
        <row r="1339">
          <cell r="A1339" t="str">
            <v>A65YW11</v>
          </cell>
          <cell r="B1339" t="str">
            <v>RU-511 Decurling Relay Unit</v>
          </cell>
          <cell r="C1339">
            <v>8800</v>
          </cell>
        </row>
        <row r="1340">
          <cell r="A1340" t="str">
            <v>A4F3WY2</v>
          </cell>
          <cell r="B1340" t="str">
            <v>FS-532 100 Sheet Staple Finisher</v>
          </cell>
          <cell r="C1340">
            <v>5205</v>
          </cell>
        </row>
        <row r="1341">
          <cell r="A1341" t="str">
            <v>A4FAW12</v>
          </cell>
          <cell r="B1341" t="str">
            <v>PK-522 Punch Kit</v>
          </cell>
          <cell r="C1341">
            <v>835</v>
          </cell>
        </row>
        <row r="1342">
          <cell r="A1342" t="str">
            <v>A4F5WY1</v>
          </cell>
          <cell r="B1342" t="str">
            <v>MK-732 (mount kit for PI-502)</v>
          </cell>
          <cell r="C1342">
            <v>445</v>
          </cell>
        </row>
        <row r="1343">
          <cell r="A1343" t="str">
            <v>A4F4WY1</v>
          </cell>
          <cell r="B1343" t="str">
            <v>SD-510 Saddle Stitch Kit</v>
          </cell>
          <cell r="C1343">
            <v>1977</v>
          </cell>
        </row>
        <row r="1344">
          <cell r="A1344" t="str">
            <v>A0H0W11</v>
          </cell>
          <cell r="B1344" t="str">
            <v>FD-503 Multi Folding Unit</v>
          </cell>
          <cell r="C1344">
            <v>18921</v>
          </cell>
        </row>
        <row r="1345">
          <cell r="A1345" t="str">
            <v>A0H2WY2</v>
          </cell>
          <cell r="B1345" t="str">
            <v>SD-506 Saddle Stitch Unit</v>
          </cell>
          <cell r="C1345">
            <v>27825</v>
          </cell>
        </row>
        <row r="1346">
          <cell r="A1346" t="str">
            <v>A660WY1</v>
          </cell>
          <cell r="B1346" t="str">
            <v>LS-506 Large Stacker Unit</v>
          </cell>
          <cell r="C1346">
            <v>19058</v>
          </cell>
        </row>
        <row r="1347">
          <cell r="A1347" t="str">
            <v>A15XW11</v>
          </cell>
          <cell r="B1347" t="str">
            <v>PB-503 Perfect Binder</v>
          </cell>
          <cell r="C1347">
            <v>44838</v>
          </cell>
        </row>
        <row r="1348">
          <cell r="A1348" t="str">
            <v>A0N9W11</v>
          </cell>
          <cell r="B1348" t="str">
            <v>GP-501 GBC Punch Unit (punch dies sold separately)</v>
          </cell>
          <cell r="C1348">
            <v>18232</v>
          </cell>
        </row>
        <row r="1349">
          <cell r="A1349" t="str">
            <v>A4F6W12</v>
          </cell>
          <cell r="B1349" t="str">
            <v>GP-502 Ring Binder</v>
          </cell>
          <cell r="C1349">
            <v>29000</v>
          </cell>
        </row>
        <row r="1350">
          <cell r="A1350" t="str">
            <v>A4F7WY1</v>
          </cell>
          <cell r="B1350" t="str">
            <v>RB-101 Binding Element for GP-502 - BLACK (1,000 pcs)</v>
          </cell>
          <cell r="C1350">
            <v>600</v>
          </cell>
        </row>
        <row r="1351">
          <cell r="A1351" t="str">
            <v>A4F7WY2</v>
          </cell>
          <cell r="B1351" t="str">
            <v>RB-101 Binding Element for GP-502 - CLEAR (1,000 pcs)</v>
          </cell>
          <cell r="C1351">
            <v>600</v>
          </cell>
        </row>
        <row r="1352">
          <cell r="A1352" t="str">
            <v>A4F7WY3</v>
          </cell>
          <cell r="B1352" t="str">
            <v>RB-101 Binding Element for GP-502 - WHITE (1,000 pcs)</v>
          </cell>
          <cell r="C1352">
            <v>600</v>
          </cell>
        </row>
        <row r="1353">
          <cell r="A1353" t="str">
            <v>A4F7WY4</v>
          </cell>
          <cell r="B1353" t="str">
            <v>RB-101 Binding Element for GP-502 - NAVY (1,000 pcs)</v>
          </cell>
          <cell r="C1353">
            <v>600</v>
          </cell>
        </row>
        <row r="1354">
          <cell r="A1354" t="str">
            <v>A4FCWY1</v>
          </cell>
          <cell r="B1354" t="str">
            <v>RU-510 Relay Unit</v>
          </cell>
          <cell r="C1354">
            <v>2980</v>
          </cell>
        </row>
        <row r="1355">
          <cell r="A1355" t="str">
            <v>A1AHWY2</v>
          </cell>
          <cell r="B1355" t="str">
            <v>LC-501 Additional Cart for LS-505</v>
          </cell>
          <cell r="C1355">
            <v>890</v>
          </cell>
        </row>
        <row r="1356">
          <cell r="A1356" t="str">
            <v>A0NAW11</v>
          </cell>
          <cell r="B1356" t="str">
            <v>DS-501 3 Hole Punch Die</v>
          </cell>
          <cell r="C1356">
            <v>1484</v>
          </cell>
        </row>
        <row r="1357">
          <cell r="A1357" t="str">
            <v>A0NCW11</v>
          </cell>
          <cell r="B1357" t="str">
            <v>DS-502 19 Hole Cerlox Punch Die</v>
          </cell>
          <cell r="C1357">
            <v>1484</v>
          </cell>
        </row>
        <row r="1358">
          <cell r="A1358" t="str">
            <v>A0NDW11</v>
          </cell>
          <cell r="B1358" t="str">
            <v>DS-503 32 Hole Wirebind Punch Die</v>
          </cell>
          <cell r="C1358">
            <v>1484</v>
          </cell>
        </row>
        <row r="1359">
          <cell r="A1359" t="str">
            <v>A0NEW11</v>
          </cell>
          <cell r="B1359" t="str">
            <v>DS-504 21 Hole Wirebind Punch Die</v>
          </cell>
          <cell r="C1359">
            <v>1484</v>
          </cell>
        </row>
        <row r="1360">
          <cell r="A1360" t="str">
            <v>A0NFW11</v>
          </cell>
          <cell r="B1360" t="str">
            <v>DS-505 44 Hole Color Coil Punch Die</v>
          </cell>
          <cell r="C1360">
            <v>1484</v>
          </cell>
        </row>
        <row r="1361">
          <cell r="A1361" t="str">
            <v>A0NGW11</v>
          </cell>
          <cell r="B1361" t="str">
            <v>DS-506 11 Hole Velobind Punch Die</v>
          </cell>
          <cell r="C1361">
            <v>1484</v>
          </cell>
        </row>
        <row r="1362">
          <cell r="A1362" t="str">
            <v>A0NHW11</v>
          </cell>
          <cell r="B1362" t="str">
            <v>DS-507 32 Hole Proclick Punch Die</v>
          </cell>
          <cell r="C1362">
            <v>1484</v>
          </cell>
        </row>
        <row r="1363">
          <cell r="A1363" t="str">
            <v>7640017527</v>
          </cell>
          <cell r="B1363" t="str">
            <v>GBC 44 Oval Hole Die for GP-501</v>
          </cell>
          <cell r="C1363">
            <v>2015</v>
          </cell>
        </row>
        <row r="1364">
          <cell r="A1364" t="str">
            <v>7714355</v>
          </cell>
          <cell r="B1364" t="str">
            <v>GBC 19-Hole DuraGlide HD Die Set</v>
          </cell>
          <cell r="C1364">
            <v>4265</v>
          </cell>
        </row>
        <row r="1365">
          <cell r="A1365" t="str">
            <v>A6E0WY1</v>
          </cell>
          <cell r="B1365" t="str">
            <v>WT-512 Working Table</v>
          </cell>
          <cell r="C1365">
            <v>530</v>
          </cell>
        </row>
        <row r="1366">
          <cell r="A1366" t="str">
            <v>A04HWY2</v>
          </cell>
          <cell r="B1366" t="str">
            <v>PI-502 Multi-Post Inserter</v>
          </cell>
          <cell r="C1366">
            <v>1113</v>
          </cell>
        </row>
        <row r="1367">
          <cell r="A1367" t="str">
            <v>HDD OPTIONS:</v>
          </cell>
          <cell r="B1367">
            <v>0</v>
          </cell>
          <cell r="C1367">
            <v>0</v>
          </cell>
        </row>
        <row r="1368">
          <cell r="A1368" t="str">
            <v>A6DXWY1</v>
          </cell>
          <cell r="B1368" t="str">
            <v>UK-105 Upgrade Kit (Reqd whenever PF-708 is configured)</v>
          </cell>
          <cell r="C1368">
            <v>3540</v>
          </cell>
        </row>
        <row r="1369">
          <cell r="A1369" t="str">
            <v xml:space="preserve">PRINT CONTROLLER OPTIONS: </v>
          </cell>
          <cell r="B1369">
            <v>0</v>
          </cell>
          <cell r="C1369">
            <v>0</v>
          </cell>
        </row>
        <row r="1370">
          <cell r="A1370" t="str">
            <v>A6CCWY1</v>
          </cell>
          <cell r="B1370" t="str">
            <v>IC-310 Fiery Image Controller</v>
          </cell>
          <cell r="C1370">
            <v>55600</v>
          </cell>
        </row>
        <row r="1371">
          <cell r="A1371" t="str">
            <v>A6DU0Y1</v>
          </cell>
          <cell r="B1371" t="str">
            <v>IC-602C KM Image Controller</v>
          </cell>
          <cell r="C1371">
            <v>13000</v>
          </cell>
        </row>
        <row r="1372">
          <cell r="A1372" t="str">
            <v>A5UTWY1</v>
          </cell>
          <cell r="B1372" t="str">
            <v>IC-308 EFI Server Type Image Controller</v>
          </cell>
          <cell r="C1372">
            <v>30492</v>
          </cell>
        </row>
        <row r="1373">
          <cell r="A1373" t="str">
            <v>45111134</v>
          </cell>
          <cell r="B1373" t="str">
            <v>Fiery Impose</v>
          </cell>
          <cell r="C1373">
            <v>2500</v>
          </cell>
        </row>
        <row r="1374">
          <cell r="A1374" t="str">
            <v>45111136</v>
          </cell>
          <cell r="B1374" t="str">
            <v xml:space="preserve">EFI Fiery Compose S/W License </v>
          </cell>
          <cell r="C1374">
            <v>1100</v>
          </cell>
        </row>
        <row r="1375">
          <cell r="A1375" t="str">
            <v>45111138</v>
          </cell>
          <cell r="B1375" t="str">
            <v xml:space="preserve">EFI Fiery Impose-Compose S/W License </v>
          </cell>
          <cell r="C1375">
            <v>3000</v>
          </cell>
        </row>
        <row r="1376">
          <cell r="A1376" t="str">
            <v>45112179</v>
          </cell>
          <cell r="B1376" t="str">
            <v>Fiery JobMaster</v>
          </cell>
          <cell r="C1376">
            <v>3500</v>
          </cell>
        </row>
        <row r="1377">
          <cell r="A1377" t="str">
            <v>45111100</v>
          </cell>
          <cell r="B1377" t="str">
            <v>EFI Fiery Gappe(GA2)</v>
          </cell>
          <cell r="C1377">
            <v>7000</v>
          </cell>
        </row>
        <row r="1378">
          <cell r="A1378" t="str">
            <v>45052707</v>
          </cell>
          <cell r="B1378" t="str">
            <v>EFI HDD Security For PRO80</v>
          </cell>
          <cell r="C1378">
            <v>1200</v>
          </cell>
        </row>
        <row r="1379">
          <cell r="A1379" t="str">
            <v>45087436</v>
          </cell>
          <cell r="B1379" t="str">
            <v>Furniture For Fiery Server Includes Stand, Keyboard, Monitor, And Mouse</v>
          </cell>
          <cell r="C1379">
            <v>2670</v>
          </cell>
        </row>
        <row r="1380">
          <cell r="A1380" t="str">
            <v>45125832</v>
          </cell>
          <cell r="B1380" t="str">
            <v>EFI Option Bundle - 19inch FACI+CPS+Impose+Compose+Gappe</v>
          </cell>
          <cell r="C1380">
            <v>11625</v>
          </cell>
        </row>
        <row r="1381">
          <cell r="A1381" t="str">
            <v>100000006366</v>
          </cell>
          <cell r="B1381" t="str">
            <v>Fiery JobMaster Annual Support &amp; Maintenance</v>
          </cell>
          <cell r="C1381">
            <v>700</v>
          </cell>
        </row>
        <row r="1382">
          <cell r="A1382" t="str">
            <v>A5AAWY1</v>
          </cell>
          <cell r="B1382" t="str">
            <v>UK-206 Upgrade Kit (eCopy enabled)</v>
          </cell>
          <cell r="C1382">
            <v>1000</v>
          </cell>
        </row>
        <row r="1383">
          <cell r="A1383" t="str">
            <v>A5A7WY1</v>
          </cell>
          <cell r="B1383" t="str">
            <v>VI-507 Video Interface Kit</v>
          </cell>
          <cell r="C1383">
            <v>1000</v>
          </cell>
        </row>
        <row r="1384">
          <cell r="A1384" t="str">
            <v>63800214A</v>
          </cell>
          <cell r="B1384" t="str">
            <v>Action Pack Option for Creo IC-309 and IC-309m</v>
          </cell>
          <cell r="C1384">
            <v>5200</v>
          </cell>
        </row>
        <row r="1385">
          <cell r="A1385" t="str">
            <v>63800212A</v>
          </cell>
          <cell r="B1385" t="str">
            <v>Fast Pack Option for Creo IC-309 and IC-309m</v>
          </cell>
          <cell r="C1385">
            <v>5200</v>
          </cell>
        </row>
        <row r="1386">
          <cell r="A1386" t="str">
            <v>63800196A</v>
          </cell>
          <cell r="B1386" t="str">
            <v>Match Pack Option for Creo IC-309</v>
          </cell>
          <cell r="C1386">
            <v>5200</v>
          </cell>
        </row>
        <row r="1387">
          <cell r="A1387" t="str">
            <v>63800862A</v>
          </cell>
          <cell r="B1387" t="str">
            <v>Preps Pack Option for Creo IC-309 and IC-309m</v>
          </cell>
          <cell r="C1387">
            <v>2395</v>
          </cell>
        </row>
        <row r="1388">
          <cell r="A1388" t="str">
            <v>63900267A</v>
          </cell>
          <cell r="B1388" t="str">
            <v>Trans Pack Option for Creo IC-312 and IC-312m</v>
          </cell>
          <cell r="C1388">
            <v>16595</v>
          </cell>
        </row>
        <row r="1389">
          <cell r="A1389" t="str">
            <v>IC312</v>
          </cell>
          <cell r="B1389" t="str">
            <v>Creo IC-312 Controller for C1100 Series</v>
          </cell>
          <cell r="C1389">
            <v>32850</v>
          </cell>
        </row>
        <row r="1390">
          <cell r="A1390" t="str">
            <v>MISC. OPTIONS:</v>
          </cell>
          <cell r="B1390">
            <v>0</v>
          </cell>
          <cell r="C1390">
            <v>0</v>
          </cell>
        </row>
        <row r="1391">
          <cell r="A1391" t="str">
            <v>LES402A</v>
          </cell>
          <cell r="B1391" t="str">
            <v>PATLITE STATUS LIGHT KIT FOR BIZHUB PRESS MODELS</v>
          </cell>
          <cell r="C1391">
            <v>350</v>
          </cell>
        </row>
        <row r="1392">
          <cell r="A1392" t="str">
            <v>XGPCSL630KM</v>
          </cell>
          <cell r="B1392" t="str">
            <v>ESP Diagnostic Power Filter 240V/30A</v>
          </cell>
          <cell r="C1392">
            <v>1059</v>
          </cell>
        </row>
        <row r="1393">
          <cell r="A1393" t="str">
            <v>XGPCS15DKM</v>
          </cell>
          <cell r="B1393" t="str">
            <v>ESP Diagnostic Power Filter 120V/15A</v>
          </cell>
          <cell r="C1393">
            <v>275</v>
          </cell>
        </row>
        <row r="1394">
          <cell r="A1394" t="str">
            <v>SMT1500</v>
          </cell>
          <cell r="B1394" t="str">
            <v>APC Smart UPS 1500VA - Tower</v>
          </cell>
          <cell r="C1394">
            <v>498</v>
          </cell>
        </row>
        <row r="1395">
          <cell r="A1395" t="str">
            <v>7640019042</v>
          </cell>
          <cell r="B1395" t="str">
            <v>bizhub PRESS Starter Kit</v>
          </cell>
          <cell r="C1395">
            <v>200</v>
          </cell>
        </row>
        <row r="1396">
          <cell r="A1396" t="str">
            <v>ORU:</v>
          </cell>
          <cell r="B1396">
            <v>0</v>
          </cell>
          <cell r="C1396">
            <v>0</v>
          </cell>
        </row>
        <row r="1397">
          <cell r="A1397" t="str">
            <v>7640018666</v>
          </cell>
          <cell r="B1397" t="str">
            <v>ORU Operator Training (1 Day)</v>
          </cell>
          <cell r="C1397">
            <v>650</v>
          </cell>
        </row>
        <row r="1398">
          <cell r="A1398" t="str">
            <v>A6J6WY1</v>
          </cell>
          <cell r="B1398" t="str">
            <v>OR-102 ORU Enablement Accesory Board</v>
          </cell>
          <cell r="C1398">
            <v>825</v>
          </cell>
        </row>
        <row r="1399">
          <cell r="A1399">
            <v>0</v>
          </cell>
          <cell r="B1399">
            <v>0</v>
          </cell>
          <cell r="C1399">
            <v>0</v>
          </cell>
        </row>
        <row r="1400">
          <cell r="A1400" t="str">
            <v>A5AW011</v>
          </cell>
          <cell r="B1400" t="str">
            <v>bizhub PRESS C1100</v>
          </cell>
          <cell r="C1400">
            <v>153047</v>
          </cell>
        </row>
        <row r="1401">
          <cell r="A1401" t="str">
            <v>7640018098</v>
          </cell>
          <cell r="B1401" t="str">
            <v>Basic Network Service - BNS08</v>
          </cell>
          <cell r="C1401">
            <v>1380</v>
          </cell>
        </row>
        <row r="1402">
          <cell r="A1402" t="str">
            <v>7640012601</v>
          </cell>
          <cell r="B1402" t="str">
            <v>Basic Professional Services - Level 5</v>
          </cell>
          <cell r="C1402">
            <v>2400</v>
          </cell>
        </row>
        <row r="1403">
          <cell r="A1403" t="str">
            <v>7640012635</v>
          </cell>
          <cell r="B1403" t="str">
            <v>Basic Professional Services- EFI/Creo Training</v>
          </cell>
          <cell r="C1403">
            <v>600</v>
          </cell>
        </row>
        <row r="1404">
          <cell r="A1404" t="str">
            <v>7640015254</v>
          </cell>
          <cell r="B1404" t="str">
            <v>Professional Services- EFI Graphics Arts Training</v>
          </cell>
          <cell r="C1404">
            <v>5000</v>
          </cell>
        </row>
        <row r="1405">
          <cell r="A1405" t="str">
            <v>7640015253</v>
          </cell>
          <cell r="B1405" t="str">
            <v>Professional Services- Advanced Production Training</v>
          </cell>
          <cell r="C1405">
            <v>8000</v>
          </cell>
        </row>
        <row r="1406">
          <cell r="A1406" t="str">
            <v>7640018460</v>
          </cell>
          <cell r="B1406" t="str">
            <v>Networking Fee</v>
          </cell>
          <cell r="C1406">
            <v>1</v>
          </cell>
        </row>
        <row r="1407">
          <cell r="A1407" t="str">
            <v>7640015255</v>
          </cell>
          <cell r="B1407" t="str">
            <v>Professional Services Project Fee</v>
          </cell>
          <cell r="C1407">
            <v>1</v>
          </cell>
        </row>
        <row r="1408">
          <cell r="A1408" t="str">
            <v>PAPER SUPPLY OPTIONS:</v>
          </cell>
          <cell r="B1408">
            <v>0</v>
          </cell>
          <cell r="C1408">
            <v>0</v>
          </cell>
        </row>
        <row r="1409">
          <cell r="A1409" t="str">
            <v>A55CWY1</v>
          </cell>
          <cell r="B1409" t="str">
            <v>PF-707 Paper Feeder</v>
          </cell>
          <cell r="C1409">
            <v>10720</v>
          </cell>
        </row>
        <row r="1410">
          <cell r="A1410" t="str">
            <v>A55DWY1</v>
          </cell>
          <cell r="B1410" t="str">
            <v>PF-708 Paper Feed Unit with Doc Feeder</v>
          </cell>
          <cell r="C1410">
            <v>18000</v>
          </cell>
        </row>
        <row r="1411">
          <cell r="A1411" t="str">
            <v>A1RKWY1</v>
          </cell>
          <cell r="B1411" t="str">
            <v>HT-506 Heater Dehumidifier for PF-704/705/707/708</v>
          </cell>
          <cell r="C1411">
            <v>2332</v>
          </cell>
        </row>
        <row r="1412">
          <cell r="A1412" t="str">
            <v>A69EWY1</v>
          </cell>
          <cell r="B1412" t="str">
            <v>FA-502 PI-PFU Connection Kit</v>
          </cell>
          <cell r="C1412">
            <v>700</v>
          </cell>
        </row>
        <row r="1413">
          <cell r="A1413" t="str">
            <v>OUTPUT OPTIONS:</v>
          </cell>
          <cell r="B1413">
            <v>0</v>
          </cell>
          <cell r="C1413">
            <v>0</v>
          </cell>
        </row>
        <row r="1414">
          <cell r="A1414" t="str">
            <v>A1TUWY1</v>
          </cell>
          <cell r="B1414" t="str">
            <v>HM-101 Humidification Unit for RU-508/509/511</v>
          </cell>
          <cell r="C1414">
            <v>10600</v>
          </cell>
        </row>
        <row r="1415">
          <cell r="A1415" t="str">
            <v>A65YW11</v>
          </cell>
          <cell r="B1415" t="str">
            <v>RU-511 Decurling Relay Unit</v>
          </cell>
          <cell r="C1415">
            <v>8800</v>
          </cell>
        </row>
        <row r="1416">
          <cell r="A1416" t="str">
            <v>A4F3WY2</v>
          </cell>
          <cell r="B1416" t="str">
            <v>FS-532 100 Sheet Staple Finisher</v>
          </cell>
          <cell r="C1416">
            <v>5205</v>
          </cell>
        </row>
        <row r="1417">
          <cell r="A1417" t="str">
            <v>A4FAW12</v>
          </cell>
          <cell r="B1417" t="str">
            <v>PK-522 Punch Kit</v>
          </cell>
          <cell r="C1417">
            <v>835</v>
          </cell>
        </row>
        <row r="1418">
          <cell r="A1418" t="str">
            <v>A4F5WY1</v>
          </cell>
          <cell r="B1418" t="str">
            <v>MK-732 (mount kit for PI-502)</v>
          </cell>
          <cell r="C1418">
            <v>445</v>
          </cell>
        </row>
        <row r="1419">
          <cell r="A1419" t="str">
            <v>A4F4WY1</v>
          </cell>
          <cell r="B1419" t="str">
            <v>SD-510 Saddle Stitch Kit</v>
          </cell>
          <cell r="C1419">
            <v>1977</v>
          </cell>
        </row>
        <row r="1420">
          <cell r="A1420" t="str">
            <v>A0H0W11</v>
          </cell>
          <cell r="B1420" t="str">
            <v>FD-503 Multi Folding Unit</v>
          </cell>
          <cell r="C1420">
            <v>18921</v>
          </cell>
        </row>
        <row r="1421">
          <cell r="A1421" t="str">
            <v>A0H2WY2</v>
          </cell>
          <cell r="B1421" t="str">
            <v>SD-506 Saddle Stitch Unit</v>
          </cell>
          <cell r="C1421">
            <v>27825</v>
          </cell>
        </row>
        <row r="1422">
          <cell r="A1422" t="str">
            <v>A660WY1</v>
          </cell>
          <cell r="B1422" t="str">
            <v>LS-506 Large Stacker Unit</v>
          </cell>
          <cell r="C1422">
            <v>19058</v>
          </cell>
        </row>
        <row r="1423">
          <cell r="A1423" t="str">
            <v>A15XW11</v>
          </cell>
          <cell r="B1423" t="str">
            <v>PB-503 Perfect Binder</v>
          </cell>
          <cell r="C1423">
            <v>44838</v>
          </cell>
        </row>
        <row r="1424">
          <cell r="A1424" t="str">
            <v>A0N9W11</v>
          </cell>
          <cell r="B1424" t="str">
            <v>GP-501 GBC Punch Unit (punch dies sold separately)</v>
          </cell>
          <cell r="C1424">
            <v>18232</v>
          </cell>
        </row>
        <row r="1425">
          <cell r="A1425" t="str">
            <v>A4F6W12</v>
          </cell>
          <cell r="B1425" t="str">
            <v>GP-502 Ring Binder</v>
          </cell>
          <cell r="C1425">
            <v>29000</v>
          </cell>
        </row>
        <row r="1426">
          <cell r="A1426" t="str">
            <v>A4F7WY1</v>
          </cell>
          <cell r="B1426" t="str">
            <v>RB-101 Binding Element for GP-502 - BLACK (1,000 pcs)</v>
          </cell>
          <cell r="C1426">
            <v>600</v>
          </cell>
        </row>
        <row r="1427">
          <cell r="A1427" t="str">
            <v>A4F7WY2</v>
          </cell>
          <cell r="B1427" t="str">
            <v>RB-101 Binding Element for GP-502 - CLEAR (1,000 pcs)</v>
          </cell>
          <cell r="C1427">
            <v>600</v>
          </cell>
        </row>
        <row r="1428">
          <cell r="A1428" t="str">
            <v>A4F7WY3</v>
          </cell>
          <cell r="B1428" t="str">
            <v>RB-101 Binding Element for GP-502 - WHITE (1,000 pcs)</v>
          </cell>
          <cell r="C1428">
            <v>600</v>
          </cell>
        </row>
        <row r="1429">
          <cell r="A1429" t="str">
            <v>A4F7WY4</v>
          </cell>
          <cell r="B1429" t="str">
            <v>RB-101 Binding Element for GP-502 - NAVY (1,000 pcs)</v>
          </cell>
          <cell r="C1429">
            <v>600</v>
          </cell>
        </row>
        <row r="1430">
          <cell r="A1430" t="str">
            <v>A4FCWY1</v>
          </cell>
          <cell r="B1430" t="str">
            <v>RU-510 Relay Unit</v>
          </cell>
          <cell r="C1430">
            <v>2980</v>
          </cell>
        </row>
        <row r="1431">
          <cell r="A1431" t="str">
            <v>A1AHWY2</v>
          </cell>
          <cell r="B1431" t="str">
            <v>LC-501 Additional Cart for LS-505</v>
          </cell>
          <cell r="C1431">
            <v>890</v>
          </cell>
        </row>
        <row r="1432">
          <cell r="A1432" t="str">
            <v>A0NAW11</v>
          </cell>
          <cell r="B1432" t="str">
            <v>DS-501 3 Hole Punch Die</v>
          </cell>
          <cell r="C1432">
            <v>1484</v>
          </cell>
        </row>
        <row r="1433">
          <cell r="A1433" t="str">
            <v>A0NCW11</v>
          </cell>
          <cell r="B1433" t="str">
            <v>DS-502 19 Hole Cerlox Punch Die</v>
          </cell>
          <cell r="C1433">
            <v>1484</v>
          </cell>
        </row>
        <row r="1434">
          <cell r="A1434" t="str">
            <v>A0NDW11</v>
          </cell>
          <cell r="B1434" t="str">
            <v>DS-503 32 Hole Wirebind Punch Die</v>
          </cell>
          <cell r="C1434">
            <v>1484</v>
          </cell>
        </row>
        <row r="1435">
          <cell r="A1435" t="str">
            <v>A0NEW11</v>
          </cell>
          <cell r="B1435" t="str">
            <v>DS-504 21 Hole Wirebind Punch Die</v>
          </cell>
          <cell r="C1435">
            <v>1484</v>
          </cell>
        </row>
        <row r="1436">
          <cell r="A1436" t="str">
            <v>A0NFW11</v>
          </cell>
          <cell r="B1436" t="str">
            <v>DS-505 44 Hole Color Coil Punch Die</v>
          </cell>
          <cell r="C1436">
            <v>1484</v>
          </cell>
        </row>
        <row r="1437">
          <cell r="A1437" t="str">
            <v>A0NGW11</v>
          </cell>
          <cell r="B1437" t="str">
            <v>DS-506 11 Hole Velobind Punch Die</v>
          </cell>
          <cell r="C1437">
            <v>1484</v>
          </cell>
        </row>
        <row r="1438">
          <cell r="A1438" t="str">
            <v>A0NHW11</v>
          </cell>
          <cell r="B1438" t="str">
            <v>DS-507 32 Hole Proclick Punch Die</v>
          </cell>
          <cell r="C1438">
            <v>1484</v>
          </cell>
        </row>
        <row r="1439">
          <cell r="A1439" t="str">
            <v>7714357</v>
          </cell>
          <cell r="B1439" t="str">
            <v>GBC 3-Hole DuraGlide HD Die Set</v>
          </cell>
          <cell r="C1439">
            <v>2124</v>
          </cell>
        </row>
        <row r="1440">
          <cell r="A1440" t="str">
            <v>7640017527</v>
          </cell>
          <cell r="B1440" t="str">
            <v>GBC 44 Oval Hole Die for GP-501</v>
          </cell>
          <cell r="C1440">
            <v>2015</v>
          </cell>
        </row>
        <row r="1441">
          <cell r="A1441" t="str">
            <v>7714355</v>
          </cell>
          <cell r="B1441" t="str">
            <v>GBC 19-Hole DuraGlide HD Die Set</v>
          </cell>
          <cell r="C1441">
            <v>4265</v>
          </cell>
        </row>
        <row r="1442">
          <cell r="A1442" t="str">
            <v>A6E0WY1</v>
          </cell>
          <cell r="B1442" t="str">
            <v>WT-512 Working Table</v>
          </cell>
          <cell r="C1442">
            <v>530</v>
          </cell>
        </row>
        <row r="1443">
          <cell r="A1443" t="str">
            <v>A04HWY2</v>
          </cell>
          <cell r="B1443" t="str">
            <v>PI-502 Multi-Post Inserter</v>
          </cell>
          <cell r="C1443">
            <v>1113</v>
          </cell>
        </row>
        <row r="1444">
          <cell r="A1444" t="str">
            <v>HDD OPTIONS:</v>
          </cell>
          <cell r="B1444">
            <v>0</v>
          </cell>
          <cell r="C1444">
            <v>0</v>
          </cell>
        </row>
        <row r="1445">
          <cell r="A1445" t="str">
            <v>A6DXWY1</v>
          </cell>
          <cell r="B1445" t="str">
            <v>UK-105 Upgrade Kit (Reqd whenever PF-708 is configured)</v>
          </cell>
          <cell r="C1445">
            <v>3540</v>
          </cell>
        </row>
        <row r="1446">
          <cell r="A1446" t="str">
            <v xml:space="preserve">PRINT CONTROLLER OPTIONS: </v>
          </cell>
          <cell r="B1446">
            <v>0</v>
          </cell>
          <cell r="C1446">
            <v>0</v>
          </cell>
        </row>
        <row r="1447">
          <cell r="A1447" t="str">
            <v>A6CCWY1</v>
          </cell>
          <cell r="B1447" t="str">
            <v>IC-310 Fiery Image Controller</v>
          </cell>
          <cell r="C1447">
            <v>55600</v>
          </cell>
        </row>
        <row r="1448">
          <cell r="A1448" t="str">
            <v>A6DU0Y1</v>
          </cell>
          <cell r="B1448" t="str">
            <v>IC-602C KM Image Controller</v>
          </cell>
          <cell r="C1448">
            <v>13000</v>
          </cell>
        </row>
        <row r="1449">
          <cell r="A1449" t="str">
            <v>A5UTWY1</v>
          </cell>
          <cell r="B1449" t="str">
            <v>IC-308 EFI Server Type Image Controller</v>
          </cell>
          <cell r="C1449">
            <v>30492</v>
          </cell>
        </row>
        <row r="1450">
          <cell r="A1450" t="str">
            <v>45111134</v>
          </cell>
          <cell r="B1450" t="str">
            <v>Fiery Impose</v>
          </cell>
          <cell r="C1450">
            <v>2500</v>
          </cell>
        </row>
        <row r="1451">
          <cell r="A1451" t="str">
            <v>45111136</v>
          </cell>
          <cell r="B1451" t="str">
            <v xml:space="preserve">EFI Fiery Compose S/W License </v>
          </cell>
          <cell r="C1451">
            <v>1100</v>
          </cell>
        </row>
        <row r="1452">
          <cell r="A1452" t="str">
            <v>45111138</v>
          </cell>
          <cell r="B1452" t="str">
            <v xml:space="preserve">EFI Fiery Impose-Compose S/W License </v>
          </cell>
          <cell r="C1452">
            <v>3000</v>
          </cell>
        </row>
        <row r="1453">
          <cell r="A1453" t="str">
            <v>45112179</v>
          </cell>
          <cell r="B1453" t="str">
            <v>Fiery JobMaster</v>
          </cell>
          <cell r="C1453">
            <v>3500</v>
          </cell>
        </row>
        <row r="1454">
          <cell r="A1454" t="str">
            <v>45111100</v>
          </cell>
          <cell r="B1454" t="str">
            <v>EFI Fiery Gappe(GA2)</v>
          </cell>
          <cell r="C1454">
            <v>7000</v>
          </cell>
        </row>
        <row r="1455">
          <cell r="A1455" t="str">
            <v>45052707</v>
          </cell>
          <cell r="B1455" t="str">
            <v>EFI HDD Security For PRO80</v>
          </cell>
          <cell r="C1455">
            <v>1200</v>
          </cell>
        </row>
        <row r="1456">
          <cell r="A1456" t="str">
            <v>45087436</v>
          </cell>
          <cell r="B1456" t="str">
            <v>Furniture For Fiery Server Includes Stand, Keyboard, Monitor, And Mouse</v>
          </cell>
          <cell r="C1456">
            <v>2670</v>
          </cell>
        </row>
        <row r="1457">
          <cell r="A1457" t="str">
            <v>45125832</v>
          </cell>
          <cell r="B1457" t="str">
            <v>EFI Option Bundle - 19inch FACI+CPS+Impose+Compose+Gappe</v>
          </cell>
          <cell r="C1457">
            <v>11625</v>
          </cell>
        </row>
        <row r="1458">
          <cell r="A1458" t="str">
            <v>100000006366</v>
          </cell>
          <cell r="B1458" t="str">
            <v>Fiery JobMaster Annual Support &amp; Maintenance</v>
          </cell>
          <cell r="C1458">
            <v>700</v>
          </cell>
        </row>
        <row r="1459">
          <cell r="A1459" t="str">
            <v>A5AAWY1</v>
          </cell>
          <cell r="B1459" t="str">
            <v>UK-206 Upgrade Kit (eCopy enabled)</v>
          </cell>
          <cell r="C1459">
            <v>1000</v>
          </cell>
        </row>
        <row r="1460">
          <cell r="A1460" t="str">
            <v>A5A7WY1</v>
          </cell>
          <cell r="B1460" t="str">
            <v>VI-507 Video Interface Kit</v>
          </cell>
          <cell r="C1460">
            <v>1000</v>
          </cell>
        </row>
        <row r="1461">
          <cell r="A1461" t="str">
            <v>63800214A</v>
          </cell>
          <cell r="B1461" t="str">
            <v>Action Pack Option for Creo IC-309 and IC-309m</v>
          </cell>
          <cell r="C1461">
            <v>5200</v>
          </cell>
        </row>
        <row r="1462">
          <cell r="A1462" t="str">
            <v>63800212A</v>
          </cell>
          <cell r="B1462" t="str">
            <v>Fast Pack Option for Creo IC-309 and IC-309m</v>
          </cell>
          <cell r="C1462">
            <v>5200</v>
          </cell>
        </row>
        <row r="1463">
          <cell r="A1463" t="str">
            <v>63800196A</v>
          </cell>
          <cell r="B1463" t="str">
            <v>Match Pack Option for Creo IC-309</v>
          </cell>
          <cell r="C1463">
            <v>5200</v>
          </cell>
        </row>
        <row r="1464">
          <cell r="A1464" t="str">
            <v>63800862A</v>
          </cell>
          <cell r="B1464" t="str">
            <v>Preps Pack Option for Creo IC-309 and IC-309m</v>
          </cell>
          <cell r="C1464">
            <v>2395</v>
          </cell>
        </row>
        <row r="1465">
          <cell r="A1465" t="str">
            <v>63900267A</v>
          </cell>
          <cell r="B1465" t="str">
            <v>Trans Pack Option for Creo IC-312 and IC-312m</v>
          </cell>
          <cell r="C1465">
            <v>16595</v>
          </cell>
        </row>
        <row r="1466">
          <cell r="A1466" t="str">
            <v>IC312</v>
          </cell>
          <cell r="B1466" t="str">
            <v>Creo IC-312 Controller for C1100 Series</v>
          </cell>
          <cell r="C1466">
            <v>32850</v>
          </cell>
        </row>
        <row r="1467">
          <cell r="A1467" t="str">
            <v>MISC. OPTIONS:</v>
          </cell>
          <cell r="B1467">
            <v>0</v>
          </cell>
          <cell r="C1467">
            <v>0</v>
          </cell>
        </row>
        <row r="1468">
          <cell r="A1468" t="str">
            <v>LES402A</v>
          </cell>
          <cell r="B1468" t="str">
            <v>PATLITE STATUS LIGHT KIT FOR BIZHUB PRESS MODELS</v>
          </cell>
          <cell r="C1468">
            <v>350</v>
          </cell>
        </row>
        <row r="1469">
          <cell r="A1469" t="str">
            <v>XGPCSL630KM</v>
          </cell>
          <cell r="B1469" t="str">
            <v>ESP Diagnostic Power Filter 240V/30A</v>
          </cell>
          <cell r="C1469">
            <v>1059</v>
          </cell>
        </row>
        <row r="1470">
          <cell r="A1470" t="str">
            <v>XGPCS15DKM</v>
          </cell>
          <cell r="B1470" t="str">
            <v>ESP Diagnostic Power Filter 120V/15A</v>
          </cell>
          <cell r="C1470">
            <v>275</v>
          </cell>
        </row>
        <row r="1471">
          <cell r="A1471" t="str">
            <v>SMT1500</v>
          </cell>
          <cell r="B1471" t="str">
            <v>APC Smart UPS 1500VA - Tower</v>
          </cell>
          <cell r="C1471">
            <v>498</v>
          </cell>
        </row>
        <row r="1472">
          <cell r="A1472" t="str">
            <v>7640019042</v>
          </cell>
          <cell r="B1472" t="str">
            <v>bizhub PRESS Starter Kit</v>
          </cell>
          <cell r="C1472">
            <v>200</v>
          </cell>
        </row>
        <row r="1473">
          <cell r="A1473" t="str">
            <v>ORU:</v>
          </cell>
          <cell r="B1473">
            <v>0</v>
          </cell>
          <cell r="C1473">
            <v>0</v>
          </cell>
        </row>
        <row r="1474">
          <cell r="A1474" t="str">
            <v>7640018666</v>
          </cell>
          <cell r="B1474" t="str">
            <v>ORU Operator Training (1 Day)</v>
          </cell>
          <cell r="C1474">
            <v>650</v>
          </cell>
        </row>
        <row r="1475">
          <cell r="A1475" t="str">
            <v>A6J6WY1</v>
          </cell>
          <cell r="B1475" t="str">
            <v>OR-102 ORU Enablement Accesory Board</v>
          </cell>
          <cell r="C1475">
            <v>825</v>
          </cell>
        </row>
        <row r="1476">
          <cell r="A1476">
            <v>0</v>
          </cell>
          <cell r="B1476">
            <v>0</v>
          </cell>
          <cell r="C1476">
            <v>0</v>
          </cell>
        </row>
        <row r="1477">
          <cell r="A1477" t="str">
            <v>COLOR MANAGEMENT TOOLS:</v>
          </cell>
          <cell r="B1477">
            <v>0</v>
          </cell>
          <cell r="C1477">
            <v>0</v>
          </cell>
        </row>
        <row r="1478">
          <cell r="A1478" t="str">
            <v>9967001680</v>
          </cell>
          <cell r="B1478" t="str">
            <v>Color Care 2 Suite  Bundle with bizhub Press</v>
          </cell>
          <cell r="C1478">
            <v>1090</v>
          </cell>
        </row>
        <row r="1479">
          <cell r="A1479" t="str">
            <v>KMCURVECORE</v>
          </cell>
          <cell r="B1479" t="str">
            <v>Color Care Curve Core Optional Tool</v>
          </cell>
          <cell r="C1479">
            <v>1199</v>
          </cell>
        </row>
        <row r="1480">
          <cell r="A1480" t="str">
            <v>760000002917</v>
          </cell>
          <cell r="B1480" t="str">
            <v>FD-5,HARDWARE ONLY</v>
          </cell>
          <cell r="C1480">
            <v>2500</v>
          </cell>
        </row>
        <row r="1481">
          <cell r="A1481" t="str">
            <v>7640015017</v>
          </cell>
          <cell r="B1481" t="str">
            <v>XRITE I1 ISIS XL SPECTRO SCANNER</v>
          </cell>
          <cell r="C1481">
            <v>3995</v>
          </cell>
        </row>
        <row r="1482">
          <cell r="A1482" t="str">
            <v>EO2AST</v>
          </cell>
          <cell r="B1482" t="str">
            <v>i1iO AUTOMATED SCANNING TABLE 2ND GEN</v>
          </cell>
          <cell r="C1482">
            <v>2495</v>
          </cell>
        </row>
        <row r="1483">
          <cell r="A1483" t="str">
            <v>EO2BAS</v>
          </cell>
          <cell r="B1483" t="str">
            <v xml:space="preserve">i1Pro 2 SPECTROPHOTOMETER </v>
          </cell>
          <cell r="C1483">
            <v>1348</v>
          </cell>
        </row>
        <row r="1484">
          <cell r="A1484" t="str">
            <v>7640015919</v>
          </cell>
          <cell r="B1484" t="str">
            <v>GTI PDV3EKM Lightbox</v>
          </cell>
          <cell r="C1484">
            <v>780</v>
          </cell>
        </row>
        <row r="1485">
          <cell r="A1485" t="str">
            <v>7640015921</v>
          </cell>
          <cell r="B1485" t="str">
            <v>GTI L217 Relamp Kit for PDV Lightboxes</v>
          </cell>
          <cell r="C1485">
            <v>70</v>
          </cell>
        </row>
        <row r="1486">
          <cell r="A1486" t="str">
            <v>3000005452</v>
          </cell>
          <cell r="B1486" t="str">
            <v>Fiery Color Profiler Suite V 4.0 with ES-2000 Spectrophotometer</v>
          </cell>
          <cell r="C1486">
            <v>3400</v>
          </cell>
        </row>
        <row r="1487">
          <cell r="A1487" t="str">
            <v>3000005453</v>
          </cell>
          <cell r="B1487" t="str">
            <v>EFI Color Profiler Suite V4.x Software Only</v>
          </cell>
          <cell r="C1487">
            <v>2300</v>
          </cell>
        </row>
        <row r="1488">
          <cell r="A1488" t="str">
            <v>3000005455</v>
          </cell>
          <cell r="B1488" t="str">
            <v>SB Kit Fiery CPS Upgrade V3.X To V4.0</v>
          </cell>
          <cell r="C1488">
            <v>899</v>
          </cell>
        </row>
        <row r="1489">
          <cell r="A1489" t="str">
            <v>45109642</v>
          </cell>
          <cell r="B1489" t="str">
            <v>ES-2000 Spectrophotometer</v>
          </cell>
          <cell r="C1489">
            <v>1348</v>
          </cell>
        </row>
        <row r="1490">
          <cell r="A1490" t="str">
            <v>ORU:</v>
          </cell>
          <cell r="B1490">
            <v>0</v>
          </cell>
          <cell r="C1490">
            <v>0</v>
          </cell>
        </row>
        <row r="1491">
          <cell r="A1491" t="str">
            <v>7640015694</v>
          </cell>
          <cell r="B1491" t="str">
            <v>G7 Advanced Color Integration (Digital or Offset)</v>
          </cell>
          <cell r="C1491">
            <v>10000</v>
          </cell>
        </row>
        <row r="1492">
          <cell r="A1492" t="str">
            <v>7640015693</v>
          </cell>
          <cell r="B1492" t="str">
            <v>G7 Advanced Color Integration (Offset or Digital)</v>
          </cell>
          <cell r="C1492">
            <v>8000</v>
          </cell>
        </row>
        <row r="1493">
          <cell r="A1493" t="str">
            <v>7640015695</v>
          </cell>
          <cell r="B1493" t="str">
            <v xml:space="preserve">G7 Advanced Color Integration (Digtal Only) - G7                     Master Re-Qualification ((Digital or Offset)   </v>
          </cell>
          <cell r="C1493">
            <v>2500</v>
          </cell>
        </row>
        <row r="1494">
          <cell r="A1494" t="str">
            <v>7640015983</v>
          </cell>
          <cell r="B1494" t="str">
            <v>Color Care Professional Service 1 day</v>
          </cell>
          <cell r="C1494">
            <v>2499</v>
          </cell>
        </row>
        <row r="1495">
          <cell r="A1495" t="str">
            <v>7640019184</v>
          </cell>
          <cell r="B1495" t="str">
            <v>CMP FUNDAMENTALS</v>
          </cell>
          <cell r="C1495">
            <v>395</v>
          </cell>
        </row>
        <row r="1496">
          <cell r="A1496" t="str">
            <v>7640019185</v>
          </cell>
          <cell r="B1496" t="str">
            <v>CMP CREATIVE</v>
          </cell>
          <cell r="C1496">
            <v>295</v>
          </cell>
        </row>
        <row r="1497">
          <cell r="A1497" t="str">
            <v>7640019186</v>
          </cell>
          <cell r="B1497" t="str">
            <v>CMP SALES</v>
          </cell>
          <cell r="C1497">
            <v>295</v>
          </cell>
        </row>
        <row r="1498">
          <cell r="A1498" t="str">
            <v>7640019187</v>
          </cell>
          <cell r="B1498" t="str">
            <v>G7 NEW QUALIFICATION APPLICATION FEE</v>
          </cell>
          <cell r="C1498">
            <v>500</v>
          </cell>
        </row>
        <row r="1499">
          <cell r="A1499" t="str">
            <v>7640019188</v>
          </cell>
          <cell r="B1499" t="str">
            <v>G7 NETWORK MEMBERSHIP FEE (YEARLY DUES)</v>
          </cell>
          <cell r="C1499">
            <v>450</v>
          </cell>
        </row>
        <row r="1500">
          <cell r="A1500" t="str">
            <v>7640019189</v>
          </cell>
          <cell r="B1500" t="str">
            <v>G7 RENEWAL FEE</v>
          </cell>
          <cell r="C1500">
            <v>200</v>
          </cell>
        </row>
        <row r="1501">
          <cell r="A1501" t="str">
            <v>7640019190</v>
          </cell>
          <cell r="B1501" t="str">
            <v>G7 ADDITIONAL QUALIFICATIONS (EACH)</v>
          </cell>
          <cell r="C1501">
            <v>80</v>
          </cell>
        </row>
        <row r="1502">
          <cell r="A1502" t="str">
            <v>BDSIMG</v>
          </cell>
          <cell r="B1502" t="str">
            <v>BDS Consultancy Services per day</v>
          </cell>
          <cell r="C1502">
            <v>2500</v>
          </cell>
        </row>
      </sheetData>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4:C29"/>
  <sheetViews>
    <sheetView topLeftCell="B1" workbookViewId="0">
      <selection activeCell="B12" sqref="B12"/>
    </sheetView>
  </sheetViews>
  <sheetFormatPr defaultRowHeight="12.75"/>
  <sheetData>
    <row r="4" spans="3:3">
      <c r="C4" t="s">
        <v>0</v>
      </c>
    </row>
    <row r="5" spans="3:3">
      <c r="C5" t="s">
        <v>25</v>
      </c>
    </row>
    <row r="6" spans="3:3">
      <c r="C6" t="s">
        <v>24</v>
      </c>
    </row>
    <row r="7" spans="3:3">
      <c r="C7" t="s">
        <v>21</v>
      </c>
    </row>
    <row r="8" spans="3:3">
      <c r="C8" t="s">
        <v>22</v>
      </c>
    </row>
    <row r="9" spans="3:3">
      <c r="C9" t="s">
        <v>18</v>
      </c>
    </row>
    <row r="10" spans="3:3">
      <c r="C10" t="s">
        <v>17</v>
      </c>
    </row>
    <row r="11" spans="3:3">
      <c r="C11" t="s">
        <v>11</v>
      </c>
    </row>
    <row r="12" spans="3:3">
      <c r="C12" t="s">
        <v>13</v>
      </c>
    </row>
    <row r="13" spans="3:3">
      <c r="C13" t="s">
        <v>14</v>
      </c>
    </row>
    <row r="14" spans="3:3">
      <c r="C14" t="s">
        <v>15</v>
      </c>
    </row>
    <row r="15" spans="3:3">
      <c r="C15" t="s">
        <v>12</v>
      </c>
    </row>
    <row r="16" spans="3:3">
      <c r="C16" t="s">
        <v>1</v>
      </c>
    </row>
    <row r="17" spans="3:3">
      <c r="C17" t="s">
        <v>16</v>
      </c>
    </row>
    <row r="18" spans="3:3">
      <c r="C18" t="s">
        <v>8</v>
      </c>
    </row>
    <row r="19" spans="3:3">
      <c r="C19" t="s">
        <v>10</v>
      </c>
    </row>
    <row r="20" spans="3:3">
      <c r="C20" t="s">
        <v>2</v>
      </c>
    </row>
    <row r="21" spans="3:3">
      <c r="C21" t="s">
        <v>3</v>
      </c>
    </row>
    <row r="22" spans="3:3">
      <c r="C22" t="s">
        <v>9</v>
      </c>
    </row>
    <row r="23" spans="3:3">
      <c r="C23" t="s">
        <v>4</v>
      </c>
    </row>
    <row r="24" spans="3:3">
      <c r="C24" t="s">
        <v>5</v>
      </c>
    </row>
    <row r="25" spans="3:3">
      <c r="C25" t="s">
        <v>7</v>
      </c>
    </row>
    <row r="26" spans="3:3">
      <c r="C26" t="s">
        <v>19</v>
      </c>
    </row>
    <row r="27" spans="3:3">
      <c r="C27" t="s">
        <v>6</v>
      </c>
    </row>
    <row r="28" spans="3:3">
      <c r="C28" t="s">
        <v>23</v>
      </c>
    </row>
    <row r="29" spans="3:3">
      <c r="C29" t="s">
        <v>20</v>
      </c>
    </row>
  </sheetData>
  <phoneticPr fontId="5"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381"/>
  <sheetViews>
    <sheetView showGridLines="0" zoomScale="75" workbookViewId="0">
      <selection activeCell="H7" sqref="H7"/>
    </sheetView>
  </sheetViews>
  <sheetFormatPr defaultColWidth="9.140625" defaultRowHeight="12.75"/>
  <cols>
    <col min="1" max="1" width="7.42578125" style="17" bestFit="1" customWidth="1"/>
    <col min="2" max="2" width="9.42578125" style="18" customWidth="1"/>
    <col min="3" max="3" width="15.85546875" style="19" customWidth="1"/>
    <col min="4" max="4" width="42.5703125" style="20" customWidth="1"/>
    <col min="5" max="5" width="10.42578125" style="21" customWidth="1"/>
    <col min="6" max="6" width="12.42578125" style="21" customWidth="1"/>
    <col min="7" max="7" width="14.42578125" style="23" customWidth="1"/>
    <col min="8" max="8" width="7.140625" style="23" customWidth="1"/>
    <col min="9" max="17" width="9.140625" style="20" customWidth="1"/>
    <col min="18" max="16384" width="9.140625" style="20"/>
  </cols>
  <sheetData>
    <row r="1" spans="1:12">
      <c r="F1" s="22"/>
    </row>
    <row r="2" spans="1:12" ht="12.75" customHeight="1"/>
    <row r="4" spans="1:12" ht="13.5" customHeight="1"/>
    <row r="5" spans="1:12" ht="12.75" customHeight="1"/>
    <row r="6" spans="1:12" ht="27.75" customHeight="1">
      <c r="C6" s="24"/>
    </row>
    <row r="7" spans="1:12" ht="16.5" customHeight="1">
      <c r="C7" s="25"/>
    </row>
    <row r="8" spans="1:12" ht="33.75" customHeight="1"/>
    <row r="9" spans="1:12" s="30" customFormat="1" ht="16.5" customHeight="1">
      <c r="A9" s="2"/>
      <c r="B9" s="26"/>
      <c r="C9" s="27"/>
      <c r="D9" s="28"/>
      <c r="E9" s="26"/>
      <c r="F9" s="26"/>
      <c r="G9" s="29"/>
      <c r="H9" s="29"/>
    </row>
    <row r="10" spans="1:12" s="30" customFormat="1" ht="25.5" customHeight="1">
      <c r="A10" s="2"/>
      <c r="B10" s="26"/>
      <c r="C10" s="27"/>
      <c r="D10" s="28"/>
      <c r="E10" s="26"/>
      <c r="F10" s="26"/>
      <c r="G10" s="400"/>
      <c r="H10" s="29"/>
    </row>
    <row r="11" spans="1:12" s="33" customFormat="1" ht="71.25" customHeight="1">
      <c r="A11" s="2"/>
      <c r="B11" s="26"/>
      <c r="C11" s="31"/>
      <c r="D11" s="32"/>
      <c r="E11" s="26"/>
      <c r="F11" s="26"/>
      <c r="G11" s="401"/>
      <c r="H11" s="29"/>
    </row>
    <row r="12" spans="1:12" s="1" customFormat="1">
      <c r="A12" s="2"/>
      <c r="B12" s="5"/>
      <c r="C12" s="6"/>
      <c r="D12" s="7"/>
      <c r="E12" s="7"/>
      <c r="F12" s="7"/>
      <c r="G12" s="34"/>
      <c r="H12" s="8"/>
      <c r="L12" s="35"/>
    </row>
    <row r="13" spans="1:12" s="1" customFormat="1">
      <c r="A13" s="2"/>
      <c r="B13" s="5"/>
      <c r="C13" s="6"/>
      <c r="D13" s="36"/>
      <c r="E13" s="7"/>
      <c r="F13" s="7"/>
      <c r="G13" s="8"/>
      <c r="H13" s="8"/>
      <c r="L13" s="35"/>
    </row>
    <row r="14" spans="1:12" s="1" customFormat="1" ht="12">
      <c r="A14" s="2"/>
      <c r="B14" s="5"/>
      <c r="C14" s="9"/>
      <c r="D14" s="14"/>
      <c r="E14" s="15"/>
      <c r="F14" s="15"/>
      <c r="G14" s="16"/>
      <c r="H14" s="16"/>
      <c r="L14" s="35"/>
    </row>
    <row r="15" spans="1:12" s="1" customFormat="1" ht="12">
      <c r="A15" s="2"/>
      <c r="B15" s="5"/>
      <c r="C15" s="10"/>
      <c r="E15" s="11"/>
      <c r="F15" s="11"/>
      <c r="G15" s="12"/>
      <c r="H15" s="12"/>
      <c r="L15" s="35"/>
    </row>
    <row r="16" spans="1:12" s="1" customFormat="1" ht="12">
      <c r="A16" s="2"/>
      <c r="B16" s="5"/>
      <c r="C16" s="10"/>
      <c r="E16" s="11"/>
      <c r="F16" s="11"/>
      <c r="G16" s="12"/>
      <c r="H16" s="12"/>
      <c r="L16" s="35"/>
    </row>
    <row r="17" spans="1:12" s="1" customFormat="1" ht="12">
      <c r="A17" s="2"/>
      <c r="B17" s="5"/>
      <c r="C17" s="9"/>
      <c r="D17" s="14"/>
      <c r="E17" s="15"/>
      <c r="F17" s="15"/>
      <c r="G17" s="16"/>
      <c r="H17" s="16"/>
      <c r="L17" s="35"/>
    </row>
    <row r="18" spans="1:12" s="1" customFormat="1" ht="12">
      <c r="A18" s="2"/>
      <c r="B18" s="5"/>
      <c r="C18" s="10"/>
      <c r="E18" s="11"/>
      <c r="F18" s="11"/>
      <c r="G18" s="12"/>
      <c r="H18" s="12"/>
      <c r="L18" s="35"/>
    </row>
    <row r="19" spans="1:12" s="1" customFormat="1" ht="12">
      <c r="A19" s="2"/>
      <c r="B19" s="5"/>
      <c r="C19" s="10"/>
      <c r="E19" s="11"/>
      <c r="F19" s="11"/>
      <c r="G19" s="12"/>
      <c r="H19" s="12"/>
      <c r="L19" s="35"/>
    </row>
    <row r="20" spans="1:12" s="1" customFormat="1" ht="12">
      <c r="A20" s="2"/>
      <c r="B20" s="5"/>
      <c r="C20" s="10"/>
      <c r="E20" s="11"/>
      <c r="F20" s="11"/>
      <c r="G20" s="12"/>
      <c r="H20" s="12"/>
      <c r="L20" s="35"/>
    </row>
    <row r="21" spans="1:12" s="1" customFormat="1" ht="12">
      <c r="A21" s="2"/>
      <c r="B21" s="5"/>
      <c r="C21" s="10"/>
      <c r="E21" s="11"/>
      <c r="F21" s="11"/>
      <c r="G21" s="12"/>
      <c r="H21" s="12"/>
      <c r="L21" s="35"/>
    </row>
    <row r="22" spans="1:12" s="1" customFormat="1" ht="12">
      <c r="A22" s="2"/>
      <c r="B22" s="5"/>
      <c r="C22" s="9"/>
      <c r="D22" s="14"/>
      <c r="E22" s="15"/>
      <c r="F22" s="15"/>
      <c r="G22" s="16"/>
      <c r="H22" s="16"/>
      <c r="L22" s="35"/>
    </row>
    <row r="23" spans="1:12" s="1" customFormat="1" ht="12">
      <c r="A23" s="2"/>
      <c r="B23" s="5"/>
      <c r="C23" s="10"/>
      <c r="E23" s="11"/>
      <c r="F23" s="11"/>
      <c r="G23" s="12"/>
      <c r="H23" s="12"/>
      <c r="L23" s="35"/>
    </row>
    <row r="24" spans="1:12" s="1" customFormat="1" ht="12">
      <c r="A24" s="2"/>
      <c r="B24" s="5"/>
      <c r="C24" s="10"/>
      <c r="E24" s="11"/>
      <c r="F24" s="11"/>
      <c r="G24" s="12"/>
      <c r="H24" s="12"/>
      <c r="L24" s="35"/>
    </row>
    <row r="25" spans="1:12" s="1" customFormat="1" ht="12">
      <c r="A25" s="2"/>
      <c r="B25" s="5"/>
      <c r="C25" s="10"/>
      <c r="E25" s="11"/>
      <c r="F25" s="11"/>
      <c r="G25" s="12"/>
      <c r="H25" s="12"/>
      <c r="L25" s="35"/>
    </row>
    <row r="26" spans="1:12" s="1" customFormat="1" ht="12">
      <c r="A26" s="2"/>
      <c r="B26" s="5"/>
      <c r="C26" s="10"/>
      <c r="E26" s="11"/>
      <c r="F26" s="11"/>
      <c r="G26" s="12"/>
      <c r="H26" s="12"/>
      <c r="L26" s="35"/>
    </row>
    <row r="27" spans="1:12" s="1" customFormat="1" ht="12">
      <c r="A27" s="2"/>
      <c r="B27" s="5"/>
      <c r="C27" s="10"/>
      <c r="E27" s="11"/>
      <c r="F27" s="11"/>
      <c r="G27" s="12"/>
      <c r="H27" s="12"/>
      <c r="L27" s="35"/>
    </row>
    <row r="28" spans="1:12" s="1" customFormat="1" ht="12">
      <c r="A28" s="2"/>
      <c r="B28" s="5"/>
      <c r="C28" s="10"/>
      <c r="D28" s="37"/>
      <c r="E28" s="11"/>
      <c r="F28" s="11"/>
      <c r="G28" s="12"/>
      <c r="H28" s="12"/>
      <c r="L28" s="35"/>
    </row>
    <row r="29" spans="1:12" s="1" customFormat="1" ht="12">
      <c r="A29" s="2"/>
      <c r="B29" s="5"/>
      <c r="C29" s="9"/>
      <c r="E29" s="11"/>
      <c r="F29" s="11"/>
      <c r="G29" s="12"/>
      <c r="H29" s="12"/>
      <c r="L29" s="35"/>
    </row>
    <row r="30" spans="1:12" s="1" customFormat="1" ht="12">
      <c r="A30" s="2"/>
      <c r="B30" s="5"/>
      <c r="C30" s="10"/>
      <c r="E30" s="11"/>
      <c r="F30" s="11"/>
      <c r="G30" s="12"/>
      <c r="H30" s="12"/>
      <c r="L30" s="35"/>
    </row>
    <row r="31" spans="1:12" s="1" customFormat="1" ht="12">
      <c r="A31" s="2"/>
      <c r="B31" s="5"/>
      <c r="C31" s="10"/>
      <c r="E31" s="11"/>
      <c r="F31" s="11"/>
      <c r="G31" s="12"/>
      <c r="H31" s="12"/>
      <c r="L31" s="35"/>
    </row>
    <row r="32" spans="1:12" s="1" customFormat="1" ht="12">
      <c r="A32" s="2"/>
      <c r="B32" s="5"/>
      <c r="C32" s="10"/>
      <c r="E32" s="11"/>
      <c r="F32" s="11"/>
      <c r="G32" s="12"/>
      <c r="H32" s="12"/>
      <c r="L32" s="35"/>
    </row>
    <row r="33" spans="1:12" s="3" customFormat="1" ht="12">
      <c r="A33" s="2"/>
      <c r="B33" s="5"/>
      <c r="C33" s="10"/>
      <c r="D33" s="1"/>
      <c r="E33" s="11"/>
      <c r="F33" s="11"/>
      <c r="G33" s="12"/>
      <c r="H33" s="12"/>
      <c r="L33" s="35"/>
    </row>
    <row r="34" spans="1:12" s="1" customFormat="1" ht="12">
      <c r="A34" s="2"/>
      <c r="B34" s="5"/>
      <c r="C34" s="9"/>
      <c r="E34" s="11"/>
      <c r="F34" s="11"/>
      <c r="G34" s="12"/>
      <c r="H34" s="12"/>
      <c r="L34" s="35"/>
    </row>
    <row r="35" spans="1:12" s="1" customFormat="1" ht="12">
      <c r="A35" s="2"/>
      <c r="B35" s="5"/>
      <c r="C35" s="10"/>
      <c r="E35" s="11"/>
      <c r="F35" s="11"/>
      <c r="G35" s="12"/>
      <c r="H35" s="12"/>
      <c r="L35" s="35"/>
    </row>
    <row r="36" spans="1:12" s="1" customFormat="1" ht="12">
      <c r="A36" s="2"/>
      <c r="B36" s="5"/>
      <c r="C36" s="9"/>
      <c r="E36" s="11"/>
      <c r="F36" s="11"/>
      <c r="G36" s="12"/>
      <c r="H36" s="12"/>
      <c r="L36" s="35"/>
    </row>
    <row r="37" spans="1:12" s="1" customFormat="1" ht="12">
      <c r="A37" s="2"/>
      <c r="B37" s="5"/>
      <c r="C37" s="10"/>
      <c r="E37" s="11"/>
      <c r="F37" s="11"/>
      <c r="G37" s="12"/>
      <c r="H37" s="12"/>
      <c r="L37" s="35"/>
    </row>
    <row r="38" spans="1:12" s="1" customFormat="1" ht="12">
      <c r="A38" s="2"/>
      <c r="B38" s="5"/>
      <c r="C38" s="10"/>
      <c r="E38" s="11"/>
      <c r="F38" s="11"/>
      <c r="G38" s="12"/>
      <c r="H38" s="12"/>
      <c r="L38" s="35"/>
    </row>
    <row r="39" spans="1:12" s="1" customFormat="1" ht="12">
      <c r="A39" s="2"/>
      <c r="B39" s="5"/>
      <c r="C39" s="10"/>
      <c r="E39" s="11"/>
      <c r="F39" s="11"/>
      <c r="G39" s="12"/>
      <c r="H39" s="12"/>
      <c r="L39" s="35"/>
    </row>
    <row r="40" spans="1:12" s="1" customFormat="1" ht="12">
      <c r="A40" s="2"/>
      <c r="B40" s="5"/>
      <c r="C40" s="10"/>
      <c r="E40" s="11"/>
      <c r="F40" s="11"/>
      <c r="G40" s="12"/>
      <c r="H40" s="12"/>
      <c r="L40" s="35"/>
    </row>
    <row r="41" spans="1:12" s="1" customFormat="1" ht="12">
      <c r="A41" s="2"/>
      <c r="B41" s="5"/>
      <c r="C41" s="9"/>
      <c r="D41" s="14"/>
      <c r="E41" s="15"/>
      <c r="F41" s="15"/>
      <c r="G41" s="16"/>
      <c r="H41" s="16"/>
      <c r="L41" s="35"/>
    </row>
    <row r="42" spans="1:12" s="1" customFormat="1" ht="12">
      <c r="A42" s="2"/>
      <c r="B42" s="5"/>
      <c r="C42" s="13"/>
      <c r="E42" s="11"/>
      <c r="F42" s="11"/>
      <c r="G42" s="12"/>
      <c r="H42" s="12"/>
      <c r="L42" s="35"/>
    </row>
    <row r="43" spans="1:12" s="1" customFormat="1" ht="12">
      <c r="A43" s="2"/>
      <c r="B43" s="5"/>
      <c r="C43" s="10"/>
      <c r="E43" s="11"/>
      <c r="F43" s="11"/>
      <c r="G43" s="12"/>
      <c r="H43" s="12"/>
      <c r="L43" s="35"/>
    </row>
    <row r="44" spans="1:12" s="1" customFormat="1" ht="12">
      <c r="A44" s="2"/>
      <c r="B44" s="5"/>
      <c r="C44" s="10"/>
      <c r="E44" s="11"/>
      <c r="F44" s="11"/>
      <c r="G44" s="12"/>
      <c r="H44" s="12"/>
      <c r="L44" s="35"/>
    </row>
    <row r="45" spans="1:12" s="1" customFormat="1" ht="12">
      <c r="A45" s="2"/>
      <c r="B45" s="5"/>
      <c r="C45" s="10"/>
      <c r="E45" s="11"/>
      <c r="F45" s="11"/>
      <c r="G45" s="12"/>
      <c r="H45" s="12"/>
      <c r="L45" s="35"/>
    </row>
    <row r="46" spans="1:12" s="1" customFormat="1" ht="12">
      <c r="A46" s="2"/>
      <c r="B46" s="5"/>
      <c r="C46" s="10"/>
      <c r="E46" s="11"/>
      <c r="F46" s="11"/>
      <c r="G46" s="12"/>
      <c r="H46" s="12"/>
      <c r="L46" s="35"/>
    </row>
    <row r="47" spans="1:12" s="1" customFormat="1" ht="12">
      <c r="A47" s="2"/>
      <c r="B47" s="5"/>
      <c r="C47" s="10"/>
      <c r="E47" s="11"/>
      <c r="F47" s="11"/>
      <c r="G47" s="12"/>
      <c r="H47" s="12"/>
      <c r="L47" s="35"/>
    </row>
    <row r="48" spans="1:12" s="1" customFormat="1" ht="12">
      <c r="A48" s="2"/>
      <c r="B48" s="5"/>
      <c r="C48" s="10"/>
      <c r="E48" s="11"/>
      <c r="F48" s="11"/>
      <c r="G48" s="12"/>
      <c r="H48" s="12"/>
      <c r="L48" s="35"/>
    </row>
    <row r="49" spans="1:12" s="1" customFormat="1" ht="12">
      <c r="A49" s="2"/>
      <c r="B49" s="5"/>
      <c r="C49" s="13"/>
      <c r="E49" s="11"/>
      <c r="F49" s="11"/>
      <c r="G49" s="12"/>
      <c r="H49" s="12"/>
      <c r="L49" s="35"/>
    </row>
    <row r="50" spans="1:12" s="1" customFormat="1" ht="12">
      <c r="A50" s="2"/>
      <c r="B50" s="5"/>
      <c r="C50" s="13"/>
      <c r="E50" s="11"/>
      <c r="F50" s="11"/>
      <c r="G50" s="12"/>
      <c r="H50" s="12"/>
      <c r="L50" s="35"/>
    </row>
    <row r="51" spans="1:12" s="1" customFormat="1" ht="12">
      <c r="A51" s="2"/>
      <c r="B51" s="5"/>
      <c r="C51" s="13"/>
      <c r="E51" s="11"/>
      <c r="F51" s="11"/>
      <c r="G51" s="12"/>
      <c r="H51" s="12"/>
      <c r="L51" s="35"/>
    </row>
    <row r="52" spans="1:12" s="1" customFormat="1" ht="12">
      <c r="A52" s="2"/>
      <c r="B52" s="5"/>
      <c r="C52" s="13"/>
      <c r="E52" s="11"/>
      <c r="F52" s="11"/>
      <c r="G52" s="12"/>
      <c r="H52" s="12"/>
      <c r="L52" s="35"/>
    </row>
    <row r="53" spans="1:12" s="1" customFormat="1" ht="12">
      <c r="A53" s="2"/>
      <c r="B53" s="5"/>
      <c r="C53" s="10"/>
      <c r="E53" s="11"/>
      <c r="F53" s="11"/>
      <c r="G53" s="12"/>
      <c r="H53" s="12"/>
      <c r="L53" s="35"/>
    </row>
    <row r="54" spans="1:12" s="41" customFormat="1" ht="15">
      <c r="A54" s="38"/>
      <c r="B54" s="39"/>
      <c r="C54" s="40"/>
      <c r="E54" s="42"/>
      <c r="F54" s="42"/>
      <c r="G54" s="43"/>
      <c r="H54" s="43"/>
      <c r="L54" s="44"/>
    </row>
    <row r="55" spans="1:12" s="1" customFormat="1">
      <c r="A55" s="2"/>
      <c r="B55" s="5"/>
      <c r="C55" s="6"/>
      <c r="D55" s="7"/>
      <c r="E55" s="7"/>
      <c r="F55" s="7"/>
      <c r="G55" s="34"/>
      <c r="H55" s="8"/>
      <c r="L55" s="35"/>
    </row>
    <row r="56" spans="1:12" s="1" customFormat="1">
      <c r="A56" s="2"/>
      <c r="B56" s="5"/>
      <c r="C56" s="6"/>
      <c r="D56" s="36"/>
      <c r="E56" s="7"/>
      <c r="F56" s="7"/>
      <c r="G56" s="8"/>
      <c r="H56" s="8"/>
      <c r="L56" s="35"/>
    </row>
    <row r="57" spans="1:12" s="1" customFormat="1" ht="12">
      <c r="A57" s="2"/>
      <c r="B57" s="5"/>
      <c r="C57" s="9"/>
      <c r="D57" s="14"/>
      <c r="E57" s="15"/>
      <c r="F57" s="15"/>
      <c r="G57" s="16"/>
      <c r="H57" s="16"/>
      <c r="L57" s="35"/>
    </row>
    <row r="58" spans="1:12" s="1" customFormat="1" ht="12">
      <c r="A58" s="2"/>
      <c r="B58" s="5"/>
      <c r="C58" s="10"/>
      <c r="E58" s="11"/>
      <c r="F58" s="11"/>
      <c r="G58" s="12"/>
      <c r="H58" s="12"/>
      <c r="L58" s="35"/>
    </row>
    <row r="59" spans="1:12" s="1" customFormat="1" ht="12">
      <c r="A59" s="2"/>
      <c r="B59" s="5"/>
      <c r="C59" s="10"/>
      <c r="E59" s="11"/>
      <c r="F59" s="11"/>
      <c r="G59" s="12"/>
      <c r="H59" s="12"/>
      <c r="L59" s="35"/>
    </row>
    <row r="60" spans="1:12" s="1" customFormat="1" ht="12">
      <c r="A60" s="2"/>
      <c r="B60" s="5"/>
      <c r="C60" s="9"/>
      <c r="D60" s="14"/>
      <c r="E60" s="15"/>
      <c r="F60" s="15"/>
      <c r="G60" s="16"/>
      <c r="H60" s="16"/>
      <c r="L60" s="35"/>
    </row>
    <row r="61" spans="1:12" s="1" customFormat="1" ht="12">
      <c r="A61" s="2"/>
      <c r="B61" s="5"/>
      <c r="C61" s="10"/>
      <c r="E61" s="11"/>
      <c r="F61" s="11"/>
      <c r="G61" s="12"/>
      <c r="H61" s="12"/>
      <c r="L61" s="35"/>
    </row>
    <row r="62" spans="1:12" s="1" customFormat="1" ht="12">
      <c r="A62" s="2"/>
      <c r="B62" s="5"/>
      <c r="C62" s="10"/>
      <c r="E62" s="11"/>
      <c r="F62" s="11"/>
      <c r="G62" s="12"/>
      <c r="H62" s="12"/>
      <c r="L62" s="35"/>
    </row>
    <row r="63" spans="1:12" s="1" customFormat="1" ht="12">
      <c r="A63" s="2"/>
      <c r="B63" s="5"/>
      <c r="C63" s="10"/>
      <c r="E63" s="11"/>
      <c r="F63" s="11"/>
      <c r="G63" s="12"/>
      <c r="H63" s="12"/>
      <c r="L63" s="35"/>
    </row>
    <row r="64" spans="1:12" s="1" customFormat="1" ht="12">
      <c r="A64" s="2"/>
      <c r="B64" s="5"/>
      <c r="C64" s="10"/>
      <c r="E64" s="11"/>
      <c r="F64" s="11"/>
      <c r="G64" s="12"/>
      <c r="H64" s="12"/>
      <c r="L64" s="35"/>
    </row>
    <row r="65" spans="1:12" s="1" customFormat="1" ht="12">
      <c r="A65" s="2"/>
      <c r="B65" s="5"/>
      <c r="C65" s="9"/>
      <c r="D65" s="14"/>
      <c r="E65" s="15"/>
      <c r="F65" s="15"/>
      <c r="G65" s="16"/>
      <c r="H65" s="16"/>
      <c r="L65" s="35"/>
    </row>
    <row r="66" spans="1:12" s="1" customFormat="1" ht="12">
      <c r="A66" s="2"/>
      <c r="B66" s="5"/>
      <c r="C66" s="10"/>
      <c r="E66" s="11"/>
      <c r="F66" s="11"/>
      <c r="G66" s="12"/>
      <c r="H66" s="12"/>
      <c r="L66" s="35"/>
    </row>
    <row r="67" spans="1:12" s="1" customFormat="1" ht="12">
      <c r="A67" s="2"/>
      <c r="B67" s="5"/>
      <c r="C67" s="10"/>
      <c r="E67" s="11"/>
      <c r="F67" s="11"/>
      <c r="G67" s="12"/>
      <c r="H67" s="12"/>
      <c r="L67" s="35"/>
    </row>
    <row r="68" spans="1:12" s="1" customFormat="1" ht="12">
      <c r="A68" s="2"/>
      <c r="B68" s="5"/>
      <c r="C68" s="10"/>
      <c r="E68" s="11"/>
      <c r="F68" s="11"/>
      <c r="G68" s="12"/>
      <c r="H68" s="12"/>
      <c r="L68" s="35"/>
    </row>
    <row r="69" spans="1:12" s="1" customFormat="1" ht="12">
      <c r="A69" s="2"/>
      <c r="B69" s="5"/>
      <c r="C69" s="10"/>
      <c r="E69" s="11"/>
      <c r="F69" s="11"/>
      <c r="G69" s="12"/>
      <c r="H69" s="12"/>
      <c r="L69" s="35"/>
    </row>
    <row r="70" spans="1:12" s="1" customFormat="1" ht="12">
      <c r="A70" s="2"/>
      <c r="B70" s="5"/>
      <c r="C70" s="10"/>
      <c r="E70" s="11"/>
      <c r="F70" s="11"/>
      <c r="G70" s="12"/>
      <c r="H70" s="12"/>
      <c r="L70" s="35"/>
    </row>
    <row r="71" spans="1:12" s="1" customFormat="1" ht="12">
      <c r="A71" s="2"/>
      <c r="B71" s="5"/>
      <c r="C71" s="10"/>
      <c r="D71" s="37"/>
      <c r="E71" s="11"/>
      <c r="F71" s="11"/>
      <c r="G71" s="12"/>
      <c r="H71" s="12"/>
      <c r="L71" s="35"/>
    </row>
    <row r="72" spans="1:12" s="1" customFormat="1" ht="12">
      <c r="A72" s="2"/>
      <c r="B72" s="5"/>
      <c r="C72" s="9"/>
      <c r="E72" s="11"/>
      <c r="F72" s="11"/>
      <c r="G72" s="12"/>
      <c r="H72" s="12"/>
      <c r="L72" s="35"/>
    </row>
    <row r="73" spans="1:12" s="1" customFormat="1" ht="12">
      <c r="A73" s="2"/>
      <c r="B73" s="5"/>
      <c r="C73" s="10"/>
      <c r="E73" s="11"/>
      <c r="F73" s="11"/>
      <c r="G73" s="12"/>
      <c r="H73" s="12"/>
      <c r="L73" s="35"/>
    </row>
    <row r="74" spans="1:12" s="1" customFormat="1" ht="12">
      <c r="A74" s="2"/>
      <c r="B74" s="5"/>
      <c r="C74" s="10"/>
      <c r="E74" s="11"/>
      <c r="F74" s="11"/>
      <c r="G74" s="12"/>
      <c r="H74" s="12"/>
      <c r="L74" s="35"/>
    </row>
    <row r="75" spans="1:12" s="1" customFormat="1" ht="12">
      <c r="A75" s="2"/>
      <c r="B75" s="5"/>
      <c r="C75" s="10"/>
      <c r="E75" s="11"/>
      <c r="F75" s="11"/>
      <c r="G75" s="12"/>
      <c r="H75" s="12"/>
      <c r="L75" s="35"/>
    </row>
    <row r="76" spans="1:12" s="3" customFormat="1" ht="12">
      <c r="A76" s="2"/>
      <c r="B76" s="5"/>
      <c r="C76" s="10"/>
      <c r="D76" s="1"/>
      <c r="E76" s="11"/>
      <c r="F76" s="11"/>
      <c r="G76" s="12"/>
      <c r="H76" s="12"/>
      <c r="L76" s="35"/>
    </row>
    <row r="77" spans="1:12" s="1" customFormat="1" ht="12">
      <c r="A77" s="2"/>
      <c r="B77" s="5"/>
      <c r="C77" s="9"/>
      <c r="E77" s="11"/>
      <c r="F77" s="11"/>
      <c r="G77" s="12"/>
      <c r="H77" s="12"/>
      <c r="L77" s="35"/>
    </row>
    <row r="78" spans="1:12" s="1" customFormat="1" ht="12">
      <c r="A78" s="2"/>
      <c r="B78" s="5"/>
      <c r="C78" s="10"/>
      <c r="E78" s="11"/>
      <c r="F78" s="11"/>
      <c r="G78" s="12"/>
      <c r="H78" s="12"/>
      <c r="L78" s="35"/>
    </row>
    <row r="79" spans="1:12" s="1" customFormat="1" ht="12">
      <c r="A79" s="2"/>
      <c r="B79" s="5"/>
      <c r="C79" s="9"/>
      <c r="E79" s="11"/>
      <c r="F79" s="11"/>
      <c r="G79" s="12"/>
      <c r="H79" s="12"/>
      <c r="L79" s="35"/>
    </row>
    <row r="80" spans="1:12" s="1" customFormat="1" ht="12">
      <c r="A80" s="2"/>
      <c r="B80" s="5"/>
      <c r="C80" s="10"/>
      <c r="E80" s="11"/>
      <c r="F80" s="11"/>
      <c r="G80" s="12"/>
      <c r="H80" s="12"/>
      <c r="L80" s="35"/>
    </row>
    <row r="81" spans="1:12" s="1" customFormat="1" ht="12">
      <c r="A81" s="2"/>
      <c r="B81" s="5"/>
      <c r="C81" s="10"/>
      <c r="E81" s="11"/>
      <c r="F81" s="11"/>
      <c r="G81" s="12"/>
      <c r="H81" s="12"/>
      <c r="L81" s="35"/>
    </row>
    <row r="82" spans="1:12" s="1" customFormat="1" ht="12">
      <c r="A82" s="2"/>
      <c r="B82" s="5"/>
      <c r="C82" s="10"/>
      <c r="E82" s="11"/>
      <c r="F82" s="11"/>
      <c r="G82" s="12"/>
      <c r="H82" s="12"/>
      <c r="L82" s="35"/>
    </row>
    <row r="83" spans="1:12" s="1" customFormat="1" ht="12">
      <c r="A83" s="2"/>
      <c r="B83" s="5"/>
      <c r="C83" s="10"/>
      <c r="E83" s="11"/>
      <c r="F83" s="11"/>
      <c r="G83" s="12"/>
      <c r="H83" s="12"/>
      <c r="L83" s="35"/>
    </row>
    <row r="84" spans="1:12" s="1" customFormat="1" ht="12">
      <c r="A84" s="2"/>
      <c r="B84" s="5"/>
      <c r="C84" s="9"/>
      <c r="D84" s="14"/>
      <c r="E84" s="15"/>
      <c r="F84" s="15"/>
      <c r="G84" s="16"/>
      <c r="H84" s="16"/>
      <c r="L84" s="35"/>
    </row>
    <row r="85" spans="1:12" s="1" customFormat="1" ht="12">
      <c r="A85" s="2"/>
      <c r="B85" s="5"/>
      <c r="C85" s="13"/>
      <c r="E85" s="11"/>
      <c r="F85" s="11"/>
      <c r="G85" s="12"/>
      <c r="H85" s="12"/>
      <c r="L85" s="35"/>
    </row>
    <row r="86" spans="1:12" s="1" customFormat="1" ht="12">
      <c r="A86" s="2"/>
      <c r="B86" s="5"/>
      <c r="C86" s="10"/>
      <c r="E86" s="11"/>
      <c r="F86" s="11"/>
      <c r="G86" s="12"/>
      <c r="H86" s="12"/>
      <c r="L86" s="35"/>
    </row>
    <row r="87" spans="1:12" s="1" customFormat="1" ht="12">
      <c r="A87" s="2"/>
      <c r="B87" s="5"/>
      <c r="C87" s="10"/>
      <c r="E87" s="11"/>
      <c r="F87" s="11"/>
      <c r="G87" s="12"/>
      <c r="H87" s="12"/>
      <c r="L87" s="35"/>
    </row>
    <row r="88" spans="1:12" s="1" customFormat="1" ht="12">
      <c r="A88" s="2"/>
      <c r="B88" s="5"/>
      <c r="C88" s="10"/>
      <c r="E88" s="11"/>
      <c r="F88" s="11"/>
      <c r="G88" s="12"/>
      <c r="H88" s="12"/>
      <c r="L88" s="35"/>
    </row>
    <row r="89" spans="1:12" s="1" customFormat="1" ht="12">
      <c r="A89" s="2"/>
      <c r="B89" s="5"/>
      <c r="C89" s="10"/>
      <c r="E89" s="11"/>
      <c r="F89" s="11"/>
      <c r="G89" s="12"/>
      <c r="H89" s="12"/>
      <c r="L89" s="35"/>
    </row>
    <row r="90" spans="1:12" s="1" customFormat="1" ht="12">
      <c r="A90" s="2"/>
      <c r="B90" s="5"/>
      <c r="C90" s="10"/>
      <c r="E90" s="11"/>
      <c r="F90" s="11"/>
      <c r="G90" s="12"/>
      <c r="H90" s="12"/>
      <c r="L90" s="35"/>
    </row>
    <row r="91" spans="1:12" s="1" customFormat="1" ht="12">
      <c r="A91" s="2"/>
      <c r="B91" s="5"/>
      <c r="C91" s="10"/>
      <c r="E91" s="11"/>
      <c r="F91" s="11"/>
      <c r="G91" s="12"/>
      <c r="H91" s="12"/>
      <c r="L91" s="35"/>
    </row>
    <row r="92" spans="1:12" s="1" customFormat="1" ht="12">
      <c r="A92" s="2"/>
      <c r="B92" s="5"/>
      <c r="C92" s="13"/>
      <c r="E92" s="11"/>
      <c r="F92" s="11"/>
      <c r="G92" s="12"/>
      <c r="H92" s="12"/>
      <c r="L92" s="35"/>
    </row>
    <row r="93" spans="1:12" s="1" customFormat="1" ht="12">
      <c r="A93" s="2"/>
      <c r="B93" s="5"/>
      <c r="C93" s="13"/>
      <c r="E93" s="11"/>
      <c r="F93" s="11"/>
      <c r="G93" s="12"/>
      <c r="H93" s="12"/>
      <c r="L93" s="35"/>
    </row>
    <row r="94" spans="1:12" s="1" customFormat="1" ht="12">
      <c r="A94" s="2"/>
      <c r="B94" s="5"/>
      <c r="C94" s="13"/>
      <c r="E94" s="11"/>
      <c r="F94" s="11"/>
      <c r="G94" s="12"/>
      <c r="H94" s="12"/>
      <c r="L94" s="35"/>
    </row>
    <row r="95" spans="1:12" s="1" customFormat="1" ht="12">
      <c r="A95" s="2"/>
      <c r="B95" s="5"/>
      <c r="C95" s="13"/>
      <c r="E95" s="11"/>
      <c r="F95" s="11"/>
      <c r="G95" s="12"/>
      <c r="H95" s="12"/>
      <c r="L95" s="35"/>
    </row>
    <row r="96" spans="1:12" s="1" customFormat="1" ht="12">
      <c r="A96" s="2"/>
      <c r="B96" s="5"/>
      <c r="C96" s="10"/>
      <c r="E96" s="11"/>
      <c r="F96" s="11"/>
      <c r="G96" s="12"/>
      <c r="H96" s="12"/>
      <c r="L96" s="35"/>
    </row>
    <row r="97" spans="1:12" s="41" customFormat="1" ht="15">
      <c r="A97" s="38"/>
      <c r="B97" s="39"/>
      <c r="C97" s="40"/>
      <c r="E97" s="42"/>
      <c r="F97" s="42"/>
      <c r="G97" s="43"/>
      <c r="H97" s="43"/>
      <c r="L97" s="44"/>
    </row>
    <row r="98" spans="1:12" s="1" customFormat="1">
      <c r="A98" s="2"/>
      <c r="B98" s="5"/>
      <c r="C98" s="6"/>
      <c r="D98" s="7"/>
      <c r="E98" s="7"/>
      <c r="F98" s="7"/>
      <c r="G98" s="34"/>
      <c r="H98" s="8"/>
      <c r="L98" s="35"/>
    </row>
    <row r="99" spans="1:12" s="1" customFormat="1">
      <c r="A99" s="2"/>
      <c r="B99" s="5"/>
      <c r="C99" s="6"/>
      <c r="D99" s="36"/>
      <c r="E99" s="7"/>
      <c r="F99" s="7"/>
      <c r="G99" s="8"/>
      <c r="H99" s="8"/>
      <c r="L99" s="35"/>
    </row>
    <row r="100" spans="1:12" s="1" customFormat="1" ht="12">
      <c r="A100" s="2"/>
      <c r="B100" s="5"/>
      <c r="C100" s="9"/>
      <c r="D100" s="14"/>
      <c r="E100" s="15"/>
      <c r="F100" s="15"/>
      <c r="G100" s="16"/>
      <c r="H100" s="16"/>
      <c r="L100" s="35"/>
    </row>
    <row r="101" spans="1:12" s="1" customFormat="1" ht="12">
      <c r="A101" s="2"/>
      <c r="B101" s="5"/>
      <c r="C101" s="10"/>
      <c r="E101" s="11"/>
      <c r="F101" s="11"/>
      <c r="G101" s="12"/>
      <c r="H101" s="12"/>
      <c r="L101" s="35"/>
    </row>
    <row r="102" spans="1:12" s="1" customFormat="1" ht="12">
      <c r="A102" s="2"/>
      <c r="B102" s="5"/>
      <c r="C102" s="10"/>
      <c r="E102" s="11"/>
      <c r="F102" s="11"/>
      <c r="G102" s="12"/>
      <c r="H102" s="12"/>
      <c r="L102" s="35"/>
    </row>
    <row r="103" spans="1:12" s="1" customFormat="1" ht="12">
      <c r="A103" s="2"/>
      <c r="B103" s="5"/>
      <c r="C103" s="10"/>
      <c r="E103" s="11"/>
      <c r="F103" s="11"/>
      <c r="G103" s="12"/>
      <c r="H103" s="12"/>
      <c r="L103" s="35"/>
    </row>
    <row r="104" spans="1:12" s="1" customFormat="1" ht="12">
      <c r="A104" s="2"/>
      <c r="B104" s="5"/>
      <c r="C104" s="10"/>
      <c r="E104" s="11"/>
      <c r="F104" s="11"/>
      <c r="G104" s="12"/>
      <c r="H104" s="12"/>
      <c r="L104" s="35"/>
    </row>
    <row r="105" spans="1:12" s="1" customFormat="1" ht="12">
      <c r="A105" s="2"/>
      <c r="B105" s="5"/>
      <c r="C105" s="9"/>
      <c r="D105" s="14"/>
      <c r="E105" s="15"/>
      <c r="F105" s="15"/>
      <c r="G105" s="16"/>
      <c r="H105" s="16"/>
      <c r="L105" s="35"/>
    </row>
    <row r="106" spans="1:12" s="1" customFormat="1" ht="12">
      <c r="A106" s="2"/>
      <c r="B106" s="5"/>
      <c r="C106" s="10"/>
      <c r="E106" s="11"/>
      <c r="F106" s="11"/>
      <c r="G106" s="12"/>
      <c r="H106" s="12"/>
      <c r="L106" s="35"/>
    </row>
    <row r="107" spans="1:12" s="1" customFormat="1" ht="12">
      <c r="A107" s="2"/>
      <c r="B107" s="5"/>
      <c r="C107" s="10"/>
      <c r="E107" s="11"/>
      <c r="F107" s="11"/>
      <c r="G107" s="12"/>
      <c r="H107" s="12"/>
      <c r="L107" s="35"/>
    </row>
    <row r="108" spans="1:12" s="1" customFormat="1" ht="12">
      <c r="A108" s="2"/>
      <c r="B108" s="5"/>
      <c r="C108" s="10"/>
      <c r="E108" s="11"/>
      <c r="F108" s="11"/>
      <c r="G108" s="12"/>
      <c r="H108" s="12"/>
      <c r="L108" s="35"/>
    </row>
    <row r="109" spans="1:12" s="1" customFormat="1" ht="12">
      <c r="A109" s="2"/>
      <c r="B109" s="5"/>
      <c r="C109" s="10"/>
      <c r="E109" s="11"/>
      <c r="F109" s="11"/>
      <c r="G109" s="12"/>
      <c r="H109" s="12"/>
      <c r="L109" s="35"/>
    </row>
    <row r="110" spans="1:12" s="1" customFormat="1" ht="12">
      <c r="A110" s="2"/>
      <c r="B110" s="5"/>
      <c r="C110" s="10"/>
      <c r="E110" s="11"/>
      <c r="F110" s="11"/>
      <c r="G110" s="12"/>
      <c r="H110" s="12"/>
      <c r="L110" s="35"/>
    </row>
    <row r="111" spans="1:12" s="1" customFormat="1" ht="12">
      <c r="A111" s="2"/>
      <c r="B111" s="5"/>
      <c r="C111" s="10"/>
      <c r="D111" s="37"/>
      <c r="E111" s="11"/>
      <c r="F111" s="11"/>
      <c r="G111" s="12"/>
      <c r="H111" s="12"/>
      <c r="L111" s="35"/>
    </row>
    <row r="112" spans="1:12" s="1" customFormat="1" ht="12">
      <c r="A112" s="2"/>
      <c r="B112" s="5"/>
      <c r="C112" s="9"/>
      <c r="E112" s="11"/>
      <c r="F112" s="11"/>
      <c r="G112" s="12"/>
      <c r="H112" s="12"/>
      <c r="L112" s="35"/>
    </row>
    <row r="113" spans="1:12" s="1" customFormat="1" ht="12">
      <c r="A113" s="2"/>
      <c r="B113" s="5"/>
      <c r="C113" s="10"/>
      <c r="E113" s="11"/>
      <c r="F113" s="11"/>
      <c r="G113" s="12"/>
      <c r="H113" s="12"/>
      <c r="L113" s="35"/>
    </row>
    <row r="114" spans="1:12" s="1" customFormat="1" ht="12">
      <c r="A114" s="2"/>
      <c r="B114" s="5"/>
      <c r="C114" s="10"/>
      <c r="E114" s="11"/>
      <c r="F114" s="11"/>
      <c r="G114" s="12"/>
      <c r="H114" s="12"/>
      <c r="L114" s="35"/>
    </row>
    <row r="115" spans="1:12" s="1" customFormat="1" ht="12">
      <c r="A115" s="2"/>
      <c r="B115" s="5"/>
      <c r="C115" s="10"/>
      <c r="E115" s="11"/>
      <c r="F115" s="11"/>
      <c r="G115" s="12"/>
      <c r="H115" s="12"/>
      <c r="L115" s="35"/>
    </row>
    <row r="116" spans="1:12" s="3" customFormat="1" ht="12">
      <c r="A116" s="2"/>
      <c r="B116" s="5"/>
      <c r="C116" s="10"/>
      <c r="D116" s="1"/>
      <c r="E116" s="11"/>
      <c r="F116" s="11"/>
      <c r="G116" s="12"/>
      <c r="H116" s="12"/>
      <c r="L116" s="35"/>
    </row>
    <row r="117" spans="1:12" s="1" customFormat="1" ht="12">
      <c r="A117" s="2"/>
      <c r="B117" s="5"/>
      <c r="C117" s="9"/>
      <c r="E117" s="11"/>
      <c r="F117" s="11"/>
      <c r="G117" s="12"/>
      <c r="H117" s="12"/>
      <c r="L117" s="35"/>
    </row>
    <row r="118" spans="1:12" s="1" customFormat="1" ht="12">
      <c r="A118" s="2"/>
      <c r="B118" s="5"/>
      <c r="C118" s="10"/>
      <c r="E118" s="11"/>
      <c r="F118" s="11"/>
      <c r="G118" s="12"/>
      <c r="H118" s="12"/>
      <c r="L118" s="35"/>
    </row>
    <row r="119" spans="1:12" s="1" customFormat="1" ht="12">
      <c r="A119" s="2"/>
      <c r="B119" s="5"/>
      <c r="C119" s="10"/>
      <c r="E119" s="11"/>
      <c r="F119" s="11"/>
      <c r="G119" s="12"/>
      <c r="H119" s="12"/>
      <c r="L119" s="35"/>
    </row>
    <row r="120" spans="1:12" s="1" customFormat="1" ht="12">
      <c r="A120" s="2"/>
      <c r="B120" s="5"/>
      <c r="C120" s="10"/>
      <c r="E120" s="11"/>
      <c r="F120" s="11"/>
      <c r="G120" s="12"/>
      <c r="H120" s="12"/>
      <c r="L120" s="35"/>
    </row>
    <row r="121" spans="1:12" s="1" customFormat="1" ht="12">
      <c r="A121" s="2"/>
      <c r="B121" s="5"/>
      <c r="C121" s="10"/>
      <c r="E121" s="11"/>
      <c r="F121" s="11"/>
      <c r="G121" s="12"/>
      <c r="H121" s="12"/>
      <c r="L121" s="35"/>
    </row>
    <row r="122" spans="1:12" s="1" customFormat="1" ht="12">
      <c r="A122" s="2"/>
      <c r="B122" s="5"/>
      <c r="C122" s="9"/>
      <c r="D122" s="14"/>
      <c r="E122" s="15"/>
      <c r="F122" s="15"/>
      <c r="G122" s="16"/>
      <c r="H122" s="16"/>
      <c r="L122" s="35"/>
    </row>
    <row r="123" spans="1:12" s="1" customFormat="1" ht="12">
      <c r="A123" s="2"/>
      <c r="B123" s="5"/>
      <c r="C123" s="13"/>
      <c r="E123" s="11"/>
      <c r="F123" s="11"/>
      <c r="G123" s="12"/>
      <c r="H123" s="12"/>
      <c r="L123" s="35"/>
    </row>
    <row r="124" spans="1:12" s="1" customFormat="1" ht="12">
      <c r="A124" s="2"/>
      <c r="B124" s="5"/>
      <c r="C124" s="10"/>
      <c r="E124" s="11"/>
      <c r="F124" s="11"/>
      <c r="G124" s="12"/>
      <c r="H124" s="12"/>
      <c r="L124" s="35"/>
    </row>
    <row r="125" spans="1:12" s="1" customFormat="1" ht="12">
      <c r="A125" s="2"/>
      <c r="B125" s="5"/>
      <c r="C125" s="10"/>
      <c r="E125" s="11"/>
      <c r="F125" s="11"/>
      <c r="G125" s="12"/>
      <c r="H125" s="12"/>
      <c r="L125" s="35"/>
    </row>
    <row r="126" spans="1:12" s="1" customFormat="1" ht="12">
      <c r="A126" s="2"/>
      <c r="B126" s="5"/>
      <c r="C126" s="10"/>
      <c r="E126" s="11"/>
      <c r="F126" s="11"/>
      <c r="G126" s="12"/>
      <c r="H126" s="12"/>
      <c r="L126" s="35"/>
    </row>
    <row r="127" spans="1:12" s="1" customFormat="1" ht="12">
      <c r="A127" s="2"/>
      <c r="B127" s="5"/>
      <c r="C127" s="10"/>
      <c r="E127" s="11"/>
      <c r="F127" s="11"/>
      <c r="G127" s="12"/>
      <c r="H127" s="12"/>
      <c r="L127" s="35"/>
    </row>
    <row r="128" spans="1:12" s="1" customFormat="1" ht="12">
      <c r="A128" s="2"/>
      <c r="B128" s="5"/>
      <c r="C128" s="10"/>
      <c r="E128" s="11"/>
      <c r="F128" s="11"/>
      <c r="G128" s="12"/>
      <c r="H128" s="12"/>
      <c r="L128" s="35"/>
    </row>
    <row r="129" spans="1:12" s="1" customFormat="1" ht="12">
      <c r="A129" s="2"/>
      <c r="B129" s="5"/>
      <c r="C129" s="10"/>
      <c r="E129" s="11"/>
      <c r="F129" s="11"/>
      <c r="G129" s="12"/>
      <c r="H129" s="12"/>
      <c r="L129" s="35"/>
    </row>
    <row r="130" spans="1:12" s="1" customFormat="1" ht="12">
      <c r="A130" s="2"/>
      <c r="B130" s="5"/>
      <c r="C130" s="13"/>
      <c r="E130" s="11"/>
      <c r="F130" s="11"/>
      <c r="G130" s="12"/>
      <c r="H130" s="12"/>
      <c r="L130" s="35"/>
    </row>
    <row r="131" spans="1:12" s="1" customFormat="1" ht="12">
      <c r="A131" s="2"/>
      <c r="B131" s="5"/>
      <c r="C131" s="13"/>
      <c r="E131" s="11"/>
      <c r="F131" s="11"/>
      <c r="G131" s="12"/>
      <c r="H131" s="12"/>
      <c r="L131" s="35"/>
    </row>
    <row r="132" spans="1:12" s="1" customFormat="1" ht="12">
      <c r="A132" s="2"/>
      <c r="B132" s="5"/>
      <c r="C132" s="13"/>
      <c r="E132" s="11"/>
      <c r="F132" s="11"/>
      <c r="G132" s="12"/>
      <c r="H132" s="12"/>
      <c r="L132" s="35"/>
    </row>
    <row r="133" spans="1:12" s="1" customFormat="1" ht="12">
      <c r="A133" s="2"/>
      <c r="B133" s="5"/>
      <c r="C133" s="13"/>
      <c r="E133" s="11"/>
      <c r="F133" s="11"/>
      <c r="G133" s="12"/>
      <c r="H133" s="12"/>
      <c r="L133" s="35"/>
    </row>
    <row r="134" spans="1:12" s="1" customFormat="1" ht="12">
      <c r="A134" s="2"/>
      <c r="B134" s="5"/>
      <c r="C134" s="10"/>
      <c r="E134" s="11"/>
      <c r="F134" s="11"/>
      <c r="G134" s="12"/>
      <c r="H134" s="12"/>
      <c r="L134" s="35"/>
    </row>
    <row r="135" spans="1:12" s="41" customFormat="1" ht="15">
      <c r="A135" s="38"/>
      <c r="B135" s="39"/>
      <c r="C135" s="40"/>
      <c r="E135" s="42"/>
      <c r="F135" s="42"/>
      <c r="G135" s="43"/>
      <c r="H135" s="43"/>
      <c r="L135" s="44"/>
    </row>
    <row r="136" spans="1:12" s="1" customFormat="1">
      <c r="A136" s="2"/>
      <c r="B136" s="5"/>
      <c r="C136" s="6"/>
      <c r="D136" s="7"/>
      <c r="E136" s="7"/>
      <c r="F136" s="7"/>
      <c r="G136" s="34"/>
      <c r="H136" s="8"/>
      <c r="L136" s="35"/>
    </row>
    <row r="137" spans="1:12" s="1" customFormat="1">
      <c r="A137" s="2"/>
      <c r="B137" s="5"/>
      <c r="C137" s="6"/>
      <c r="D137" s="36"/>
      <c r="E137" s="7"/>
      <c r="F137" s="7"/>
      <c r="G137" s="8"/>
      <c r="H137" s="8"/>
      <c r="L137" s="35"/>
    </row>
    <row r="138" spans="1:12" s="1" customFormat="1" ht="12">
      <c r="A138" s="2"/>
      <c r="B138" s="5"/>
      <c r="C138" s="9"/>
      <c r="D138" s="14"/>
      <c r="E138" s="15"/>
      <c r="F138" s="15"/>
      <c r="G138" s="16"/>
      <c r="H138" s="16"/>
      <c r="L138" s="35"/>
    </row>
    <row r="139" spans="1:12" s="1" customFormat="1" ht="12">
      <c r="A139" s="2"/>
      <c r="B139" s="5"/>
      <c r="C139" s="10"/>
      <c r="E139" s="11"/>
      <c r="F139" s="11"/>
      <c r="G139" s="12"/>
      <c r="H139" s="12"/>
      <c r="L139" s="35"/>
    </row>
    <row r="140" spans="1:12" s="1" customFormat="1" ht="12">
      <c r="A140" s="2"/>
      <c r="B140" s="5"/>
      <c r="C140" s="10"/>
      <c r="E140" s="11"/>
      <c r="F140" s="11"/>
      <c r="G140" s="12"/>
      <c r="H140" s="12"/>
      <c r="L140" s="35"/>
    </row>
    <row r="141" spans="1:12" s="1" customFormat="1" ht="12">
      <c r="A141" s="2"/>
      <c r="B141" s="5"/>
      <c r="C141" s="10"/>
      <c r="E141" s="11"/>
      <c r="F141" s="11"/>
      <c r="G141" s="12"/>
      <c r="H141" s="12"/>
      <c r="L141" s="35"/>
    </row>
    <row r="142" spans="1:12" s="1" customFormat="1" ht="12">
      <c r="A142" s="2"/>
      <c r="B142" s="5"/>
      <c r="C142" s="10"/>
      <c r="E142" s="11"/>
      <c r="F142" s="11"/>
      <c r="G142" s="12"/>
      <c r="H142" s="12"/>
      <c r="L142" s="35"/>
    </row>
    <row r="143" spans="1:12" s="1" customFormat="1" ht="12">
      <c r="A143" s="2"/>
      <c r="B143" s="5"/>
      <c r="C143" s="9"/>
      <c r="D143" s="14"/>
      <c r="E143" s="15"/>
      <c r="F143" s="15"/>
      <c r="G143" s="16"/>
      <c r="H143" s="16"/>
      <c r="L143" s="35"/>
    </row>
    <row r="144" spans="1:12" s="1" customFormat="1" ht="12">
      <c r="A144" s="2"/>
      <c r="B144" s="5"/>
      <c r="C144" s="10"/>
      <c r="E144" s="11"/>
      <c r="F144" s="11"/>
      <c r="G144" s="12"/>
      <c r="H144" s="12"/>
      <c r="L144" s="35"/>
    </row>
    <row r="145" spans="1:12" s="1" customFormat="1" ht="12">
      <c r="A145" s="2"/>
      <c r="B145" s="5"/>
      <c r="C145" s="10"/>
      <c r="E145" s="11"/>
      <c r="F145" s="11"/>
      <c r="G145" s="12"/>
      <c r="H145" s="12"/>
      <c r="L145" s="35"/>
    </row>
    <row r="146" spans="1:12" s="1" customFormat="1" ht="12">
      <c r="A146" s="2"/>
      <c r="B146" s="5"/>
      <c r="C146" s="10"/>
      <c r="E146" s="11"/>
      <c r="F146" s="11"/>
      <c r="G146" s="12"/>
      <c r="H146" s="12"/>
      <c r="L146" s="35"/>
    </row>
    <row r="147" spans="1:12" s="1" customFormat="1" ht="12">
      <c r="A147" s="2"/>
      <c r="B147" s="5"/>
      <c r="C147" s="10"/>
      <c r="E147" s="11"/>
      <c r="F147" s="11"/>
      <c r="G147" s="12"/>
      <c r="H147" s="12"/>
      <c r="L147" s="35"/>
    </row>
    <row r="148" spans="1:12" s="1" customFormat="1" ht="12">
      <c r="A148" s="2"/>
      <c r="B148" s="5"/>
      <c r="C148" s="10"/>
      <c r="E148" s="11"/>
      <c r="F148" s="11"/>
      <c r="G148" s="12"/>
      <c r="H148" s="12"/>
      <c r="L148" s="35"/>
    </row>
    <row r="149" spans="1:12" s="1" customFormat="1" ht="12">
      <c r="A149" s="2"/>
      <c r="B149" s="5"/>
      <c r="C149" s="10"/>
      <c r="D149" s="37"/>
      <c r="E149" s="11"/>
      <c r="F149" s="11"/>
      <c r="G149" s="12"/>
      <c r="H149" s="12"/>
      <c r="L149" s="35"/>
    </row>
    <row r="150" spans="1:12" s="1" customFormat="1" ht="12">
      <c r="A150" s="2"/>
      <c r="B150" s="5"/>
      <c r="C150" s="9"/>
      <c r="E150" s="11"/>
      <c r="F150" s="11"/>
      <c r="G150" s="12"/>
      <c r="H150" s="12"/>
      <c r="L150" s="35"/>
    </row>
    <row r="151" spans="1:12" s="1" customFormat="1" ht="12">
      <c r="A151" s="2"/>
      <c r="B151" s="5"/>
      <c r="C151" s="10"/>
      <c r="E151" s="11"/>
      <c r="F151" s="11"/>
      <c r="G151" s="12"/>
      <c r="H151" s="12"/>
      <c r="L151" s="35"/>
    </row>
    <row r="152" spans="1:12" s="1" customFormat="1" ht="12">
      <c r="A152" s="2"/>
      <c r="B152" s="5"/>
      <c r="C152" s="10"/>
      <c r="E152" s="11"/>
      <c r="F152" s="11"/>
      <c r="G152" s="12"/>
      <c r="H152" s="12"/>
      <c r="L152" s="35"/>
    </row>
    <row r="153" spans="1:12" s="1" customFormat="1" ht="12">
      <c r="A153" s="2"/>
      <c r="B153" s="5"/>
      <c r="C153" s="10"/>
      <c r="E153" s="11"/>
      <c r="F153" s="11"/>
      <c r="G153" s="12"/>
      <c r="H153" s="12"/>
      <c r="L153" s="35"/>
    </row>
    <row r="154" spans="1:12" s="3" customFormat="1" ht="12">
      <c r="A154" s="2"/>
      <c r="B154" s="5"/>
      <c r="C154" s="10"/>
      <c r="D154" s="1"/>
      <c r="E154" s="11"/>
      <c r="F154" s="11"/>
      <c r="G154" s="12"/>
      <c r="H154" s="12"/>
      <c r="L154" s="35"/>
    </row>
    <row r="155" spans="1:12" s="1" customFormat="1" ht="12">
      <c r="A155" s="2"/>
      <c r="B155" s="5"/>
      <c r="C155" s="9"/>
      <c r="E155" s="11"/>
      <c r="F155" s="11"/>
      <c r="G155" s="12"/>
      <c r="H155" s="12"/>
      <c r="L155" s="35"/>
    </row>
    <row r="156" spans="1:12" s="1" customFormat="1" ht="12">
      <c r="A156" s="2"/>
      <c r="B156" s="5"/>
      <c r="C156" s="10"/>
      <c r="E156" s="11"/>
      <c r="F156" s="11"/>
      <c r="G156" s="12"/>
      <c r="H156" s="12"/>
      <c r="L156" s="35"/>
    </row>
    <row r="157" spans="1:12" s="1" customFormat="1" ht="12">
      <c r="A157" s="2"/>
      <c r="B157" s="5"/>
      <c r="C157" s="10"/>
      <c r="E157" s="11"/>
      <c r="F157" s="11"/>
      <c r="G157" s="12"/>
      <c r="H157" s="12"/>
      <c r="L157" s="35"/>
    </row>
    <row r="158" spans="1:12" s="1" customFormat="1" ht="12">
      <c r="A158" s="2"/>
      <c r="B158" s="5"/>
      <c r="C158" s="10"/>
      <c r="E158" s="11"/>
      <c r="F158" s="11"/>
      <c r="G158" s="12"/>
      <c r="H158" s="12"/>
      <c r="L158" s="35"/>
    </row>
    <row r="159" spans="1:12" s="1" customFormat="1" ht="12">
      <c r="A159" s="2"/>
      <c r="B159" s="5"/>
      <c r="C159" s="10"/>
      <c r="E159" s="11"/>
      <c r="F159" s="11"/>
      <c r="G159" s="12"/>
      <c r="H159" s="12"/>
      <c r="L159" s="35"/>
    </row>
    <row r="160" spans="1:12" s="1" customFormat="1" ht="12">
      <c r="A160" s="2"/>
      <c r="B160" s="5"/>
      <c r="C160" s="9"/>
      <c r="D160" s="14"/>
      <c r="E160" s="15"/>
      <c r="F160" s="15"/>
      <c r="G160" s="16"/>
      <c r="H160" s="16"/>
      <c r="L160" s="35"/>
    </row>
    <row r="161" spans="1:12" s="1" customFormat="1" ht="12">
      <c r="A161" s="2"/>
      <c r="B161" s="5"/>
      <c r="C161" s="13"/>
      <c r="E161" s="11"/>
      <c r="F161" s="11"/>
      <c r="G161" s="12"/>
      <c r="H161" s="12"/>
      <c r="L161" s="35"/>
    </row>
    <row r="162" spans="1:12" s="1" customFormat="1" ht="12">
      <c r="A162" s="2"/>
      <c r="B162" s="5"/>
      <c r="C162" s="10"/>
      <c r="E162" s="11"/>
      <c r="F162" s="11"/>
      <c r="G162" s="12"/>
      <c r="H162" s="12"/>
      <c r="L162" s="35"/>
    </row>
    <row r="163" spans="1:12" s="1" customFormat="1" ht="12">
      <c r="A163" s="2"/>
      <c r="B163" s="5"/>
      <c r="C163" s="10"/>
      <c r="E163" s="11"/>
      <c r="F163" s="11"/>
      <c r="G163" s="12"/>
      <c r="H163" s="12"/>
      <c r="L163" s="35"/>
    </row>
    <row r="164" spans="1:12" s="1" customFormat="1" ht="12">
      <c r="A164" s="2"/>
      <c r="B164" s="5"/>
      <c r="C164" s="10"/>
      <c r="E164" s="11"/>
      <c r="F164" s="11"/>
      <c r="G164" s="12"/>
      <c r="H164" s="12"/>
      <c r="L164" s="35"/>
    </row>
    <row r="165" spans="1:12" s="1" customFormat="1" ht="12">
      <c r="A165" s="2"/>
      <c r="B165" s="5"/>
      <c r="C165" s="10"/>
      <c r="E165" s="11"/>
      <c r="F165" s="11"/>
      <c r="G165" s="12"/>
      <c r="H165" s="12"/>
      <c r="L165" s="35"/>
    </row>
    <row r="166" spans="1:12" s="1" customFormat="1" ht="12">
      <c r="A166" s="2"/>
      <c r="B166" s="5"/>
      <c r="C166" s="10"/>
      <c r="E166" s="11"/>
      <c r="F166" s="11"/>
      <c r="G166" s="12"/>
      <c r="H166" s="12"/>
      <c r="L166" s="35"/>
    </row>
    <row r="167" spans="1:12" s="1" customFormat="1" ht="12">
      <c r="A167" s="2"/>
      <c r="B167" s="5"/>
      <c r="C167" s="10"/>
      <c r="E167" s="11"/>
      <c r="F167" s="11"/>
      <c r="G167" s="12"/>
      <c r="H167" s="12"/>
      <c r="L167" s="35"/>
    </row>
    <row r="168" spans="1:12" s="1" customFormat="1" ht="12">
      <c r="A168" s="2"/>
      <c r="B168" s="5"/>
      <c r="C168" s="13"/>
      <c r="E168" s="11"/>
      <c r="F168" s="11"/>
      <c r="G168" s="12"/>
      <c r="H168" s="12"/>
      <c r="L168" s="35"/>
    </row>
    <row r="169" spans="1:12" s="1" customFormat="1" ht="12">
      <c r="A169" s="2"/>
      <c r="B169" s="5"/>
      <c r="C169" s="13"/>
      <c r="E169" s="11"/>
      <c r="F169" s="11"/>
      <c r="G169" s="12"/>
      <c r="H169" s="12"/>
      <c r="L169" s="35"/>
    </row>
    <row r="170" spans="1:12" s="1" customFormat="1" ht="12">
      <c r="A170" s="2"/>
      <c r="B170" s="5"/>
      <c r="C170" s="13"/>
      <c r="E170" s="11"/>
      <c r="F170" s="11"/>
      <c r="G170" s="12"/>
      <c r="H170" s="12"/>
      <c r="L170" s="35"/>
    </row>
    <row r="171" spans="1:12" s="1" customFormat="1" ht="12">
      <c r="A171" s="2"/>
      <c r="B171" s="5"/>
      <c r="C171" s="13"/>
      <c r="E171" s="11"/>
      <c r="F171" s="11"/>
      <c r="G171" s="12"/>
      <c r="H171" s="12"/>
      <c r="L171" s="35"/>
    </row>
    <row r="172" spans="1:12" s="1" customFormat="1" ht="12">
      <c r="A172" s="2"/>
      <c r="B172" s="5"/>
      <c r="C172" s="10"/>
      <c r="E172" s="11"/>
      <c r="F172" s="11"/>
      <c r="G172" s="12"/>
      <c r="H172" s="12"/>
      <c r="L172" s="35"/>
    </row>
    <row r="173" spans="1:12" s="41" customFormat="1" ht="15">
      <c r="A173" s="38"/>
      <c r="B173" s="39"/>
      <c r="C173" s="40"/>
      <c r="E173" s="42"/>
      <c r="F173" s="42"/>
      <c r="G173" s="43"/>
      <c r="H173" s="43"/>
      <c r="L173" s="44"/>
    </row>
    <row r="174" spans="1:12" s="1" customFormat="1">
      <c r="A174" s="2"/>
      <c r="B174" s="5"/>
      <c r="C174" s="6"/>
      <c r="D174" s="7"/>
      <c r="E174" s="7"/>
      <c r="F174" s="7"/>
      <c r="G174" s="34"/>
      <c r="H174" s="8"/>
      <c r="L174" s="35"/>
    </row>
    <row r="175" spans="1:12" s="1" customFormat="1">
      <c r="A175" s="2"/>
      <c r="B175" s="5"/>
      <c r="C175" s="6"/>
      <c r="D175" s="36"/>
      <c r="E175" s="7"/>
      <c r="F175" s="7"/>
      <c r="G175" s="8"/>
      <c r="H175" s="8"/>
      <c r="L175" s="35"/>
    </row>
    <row r="176" spans="1:12" s="1" customFormat="1" ht="12">
      <c r="A176" s="2"/>
      <c r="B176" s="5"/>
      <c r="C176" s="9"/>
      <c r="D176" s="14"/>
      <c r="E176" s="15"/>
      <c r="F176" s="15"/>
      <c r="G176" s="16"/>
      <c r="H176" s="16"/>
      <c r="L176" s="35"/>
    </row>
    <row r="177" spans="1:12" s="1" customFormat="1" ht="12">
      <c r="A177" s="2"/>
      <c r="B177" s="5"/>
      <c r="C177" s="10"/>
      <c r="E177" s="11"/>
      <c r="F177" s="11"/>
      <c r="G177" s="12"/>
      <c r="H177" s="12"/>
      <c r="L177" s="35"/>
    </row>
    <row r="178" spans="1:12" s="1" customFormat="1" ht="12">
      <c r="A178" s="2"/>
      <c r="B178" s="5"/>
      <c r="C178" s="10"/>
      <c r="E178" s="11"/>
      <c r="F178" s="11"/>
      <c r="G178" s="12"/>
      <c r="H178" s="12"/>
      <c r="L178" s="35"/>
    </row>
    <row r="179" spans="1:12" s="1" customFormat="1" ht="12">
      <c r="A179" s="2"/>
      <c r="B179" s="5"/>
      <c r="C179" s="10"/>
      <c r="E179" s="11"/>
      <c r="F179" s="11"/>
      <c r="G179" s="12"/>
      <c r="H179" s="12"/>
      <c r="L179" s="35"/>
    </row>
    <row r="180" spans="1:12" s="1" customFormat="1" ht="12">
      <c r="A180" s="2"/>
      <c r="B180" s="5"/>
      <c r="C180" s="9"/>
      <c r="E180" s="11"/>
      <c r="F180" s="11"/>
      <c r="G180" s="12"/>
      <c r="H180" s="12"/>
      <c r="L180" s="35"/>
    </row>
    <row r="181" spans="1:12" s="1" customFormat="1" ht="12">
      <c r="A181" s="2"/>
      <c r="B181" s="5"/>
      <c r="C181" s="10"/>
      <c r="E181" s="11"/>
      <c r="F181" s="11"/>
      <c r="G181" s="12"/>
      <c r="H181" s="12"/>
      <c r="L181" s="35"/>
    </row>
    <row r="182" spans="1:12" s="1" customFormat="1" ht="12">
      <c r="A182" s="2"/>
      <c r="B182" s="5"/>
      <c r="C182" s="9"/>
      <c r="D182" s="14"/>
      <c r="E182" s="15"/>
      <c r="F182" s="15"/>
      <c r="G182" s="16"/>
      <c r="H182" s="16"/>
      <c r="L182" s="35"/>
    </row>
    <row r="183" spans="1:12" s="1" customFormat="1" ht="12">
      <c r="A183" s="2"/>
      <c r="B183" s="5"/>
      <c r="C183" s="10"/>
      <c r="E183" s="11"/>
      <c r="F183" s="11"/>
      <c r="G183" s="12"/>
      <c r="H183" s="12"/>
      <c r="L183" s="35"/>
    </row>
    <row r="184" spans="1:12" s="1" customFormat="1" ht="12">
      <c r="A184" s="2"/>
      <c r="B184" s="5"/>
      <c r="C184" s="10"/>
      <c r="E184" s="11"/>
      <c r="F184" s="11"/>
      <c r="G184" s="12"/>
      <c r="H184" s="12"/>
      <c r="L184" s="35"/>
    </row>
    <row r="185" spans="1:12" s="1" customFormat="1" ht="12">
      <c r="A185" s="2"/>
      <c r="B185" s="5"/>
      <c r="C185" s="10"/>
      <c r="E185" s="11"/>
      <c r="F185" s="11"/>
      <c r="G185" s="12"/>
      <c r="H185" s="12"/>
      <c r="L185" s="35"/>
    </row>
    <row r="186" spans="1:12" s="1" customFormat="1" ht="12">
      <c r="A186" s="2"/>
      <c r="B186" s="5"/>
      <c r="C186" s="10"/>
      <c r="E186" s="11"/>
      <c r="F186" s="11"/>
      <c r="G186" s="12"/>
      <c r="H186" s="12"/>
      <c r="L186" s="35"/>
    </row>
    <row r="187" spans="1:12" s="1" customFormat="1" ht="12">
      <c r="A187" s="2"/>
      <c r="B187" s="5"/>
      <c r="C187" s="9"/>
      <c r="D187" s="14"/>
      <c r="E187" s="15"/>
      <c r="F187" s="15"/>
      <c r="G187" s="16"/>
      <c r="H187" s="16"/>
      <c r="L187" s="35"/>
    </row>
    <row r="188" spans="1:12" s="1" customFormat="1" ht="12">
      <c r="A188" s="2"/>
      <c r="B188" s="5"/>
      <c r="C188" s="10"/>
      <c r="E188" s="11"/>
      <c r="F188" s="11"/>
      <c r="G188" s="12"/>
      <c r="H188" s="12"/>
      <c r="L188" s="35"/>
    </row>
    <row r="189" spans="1:12" s="1" customFormat="1" ht="12">
      <c r="A189" s="2"/>
      <c r="B189" s="5"/>
      <c r="C189" s="10"/>
      <c r="E189" s="11"/>
      <c r="F189" s="11"/>
      <c r="G189" s="12"/>
      <c r="H189" s="12"/>
      <c r="L189" s="35"/>
    </row>
    <row r="190" spans="1:12" s="1" customFormat="1" ht="12">
      <c r="A190" s="2"/>
      <c r="B190" s="5"/>
      <c r="C190" s="10"/>
      <c r="E190" s="11"/>
      <c r="F190" s="11"/>
      <c r="G190" s="12"/>
      <c r="H190" s="12"/>
      <c r="L190" s="35"/>
    </row>
    <row r="191" spans="1:12" s="1" customFormat="1" ht="12">
      <c r="A191" s="2"/>
      <c r="B191" s="5"/>
      <c r="C191" s="10"/>
      <c r="E191" s="11"/>
      <c r="F191" s="11"/>
      <c r="G191" s="12"/>
      <c r="H191" s="12"/>
      <c r="L191" s="35"/>
    </row>
    <row r="192" spans="1:12" s="1" customFormat="1" ht="12">
      <c r="A192" s="2"/>
      <c r="B192" s="5"/>
      <c r="C192" s="10"/>
      <c r="E192" s="11"/>
      <c r="F192" s="11"/>
      <c r="G192" s="12"/>
      <c r="H192" s="12"/>
      <c r="L192" s="35"/>
    </row>
    <row r="193" spans="1:12" s="1" customFormat="1" ht="12">
      <c r="A193" s="2"/>
      <c r="B193" s="5"/>
      <c r="C193" s="9"/>
      <c r="D193" s="14"/>
      <c r="E193" s="15"/>
      <c r="F193" s="15"/>
      <c r="G193" s="16"/>
      <c r="H193" s="16"/>
      <c r="L193" s="35"/>
    </row>
    <row r="194" spans="1:12" s="1" customFormat="1" ht="12">
      <c r="A194" s="2"/>
      <c r="B194" s="5"/>
      <c r="C194" s="10"/>
      <c r="E194" s="11"/>
      <c r="F194" s="11"/>
      <c r="G194" s="12"/>
      <c r="H194" s="12"/>
      <c r="L194" s="35"/>
    </row>
    <row r="195" spans="1:12" s="1" customFormat="1" ht="12">
      <c r="A195" s="2"/>
      <c r="B195" s="5"/>
      <c r="C195" s="10"/>
      <c r="E195" s="11"/>
      <c r="F195" s="11"/>
      <c r="G195" s="12"/>
      <c r="H195" s="12"/>
      <c r="L195" s="35"/>
    </row>
    <row r="196" spans="1:12" s="1" customFormat="1" ht="12">
      <c r="A196" s="2"/>
      <c r="B196" s="5"/>
      <c r="C196" s="9"/>
      <c r="D196" s="14"/>
      <c r="E196" s="15"/>
      <c r="F196" s="15"/>
      <c r="G196" s="16"/>
      <c r="H196" s="16"/>
      <c r="L196" s="35"/>
    </row>
    <row r="197" spans="1:12" s="1" customFormat="1" ht="12">
      <c r="A197" s="2"/>
      <c r="B197" s="5"/>
      <c r="C197" s="10"/>
      <c r="E197" s="11"/>
      <c r="F197" s="11"/>
      <c r="G197" s="12"/>
      <c r="H197" s="12"/>
      <c r="L197" s="35"/>
    </row>
    <row r="198" spans="1:12" s="1" customFormat="1" ht="12">
      <c r="A198" s="2"/>
      <c r="B198" s="5"/>
      <c r="C198" s="9"/>
      <c r="D198" s="14"/>
      <c r="E198" s="15"/>
      <c r="F198" s="15"/>
      <c r="G198" s="16"/>
      <c r="H198" s="16"/>
      <c r="L198" s="35"/>
    </row>
    <row r="199" spans="1:12" s="1" customFormat="1" ht="12">
      <c r="A199" s="2"/>
      <c r="B199" s="5"/>
      <c r="C199" s="10"/>
      <c r="E199" s="11"/>
      <c r="F199" s="11"/>
      <c r="G199" s="12"/>
      <c r="H199" s="12"/>
      <c r="L199" s="35"/>
    </row>
    <row r="200" spans="1:12" s="1" customFormat="1" ht="12">
      <c r="A200" s="2"/>
      <c r="B200" s="5"/>
      <c r="C200" s="10"/>
      <c r="E200" s="11"/>
      <c r="F200" s="11"/>
      <c r="G200" s="12"/>
      <c r="H200" s="12"/>
      <c r="L200" s="35"/>
    </row>
    <row r="201" spans="1:12" s="1" customFormat="1" ht="12">
      <c r="A201" s="2"/>
      <c r="B201" s="5"/>
      <c r="C201" s="10"/>
      <c r="E201" s="11"/>
      <c r="F201" s="11"/>
      <c r="G201" s="12"/>
      <c r="H201" s="12"/>
      <c r="L201" s="35"/>
    </row>
    <row r="202" spans="1:12" s="1" customFormat="1" ht="12">
      <c r="A202" s="2"/>
      <c r="B202" s="5"/>
      <c r="C202" s="10"/>
      <c r="E202" s="11"/>
      <c r="F202" s="11"/>
      <c r="G202" s="12"/>
      <c r="H202" s="12"/>
      <c r="L202" s="35"/>
    </row>
    <row r="203" spans="1:12" s="3" customFormat="1" ht="12">
      <c r="A203" s="2"/>
      <c r="B203" s="5"/>
      <c r="C203" s="10"/>
      <c r="D203" s="1"/>
      <c r="E203" s="11"/>
      <c r="F203" s="11"/>
      <c r="G203" s="12"/>
      <c r="H203" s="12"/>
      <c r="L203" s="35"/>
    </row>
    <row r="204" spans="1:12" s="1" customFormat="1" ht="12">
      <c r="A204" s="2"/>
      <c r="B204" s="5"/>
      <c r="C204" s="10"/>
      <c r="E204" s="11"/>
      <c r="F204" s="11"/>
      <c r="G204" s="12"/>
      <c r="H204" s="12"/>
      <c r="L204" s="35"/>
    </row>
    <row r="205" spans="1:12" s="1" customFormat="1" ht="12">
      <c r="A205" s="2"/>
      <c r="B205" s="5"/>
      <c r="C205" s="10"/>
      <c r="E205" s="11"/>
      <c r="F205" s="11"/>
      <c r="G205" s="12"/>
      <c r="H205" s="12"/>
      <c r="L205" s="35"/>
    </row>
    <row r="206" spans="1:12" s="1" customFormat="1" ht="12">
      <c r="A206" s="2"/>
      <c r="B206" s="5"/>
      <c r="C206" s="9"/>
      <c r="D206" s="14"/>
      <c r="E206" s="15"/>
      <c r="F206" s="15"/>
      <c r="G206" s="16"/>
      <c r="H206" s="16"/>
      <c r="L206" s="35"/>
    </row>
    <row r="207" spans="1:12" s="1" customFormat="1" ht="12">
      <c r="A207" s="2"/>
      <c r="B207" s="5"/>
      <c r="C207" s="10"/>
      <c r="E207" s="11"/>
      <c r="F207" s="11"/>
      <c r="G207" s="12"/>
      <c r="H207" s="12"/>
      <c r="L207" s="35"/>
    </row>
    <row r="208" spans="1:12" s="1" customFormat="1" ht="12">
      <c r="A208" s="2"/>
      <c r="B208" s="5"/>
      <c r="C208" s="10"/>
      <c r="E208" s="11"/>
      <c r="F208" s="11"/>
      <c r="G208" s="12"/>
      <c r="H208" s="12"/>
      <c r="L208" s="35"/>
    </row>
    <row r="209" spans="1:12" s="1" customFormat="1" ht="12">
      <c r="A209" s="2"/>
      <c r="B209" s="5"/>
      <c r="C209" s="10"/>
      <c r="E209" s="11"/>
      <c r="F209" s="11"/>
      <c r="G209" s="12"/>
      <c r="H209" s="12"/>
      <c r="L209" s="35"/>
    </row>
    <row r="210" spans="1:12" s="1" customFormat="1" ht="12">
      <c r="A210" s="2"/>
      <c r="B210" s="5"/>
      <c r="C210" s="10"/>
      <c r="E210" s="11"/>
      <c r="F210" s="11"/>
      <c r="G210" s="12"/>
      <c r="H210" s="12"/>
      <c r="L210" s="35"/>
    </row>
    <row r="211" spans="1:12" s="3" customFormat="1" ht="12">
      <c r="A211" s="2"/>
      <c r="B211" s="5"/>
      <c r="C211" s="10"/>
      <c r="D211" s="1"/>
      <c r="E211" s="11"/>
      <c r="F211" s="11"/>
      <c r="G211" s="12"/>
      <c r="H211" s="12"/>
      <c r="L211" s="35"/>
    </row>
    <row r="212" spans="1:12" s="1" customFormat="1" ht="12">
      <c r="A212" s="2"/>
      <c r="B212" s="5"/>
      <c r="C212" s="9"/>
      <c r="D212" s="14"/>
      <c r="E212" s="15"/>
      <c r="F212" s="15"/>
      <c r="G212" s="16"/>
      <c r="H212" s="16"/>
      <c r="L212" s="35"/>
    </row>
    <row r="213" spans="1:12" s="1" customFormat="1" ht="12">
      <c r="A213" s="2"/>
      <c r="B213" s="5"/>
      <c r="C213" s="10"/>
      <c r="E213" s="11"/>
      <c r="F213" s="11"/>
      <c r="G213" s="12"/>
      <c r="H213" s="12"/>
      <c r="L213" s="35"/>
    </row>
    <row r="214" spans="1:12" s="1" customFormat="1" ht="12">
      <c r="A214" s="2"/>
      <c r="B214" s="5"/>
      <c r="C214" s="10"/>
      <c r="E214" s="11"/>
      <c r="F214" s="11"/>
      <c r="G214" s="12"/>
      <c r="H214" s="12"/>
      <c r="L214" s="35"/>
    </row>
    <row r="215" spans="1:12" s="1" customFormat="1" ht="12">
      <c r="A215" s="2"/>
      <c r="B215" s="5"/>
      <c r="C215" s="10"/>
      <c r="E215" s="11"/>
      <c r="F215" s="11"/>
      <c r="G215" s="12"/>
      <c r="H215" s="12"/>
      <c r="L215" s="35"/>
    </row>
    <row r="216" spans="1:12" s="3" customFormat="1" ht="12">
      <c r="A216" s="2"/>
      <c r="B216" s="5"/>
      <c r="C216" s="10"/>
      <c r="D216" s="1"/>
      <c r="E216" s="11"/>
      <c r="F216" s="11"/>
      <c r="G216" s="12"/>
      <c r="H216" s="12"/>
      <c r="L216" s="35"/>
    </row>
    <row r="217" spans="1:12" s="4" customFormat="1" ht="15">
      <c r="A217" s="38"/>
      <c r="B217" s="39"/>
      <c r="C217" s="40"/>
      <c r="D217" s="41"/>
      <c r="E217" s="42"/>
      <c r="F217" s="42"/>
      <c r="G217" s="43"/>
      <c r="H217" s="43"/>
      <c r="L217" s="44"/>
    </row>
    <row r="218" spans="1:12" s="1" customFormat="1">
      <c r="A218" s="2"/>
      <c r="B218" s="5"/>
      <c r="C218" s="6"/>
      <c r="D218" s="7"/>
      <c r="E218" s="7"/>
      <c r="F218" s="7"/>
      <c r="G218" s="34"/>
      <c r="H218" s="8"/>
      <c r="L218" s="35"/>
    </row>
    <row r="219" spans="1:12" s="1" customFormat="1">
      <c r="A219" s="2"/>
      <c r="B219" s="5"/>
      <c r="C219" s="6"/>
      <c r="D219" s="36"/>
      <c r="E219" s="7"/>
      <c r="F219" s="7"/>
      <c r="G219" s="8"/>
      <c r="H219" s="8"/>
      <c r="L219" s="35"/>
    </row>
    <row r="220" spans="1:12" s="1" customFormat="1" ht="12">
      <c r="A220" s="2"/>
      <c r="B220" s="5"/>
      <c r="C220" s="9"/>
      <c r="D220" s="14"/>
      <c r="E220" s="15"/>
      <c r="F220" s="15"/>
      <c r="G220" s="16"/>
      <c r="H220" s="16"/>
      <c r="L220" s="35"/>
    </row>
    <row r="221" spans="1:12" s="1" customFormat="1" ht="12">
      <c r="A221" s="2"/>
      <c r="B221" s="5"/>
      <c r="C221" s="10"/>
      <c r="E221" s="11"/>
      <c r="F221" s="11"/>
      <c r="G221" s="12"/>
      <c r="H221" s="12"/>
      <c r="L221" s="35"/>
    </row>
    <row r="222" spans="1:12" s="1" customFormat="1" ht="12">
      <c r="A222" s="2"/>
      <c r="B222" s="5"/>
      <c r="C222" s="10"/>
      <c r="E222" s="11"/>
      <c r="F222" s="11"/>
      <c r="G222" s="12"/>
      <c r="H222" s="12"/>
      <c r="L222" s="35"/>
    </row>
    <row r="223" spans="1:12" s="1" customFormat="1" ht="12">
      <c r="A223" s="2"/>
      <c r="B223" s="5"/>
      <c r="C223" s="9"/>
      <c r="D223" s="14"/>
      <c r="E223" s="15"/>
      <c r="F223" s="15"/>
      <c r="G223" s="16"/>
      <c r="H223" s="16"/>
      <c r="L223" s="35"/>
    </row>
    <row r="224" spans="1:12" s="1" customFormat="1" ht="12">
      <c r="A224" s="2"/>
      <c r="B224" s="5"/>
      <c r="C224" s="10"/>
      <c r="E224" s="11"/>
      <c r="F224" s="11"/>
      <c r="G224" s="12"/>
      <c r="H224" s="12"/>
      <c r="L224" s="35"/>
    </row>
    <row r="225" spans="1:12" s="1" customFormat="1" ht="12">
      <c r="A225" s="2"/>
      <c r="B225" s="5"/>
      <c r="C225" s="10"/>
      <c r="E225" s="11"/>
      <c r="F225" s="11"/>
      <c r="G225" s="12"/>
      <c r="H225" s="12"/>
      <c r="L225" s="35"/>
    </row>
    <row r="226" spans="1:12" s="1" customFormat="1" ht="12">
      <c r="A226" s="2"/>
      <c r="B226" s="5"/>
      <c r="C226" s="10"/>
      <c r="E226" s="11"/>
      <c r="F226" s="11"/>
      <c r="G226" s="12"/>
      <c r="H226" s="12"/>
      <c r="L226" s="35"/>
    </row>
    <row r="227" spans="1:12" s="45" customFormat="1" ht="12">
      <c r="A227" s="2"/>
      <c r="B227" s="5"/>
      <c r="C227" s="10"/>
      <c r="D227" s="1"/>
      <c r="E227" s="11"/>
      <c r="F227" s="11"/>
      <c r="G227" s="12"/>
      <c r="H227" s="12"/>
      <c r="L227" s="35"/>
    </row>
    <row r="228" spans="1:12" s="45" customFormat="1" ht="12">
      <c r="A228" s="2"/>
      <c r="B228" s="5"/>
      <c r="C228" s="10"/>
      <c r="D228" s="1"/>
      <c r="E228" s="11"/>
      <c r="F228" s="11"/>
      <c r="G228" s="12"/>
      <c r="H228" s="12"/>
      <c r="L228" s="35"/>
    </row>
    <row r="229" spans="1:12" s="1" customFormat="1" ht="12">
      <c r="A229" s="2"/>
      <c r="B229" s="5"/>
      <c r="C229" s="10"/>
      <c r="E229" s="11"/>
      <c r="F229" s="11"/>
      <c r="G229" s="12"/>
      <c r="H229" s="12"/>
      <c r="L229" s="35"/>
    </row>
    <row r="230" spans="1:12" s="1" customFormat="1" ht="12">
      <c r="A230" s="2"/>
      <c r="B230" s="5"/>
      <c r="C230" s="10"/>
      <c r="E230" s="11"/>
      <c r="F230" s="11"/>
      <c r="G230" s="12"/>
      <c r="H230" s="12"/>
      <c r="L230" s="35"/>
    </row>
    <row r="231" spans="1:12" s="1" customFormat="1" ht="12">
      <c r="A231" s="2"/>
      <c r="B231" s="5"/>
      <c r="C231" s="10"/>
      <c r="E231" s="11"/>
      <c r="F231" s="11"/>
      <c r="G231" s="12"/>
      <c r="H231" s="12"/>
      <c r="L231" s="35"/>
    </row>
    <row r="232" spans="1:12" s="1" customFormat="1" ht="12">
      <c r="A232" s="2"/>
      <c r="B232" s="5"/>
      <c r="C232" s="9"/>
      <c r="E232" s="11"/>
      <c r="F232" s="11"/>
      <c r="G232" s="12"/>
      <c r="H232" s="12"/>
      <c r="L232" s="35"/>
    </row>
    <row r="233" spans="1:12" s="1" customFormat="1" ht="12">
      <c r="A233" s="2"/>
      <c r="B233" s="5"/>
      <c r="C233" s="10"/>
      <c r="E233" s="11"/>
      <c r="F233" s="11"/>
      <c r="G233" s="12"/>
      <c r="H233" s="12"/>
      <c r="L233" s="35"/>
    </row>
    <row r="234" spans="1:12" s="1" customFormat="1" ht="12">
      <c r="A234" s="2"/>
      <c r="B234" s="5"/>
      <c r="C234" s="10"/>
      <c r="E234" s="11"/>
      <c r="F234" s="11"/>
      <c r="G234" s="12"/>
      <c r="H234" s="12"/>
      <c r="L234" s="35"/>
    </row>
    <row r="235" spans="1:12" s="1" customFormat="1" ht="12">
      <c r="A235" s="2"/>
      <c r="B235" s="5"/>
      <c r="C235" s="9"/>
      <c r="D235" s="14"/>
      <c r="E235" s="15"/>
      <c r="F235" s="15"/>
      <c r="G235" s="16"/>
      <c r="H235" s="16"/>
      <c r="L235" s="35"/>
    </row>
    <row r="236" spans="1:12" s="1" customFormat="1" ht="12">
      <c r="A236" s="2"/>
      <c r="B236" s="5"/>
      <c r="C236" s="10"/>
      <c r="E236" s="11"/>
      <c r="F236" s="11"/>
      <c r="G236" s="12"/>
      <c r="H236" s="12"/>
      <c r="L236" s="35"/>
    </row>
    <row r="237" spans="1:12" s="1" customFormat="1" ht="12">
      <c r="A237" s="2"/>
      <c r="B237" s="5"/>
      <c r="C237" s="10"/>
      <c r="E237" s="11"/>
      <c r="F237" s="11"/>
      <c r="G237" s="12"/>
      <c r="H237" s="12"/>
      <c r="L237" s="35"/>
    </row>
    <row r="238" spans="1:12" s="1" customFormat="1" ht="12">
      <c r="A238" s="2"/>
      <c r="B238" s="5"/>
      <c r="C238" s="9"/>
      <c r="D238" s="14"/>
      <c r="E238" s="15"/>
      <c r="F238" s="15"/>
      <c r="G238" s="16"/>
      <c r="H238" s="16"/>
      <c r="L238" s="35"/>
    </row>
    <row r="239" spans="1:12" s="1" customFormat="1" ht="12">
      <c r="A239" s="2"/>
      <c r="B239" s="5"/>
      <c r="C239" s="10"/>
      <c r="E239" s="11"/>
      <c r="F239" s="11"/>
      <c r="G239" s="12"/>
      <c r="H239" s="12"/>
      <c r="L239" s="35"/>
    </row>
    <row r="240" spans="1:12" s="1" customFormat="1" ht="12">
      <c r="A240" s="2"/>
      <c r="B240" s="5"/>
      <c r="C240" s="10"/>
      <c r="E240" s="11"/>
      <c r="F240" s="11"/>
      <c r="G240" s="12"/>
      <c r="H240" s="12"/>
      <c r="L240" s="35"/>
    </row>
    <row r="241" spans="1:12" s="45" customFormat="1" ht="12">
      <c r="A241" s="2"/>
      <c r="B241" s="5"/>
      <c r="C241" s="9"/>
      <c r="D241" s="1"/>
      <c r="E241" s="11"/>
      <c r="F241" s="11"/>
      <c r="G241" s="12"/>
      <c r="H241" s="12"/>
      <c r="L241" s="35"/>
    </row>
    <row r="242" spans="1:12" s="1" customFormat="1" ht="12">
      <c r="A242" s="2"/>
      <c r="B242" s="5"/>
      <c r="C242" s="10"/>
      <c r="E242" s="11"/>
      <c r="F242" s="11"/>
      <c r="G242" s="12"/>
      <c r="H242" s="12"/>
      <c r="L242" s="35"/>
    </row>
    <row r="243" spans="1:12" s="1" customFormat="1" ht="12">
      <c r="A243" s="2"/>
      <c r="B243" s="5"/>
      <c r="C243" s="10"/>
      <c r="E243" s="11"/>
      <c r="F243" s="11"/>
      <c r="G243" s="12"/>
      <c r="H243" s="12"/>
      <c r="L243" s="35"/>
    </row>
    <row r="244" spans="1:12" s="1" customFormat="1" ht="12">
      <c r="A244" s="2"/>
      <c r="B244" s="5"/>
      <c r="C244" s="10"/>
      <c r="E244" s="11"/>
      <c r="F244" s="11"/>
      <c r="G244" s="12"/>
      <c r="H244" s="12"/>
      <c r="L244" s="35"/>
    </row>
    <row r="245" spans="1:12" s="41" customFormat="1" ht="15">
      <c r="A245" s="38"/>
      <c r="B245" s="39"/>
      <c r="C245" s="40"/>
      <c r="E245" s="42"/>
      <c r="F245" s="42"/>
      <c r="G245" s="43"/>
      <c r="H245" s="43"/>
      <c r="L245" s="44"/>
    </row>
    <row r="246" spans="1:12" s="1" customFormat="1">
      <c r="A246" s="2"/>
      <c r="B246" s="5"/>
      <c r="C246" s="6"/>
      <c r="D246" s="7"/>
      <c r="E246" s="7"/>
      <c r="F246" s="7"/>
      <c r="G246" s="34"/>
      <c r="H246" s="8"/>
      <c r="L246" s="35"/>
    </row>
    <row r="247" spans="1:12" s="1" customFormat="1">
      <c r="A247" s="2"/>
      <c r="B247" s="5"/>
      <c r="C247" s="6"/>
      <c r="D247" s="36"/>
      <c r="E247" s="7"/>
      <c r="F247" s="7"/>
      <c r="G247" s="8"/>
      <c r="H247" s="8"/>
      <c r="L247" s="35"/>
    </row>
    <row r="248" spans="1:12" s="1" customFormat="1" ht="12">
      <c r="A248" s="2"/>
      <c r="B248" s="5"/>
      <c r="C248" s="9"/>
      <c r="D248" s="14"/>
      <c r="E248" s="15"/>
      <c r="F248" s="15"/>
      <c r="G248" s="16"/>
      <c r="H248" s="16"/>
      <c r="L248" s="35"/>
    </row>
    <row r="249" spans="1:12" s="1" customFormat="1" ht="12">
      <c r="A249" s="2"/>
      <c r="B249" s="5"/>
      <c r="C249" s="10"/>
      <c r="E249" s="11"/>
      <c r="F249" s="11"/>
      <c r="G249" s="12"/>
      <c r="H249" s="12"/>
      <c r="L249" s="35"/>
    </row>
    <row r="250" spans="1:12" s="1" customFormat="1" ht="12">
      <c r="A250" s="2"/>
      <c r="B250" s="5"/>
      <c r="C250" s="10"/>
      <c r="E250" s="11"/>
      <c r="F250" s="11"/>
      <c r="G250" s="12"/>
      <c r="H250" s="12"/>
      <c r="L250" s="35"/>
    </row>
    <row r="251" spans="1:12" s="1" customFormat="1" ht="12">
      <c r="A251" s="2"/>
      <c r="B251" s="5"/>
      <c r="C251" s="9"/>
      <c r="D251" s="14"/>
      <c r="E251" s="15"/>
      <c r="F251" s="15"/>
      <c r="G251" s="16"/>
      <c r="H251" s="16"/>
      <c r="L251" s="35"/>
    </row>
    <row r="252" spans="1:12" s="1" customFormat="1" ht="12">
      <c r="A252" s="2"/>
      <c r="B252" s="5"/>
      <c r="C252" s="10"/>
      <c r="E252" s="11"/>
      <c r="F252" s="11"/>
      <c r="G252" s="12"/>
      <c r="H252" s="12"/>
      <c r="L252" s="35"/>
    </row>
    <row r="253" spans="1:12" s="1" customFormat="1" ht="12">
      <c r="A253" s="2"/>
      <c r="B253" s="5"/>
      <c r="C253" s="10"/>
      <c r="E253" s="11"/>
      <c r="F253" s="11"/>
      <c r="G253" s="12"/>
      <c r="H253" s="12"/>
      <c r="L253" s="35"/>
    </row>
    <row r="254" spans="1:12" s="1" customFormat="1" ht="12">
      <c r="A254" s="2"/>
      <c r="B254" s="5"/>
      <c r="C254" s="10"/>
      <c r="E254" s="11"/>
      <c r="F254" s="11"/>
      <c r="G254" s="12"/>
      <c r="H254" s="12"/>
      <c r="L254" s="35"/>
    </row>
    <row r="255" spans="1:12" s="45" customFormat="1" ht="12">
      <c r="A255" s="2"/>
      <c r="B255" s="5"/>
      <c r="C255" s="10"/>
      <c r="D255" s="1"/>
      <c r="E255" s="11"/>
      <c r="F255" s="11"/>
      <c r="G255" s="12"/>
      <c r="H255" s="12"/>
      <c r="L255" s="35"/>
    </row>
    <row r="256" spans="1:12" s="45" customFormat="1" ht="12">
      <c r="A256" s="2"/>
      <c r="B256" s="5"/>
      <c r="C256" s="10"/>
      <c r="D256" s="1"/>
      <c r="E256" s="11"/>
      <c r="F256" s="11"/>
      <c r="G256" s="12"/>
      <c r="H256" s="12"/>
      <c r="L256" s="35"/>
    </row>
    <row r="257" spans="1:12" s="1" customFormat="1" ht="12">
      <c r="A257" s="2"/>
      <c r="B257" s="5"/>
      <c r="C257" s="10"/>
      <c r="E257" s="11"/>
      <c r="F257" s="11"/>
      <c r="G257" s="12"/>
      <c r="H257" s="12"/>
      <c r="L257" s="35"/>
    </row>
    <row r="258" spans="1:12" s="1" customFormat="1" ht="12">
      <c r="A258" s="2"/>
      <c r="B258" s="5"/>
      <c r="C258" s="10"/>
      <c r="E258" s="11"/>
      <c r="F258" s="11"/>
      <c r="G258" s="12"/>
      <c r="H258" s="12"/>
      <c r="L258" s="35"/>
    </row>
    <row r="259" spans="1:12" s="1" customFormat="1" ht="12">
      <c r="A259" s="2"/>
      <c r="B259" s="5"/>
      <c r="C259" s="10"/>
      <c r="E259" s="11"/>
      <c r="F259" s="11"/>
      <c r="G259" s="12"/>
      <c r="H259" s="12"/>
      <c r="L259" s="35"/>
    </row>
    <row r="260" spans="1:12" s="1" customFormat="1" ht="12">
      <c r="A260" s="2"/>
      <c r="B260" s="5"/>
      <c r="C260" s="9"/>
      <c r="E260" s="11"/>
      <c r="F260" s="11"/>
      <c r="G260" s="12"/>
      <c r="H260" s="12"/>
      <c r="L260" s="35"/>
    </row>
    <row r="261" spans="1:12" s="1" customFormat="1" ht="12">
      <c r="A261" s="2"/>
      <c r="B261" s="5"/>
      <c r="C261" s="10"/>
      <c r="E261" s="11"/>
      <c r="F261" s="11"/>
      <c r="G261" s="12"/>
      <c r="H261" s="12"/>
      <c r="L261" s="35"/>
    </row>
    <row r="262" spans="1:12" s="1" customFormat="1" ht="12">
      <c r="A262" s="2"/>
      <c r="B262" s="5"/>
      <c r="C262" s="10"/>
      <c r="E262" s="11"/>
      <c r="F262" s="11"/>
      <c r="G262" s="12"/>
      <c r="H262" s="12"/>
      <c r="L262" s="35"/>
    </row>
    <row r="263" spans="1:12" s="1" customFormat="1" ht="12">
      <c r="A263" s="2"/>
      <c r="B263" s="5"/>
      <c r="C263" s="9"/>
      <c r="D263" s="14"/>
      <c r="E263" s="15"/>
      <c r="F263" s="15"/>
      <c r="G263" s="16"/>
      <c r="H263" s="16"/>
      <c r="L263" s="35"/>
    </row>
    <row r="264" spans="1:12" s="1" customFormat="1" ht="12">
      <c r="A264" s="2"/>
      <c r="B264" s="5"/>
      <c r="C264" s="10"/>
      <c r="E264" s="11"/>
      <c r="F264" s="11"/>
      <c r="G264" s="12"/>
      <c r="H264" s="12"/>
      <c r="L264" s="35"/>
    </row>
    <row r="265" spans="1:12" s="1" customFormat="1" ht="12">
      <c r="A265" s="2"/>
      <c r="B265" s="5"/>
      <c r="C265" s="10"/>
      <c r="E265" s="11"/>
      <c r="F265" s="11"/>
      <c r="G265" s="12"/>
      <c r="H265" s="12"/>
      <c r="L265" s="35"/>
    </row>
    <row r="266" spans="1:12" s="1" customFormat="1" ht="12">
      <c r="A266" s="2"/>
      <c r="B266" s="5"/>
      <c r="C266" s="9"/>
      <c r="D266" s="14"/>
      <c r="E266" s="15"/>
      <c r="F266" s="15"/>
      <c r="G266" s="16"/>
      <c r="H266" s="16"/>
      <c r="L266" s="35"/>
    </row>
    <row r="267" spans="1:12" s="1" customFormat="1" ht="12">
      <c r="A267" s="2"/>
      <c r="B267" s="5"/>
      <c r="C267" s="10"/>
      <c r="E267" s="11"/>
      <c r="F267" s="11"/>
      <c r="G267" s="12"/>
      <c r="H267" s="12"/>
      <c r="L267" s="35"/>
    </row>
    <row r="268" spans="1:12" s="1" customFormat="1" ht="12">
      <c r="A268" s="2"/>
      <c r="B268" s="5"/>
      <c r="C268" s="10"/>
      <c r="E268" s="11"/>
      <c r="F268" s="11"/>
      <c r="G268" s="12"/>
      <c r="H268" s="12"/>
      <c r="L268" s="35"/>
    </row>
    <row r="269" spans="1:12" s="45" customFormat="1" ht="12">
      <c r="A269" s="2"/>
      <c r="B269" s="5"/>
      <c r="C269" s="9"/>
      <c r="D269" s="1"/>
      <c r="E269" s="11"/>
      <c r="F269" s="11"/>
      <c r="G269" s="12"/>
      <c r="H269" s="12"/>
      <c r="L269" s="35"/>
    </row>
    <row r="270" spans="1:12" s="1" customFormat="1" ht="12">
      <c r="A270" s="2"/>
      <c r="B270" s="5"/>
      <c r="C270" s="10"/>
      <c r="E270" s="11"/>
      <c r="F270" s="11"/>
      <c r="G270" s="12"/>
      <c r="H270" s="12"/>
      <c r="L270" s="35"/>
    </row>
    <row r="271" spans="1:12" s="1" customFormat="1" ht="12">
      <c r="A271" s="2"/>
      <c r="B271" s="5"/>
      <c r="C271" s="10"/>
      <c r="E271" s="11"/>
      <c r="F271" s="11"/>
      <c r="G271" s="12"/>
      <c r="H271" s="12"/>
      <c r="L271" s="35"/>
    </row>
    <row r="272" spans="1:12" s="1" customFormat="1" ht="12">
      <c r="A272" s="2"/>
      <c r="B272" s="5"/>
      <c r="C272" s="10"/>
      <c r="E272" s="11"/>
      <c r="F272" s="11"/>
      <c r="G272" s="12"/>
      <c r="H272" s="12"/>
      <c r="L272" s="35"/>
    </row>
    <row r="273" spans="1:12" s="41" customFormat="1" ht="15">
      <c r="A273" s="38"/>
      <c r="B273" s="39"/>
      <c r="C273" s="40"/>
      <c r="E273" s="42"/>
      <c r="F273" s="42"/>
      <c r="G273" s="43"/>
      <c r="H273" s="43"/>
      <c r="L273" s="44"/>
    </row>
    <row r="274" spans="1:12" s="1" customFormat="1">
      <c r="A274" s="2"/>
      <c r="B274" s="5"/>
      <c r="C274" s="6"/>
      <c r="D274" s="7"/>
      <c r="E274" s="7"/>
      <c r="F274" s="7"/>
      <c r="G274" s="34"/>
      <c r="H274" s="8"/>
      <c r="L274" s="35"/>
    </row>
    <row r="275" spans="1:12" s="1" customFormat="1" ht="52.5" customHeight="1">
      <c r="A275" s="2"/>
      <c r="B275" s="5"/>
      <c r="C275" s="6"/>
      <c r="D275" s="36"/>
      <c r="E275" s="7"/>
      <c r="F275" s="7"/>
      <c r="G275" s="46"/>
      <c r="H275" s="47"/>
      <c r="L275" s="35"/>
    </row>
    <row r="276" spans="1:12" s="1" customFormat="1" ht="12">
      <c r="A276" s="2"/>
      <c r="B276" s="5"/>
      <c r="C276" s="9"/>
      <c r="D276" s="14"/>
      <c r="E276" s="15"/>
      <c r="F276" s="15"/>
      <c r="G276" s="16"/>
      <c r="H276" s="16"/>
      <c r="L276" s="35"/>
    </row>
    <row r="277" spans="1:12" s="1" customFormat="1" ht="12">
      <c r="A277" s="2"/>
      <c r="B277" s="5"/>
      <c r="C277" s="10"/>
      <c r="E277" s="11"/>
      <c r="F277" s="11"/>
      <c r="G277" s="12"/>
      <c r="H277" s="12"/>
      <c r="L277" s="35"/>
    </row>
    <row r="278" spans="1:12" s="1" customFormat="1" ht="12">
      <c r="A278" s="2"/>
      <c r="B278" s="5"/>
      <c r="C278" s="10"/>
      <c r="E278" s="11"/>
      <c r="F278" s="11"/>
      <c r="G278" s="12"/>
      <c r="H278" s="12"/>
      <c r="L278" s="35"/>
    </row>
    <row r="279" spans="1:12" s="1" customFormat="1" ht="12">
      <c r="A279" s="2"/>
      <c r="B279" s="5"/>
      <c r="C279" s="9"/>
      <c r="D279" s="14"/>
      <c r="E279" s="15"/>
      <c r="F279" s="15"/>
      <c r="G279" s="16"/>
      <c r="H279" s="16"/>
      <c r="L279" s="35"/>
    </row>
    <row r="280" spans="1:12" s="1" customFormat="1" ht="12">
      <c r="A280" s="2"/>
      <c r="B280" s="5"/>
      <c r="C280" s="10"/>
      <c r="E280" s="11"/>
      <c r="F280" s="11"/>
      <c r="G280" s="12"/>
      <c r="H280" s="12"/>
      <c r="L280" s="35"/>
    </row>
    <row r="281" spans="1:12" s="1" customFormat="1" ht="12">
      <c r="A281" s="2"/>
      <c r="B281" s="5"/>
      <c r="C281" s="10"/>
      <c r="E281" s="11"/>
      <c r="F281" s="11"/>
      <c r="G281" s="12"/>
      <c r="H281" s="12"/>
      <c r="L281" s="35"/>
    </row>
    <row r="282" spans="1:12" s="1" customFormat="1" ht="12">
      <c r="A282" s="2"/>
      <c r="B282" s="5"/>
      <c r="C282" s="10"/>
      <c r="E282" s="11"/>
      <c r="F282" s="11"/>
      <c r="G282" s="12"/>
      <c r="H282" s="12"/>
      <c r="L282" s="35"/>
    </row>
    <row r="283" spans="1:12" s="1" customFormat="1" ht="12">
      <c r="A283" s="2"/>
      <c r="B283" s="5"/>
      <c r="C283" s="10"/>
      <c r="E283" s="11"/>
      <c r="F283" s="11"/>
      <c r="G283" s="12"/>
      <c r="H283" s="12"/>
      <c r="L283" s="35"/>
    </row>
    <row r="284" spans="1:12" s="1" customFormat="1" ht="12">
      <c r="A284" s="2"/>
      <c r="B284" s="5"/>
      <c r="C284" s="9"/>
      <c r="D284" s="14"/>
      <c r="E284" s="15"/>
      <c r="F284" s="15"/>
      <c r="G284" s="16"/>
      <c r="H284" s="16"/>
      <c r="L284" s="35"/>
    </row>
    <row r="285" spans="1:12" s="1" customFormat="1" ht="12">
      <c r="A285" s="2"/>
      <c r="B285" s="5"/>
      <c r="C285" s="10"/>
      <c r="E285" s="11"/>
      <c r="F285" s="11"/>
      <c r="G285" s="12"/>
      <c r="H285" s="12"/>
      <c r="L285" s="35"/>
    </row>
    <row r="286" spans="1:12" s="1" customFormat="1" ht="12">
      <c r="A286" s="2"/>
      <c r="B286" s="5"/>
      <c r="C286" s="10"/>
      <c r="E286" s="11"/>
      <c r="F286" s="11"/>
      <c r="G286" s="12"/>
      <c r="H286" s="12"/>
      <c r="L286" s="35"/>
    </row>
    <row r="287" spans="1:12" s="1" customFormat="1" ht="12">
      <c r="A287" s="2"/>
      <c r="B287" s="5"/>
      <c r="C287" s="10"/>
      <c r="E287" s="11"/>
      <c r="F287" s="11"/>
      <c r="G287" s="12"/>
      <c r="H287" s="12"/>
      <c r="L287" s="35"/>
    </row>
    <row r="288" spans="1:12" s="1" customFormat="1" ht="12">
      <c r="A288" s="2"/>
      <c r="B288" s="5"/>
      <c r="C288" s="10"/>
      <c r="E288" s="11"/>
      <c r="F288" s="11"/>
      <c r="G288" s="12"/>
      <c r="H288" s="12"/>
      <c r="L288" s="35"/>
    </row>
    <row r="289" spans="1:12" s="1" customFormat="1" ht="12">
      <c r="A289" s="2"/>
      <c r="B289" s="5"/>
      <c r="C289" s="10"/>
      <c r="E289" s="11"/>
      <c r="F289" s="11"/>
      <c r="G289" s="12"/>
      <c r="H289" s="12"/>
      <c r="L289" s="35"/>
    </row>
    <row r="290" spans="1:12" s="1" customFormat="1" ht="24.75" customHeight="1">
      <c r="A290" s="2"/>
      <c r="B290" s="5"/>
      <c r="C290" s="10"/>
      <c r="E290" s="11"/>
      <c r="F290" s="11"/>
      <c r="G290" s="12"/>
      <c r="H290" s="12"/>
      <c r="L290" s="35"/>
    </row>
    <row r="291" spans="1:12" s="1" customFormat="1" ht="12">
      <c r="A291" s="2"/>
      <c r="B291" s="5"/>
      <c r="C291" s="9"/>
      <c r="D291" s="14"/>
      <c r="E291" s="15"/>
      <c r="F291" s="15"/>
      <c r="G291" s="16"/>
      <c r="H291" s="16"/>
      <c r="L291" s="35"/>
    </row>
    <row r="292" spans="1:12" s="1" customFormat="1" ht="12">
      <c r="A292" s="2"/>
      <c r="B292" s="5"/>
      <c r="C292" s="10"/>
      <c r="E292" s="11"/>
      <c r="F292" s="11"/>
      <c r="G292" s="12"/>
      <c r="H292" s="12"/>
      <c r="L292" s="35"/>
    </row>
    <row r="293" spans="1:12" s="1" customFormat="1" ht="12">
      <c r="A293" s="2"/>
      <c r="B293" s="5"/>
      <c r="C293" s="10"/>
      <c r="E293" s="11"/>
      <c r="F293" s="11"/>
      <c r="G293" s="12"/>
      <c r="H293" s="12"/>
      <c r="L293" s="35"/>
    </row>
    <row r="294" spans="1:12" s="1" customFormat="1" ht="12">
      <c r="A294" s="2"/>
      <c r="B294" s="5"/>
      <c r="C294" s="10"/>
      <c r="E294" s="11"/>
      <c r="F294" s="11"/>
      <c r="G294" s="12"/>
      <c r="H294" s="12"/>
      <c r="L294" s="35"/>
    </row>
    <row r="295" spans="1:12" s="1" customFormat="1" ht="12">
      <c r="A295" s="2"/>
      <c r="B295" s="5"/>
      <c r="C295" s="10"/>
      <c r="E295" s="11"/>
      <c r="F295" s="11"/>
      <c r="G295" s="12"/>
      <c r="H295" s="12"/>
      <c r="L295" s="35"/>
    </row>
    <row r="296" spans="1:12" s="1" customFormat="1" ht="12">
      <c r="A296" s="2"/>
      <c r="B296" s="5"/>
      <c r="C296" s="9"/>
      <c r="D296" s="14"/>
      <c r="E296" s="15"/>
      <c r="F296" s="15"/>
      <c r="G296" s="16"/>
      <c r="H296" s="16"/>
      <c r="L296" s="35"/>
    </row>
    <row r="297" spans="1:12" s="1" customFormat="1" ht="12">
      <c r="A297" s="2"/>
      <c r="B297" s="5"/>
      <c r="C297" s="10"/>
      <c r="E297" s="11"/>
      <c r="F297" s="11"/>
      <c r="G297" s="12"/>
      <c r="H297" s="12"/>
      <c r="L297" s="35"/>
    </row>
    <row r="298" spans="1:12" s="1" customFormat="1" ht="12">
      <c r="A298" s="2"/>
      <c r="B298" s="5"/>
      <c r="C298" s="10"/>
      <c r="E298" s="11"/>
      <c r="F298" s="11"/>
      <c r="G298" s="12"/>
      <c r="H298" s="12"/>
      <c r="L298" s="35"/>
    </row>
    <row r="299" spans="1:12" s="1" customFormat="1" ht="12">
      <c r="A299" s="2"/>
      <c r="B299" s="5"/>
      <c r="C299" s="10"/>
      <c r="E299" s="11"/>
      <c r="F299" s="11"/>
      <c r="G299" s="12"/>
      <c r="H299" s="12"/>
      <c r="L299" s="35"/>
    </row>
    <row r="300" spans="1:12" s="1" customFormat="1" ht="12">
      <c r="A300" s="2"/>
      <c r="B300" s="5"/>
      <c r="C300" s="10"/>
      <c r="E300" s="11"/>
      <c r="F300" s="11"/>
      <c r="G300" s="12"/>
      <c r="H300" s="12"/>
      <c r="L300" s="35"/>
    </row>
    <row r="301" spans="1:12" s="1" customFormat="1" ht="12">
      <c r="A301" s="2"/>
      <c r="B301" s="5"/>
      <c r="C301" s="10"/>
      <c r="E301" s="11"/>
      <c r="F301" s="11"/>
      <c r="G301" s="12"/>
      <c r="H301" s="12"/>
      <c r="L301" s="35"/>
    </row>
    <row r="302" spans="1:12" s="1" customFormat="1" ht="12">
      <c r="A302" s="2"/>
      <c r="B302" s="5"/>
      <c r="C302" s="10"/>
      <c r="E302" s="11"/>
      <c r="F302" s="11"/>
      <c r="G302" s="12"/>
      <c r="H302" s="12"/>
      <c r="L302" s="35"/>
    </row>
    <row r="303" spans="1:12" s="1" customFormat="1" ht="12">
      <c r="A303" s="2"/>
      <c r="B303" s="5"/>
      <c r="C303" s="10"/>
      <c r="E303" s="11"/>
      <c r="F303" s="11"/>
      <c r="G303" s="12"/>
      <c r="H303" s="12"/>
      <c r="L303" s="35"/>
    </row>
    <row r="304" spans="1:12" s="1" customFormat="1" ht="12">
      <c r="A304" s="2"/>
      <c r="B304" s="5"/>
      <c r="C304" s="10"/>
      <c r="E304" s="11"/>
      <c r="F304" s="11"/>
      <c r="G304" s="12"/>
      <c r="H304" s="12"/>
      <c r="L304" s="35"/>
    </row>
    <row r="305" spans="1:12" s="1" customFormat="1" ht="12">
      <c r="A305" s="2"/>
      <c r="B305" s="5"/>
      <c r="C305" s="9"/>
      <c r="D305" s="14"/>
      <c r="E305" s="15"/>
      <c r="F305" s="15"/>
      <c r="G305" s="16"/>
      <c r="H305" s="16"/>
      <c r="L305" s="35"/>
    </row>
    <row r="306" spans="1:12" s="1" customFormat="1" ht="12">
      <c r="A306" s="2"/>
      <c r="B306" s="5"/>
      <c r="C306" s="10"/>
      <c r="E306" s="11"/>
      <c r="F306" s="11"/>
      <c r="G306" s="12"/>
      <c r="H306" s="12"/>
      <c r="L306" s="35"/>
    </row>
    <row r="307" spans="1:12" s="1" customFormat="1" ht="12">
      <c r="A307" s="2"/>
      <c r="B307" s="5"/>
      <c r="C307" s="10"/>
      <c r="E307" s="11"/>
      <c r="F307" s="11"/>
      <c r="G307" s="12"/>
      <c r="H307" s="12"/>
      <c r="L307" s="35"/>
    </row>
    <row r="308" spans="1:12" s="1" customFormat="1" ht="12">
      <c r="A308" s="2"/>
      <c r="B308" s="5"/>
      <c r="C308" s="10"/>
      <c r="E308" s="11"/>
      <c r="F308" s="11"/>
      <c r="G308" s="12"/>
      <c r="H308" s="12"/>
      <c r="L308" s="35"/>
    </row>
    <row r="309" spans="1:12" s="1" customFormat="1" ht="12">
      <c r="A309" s="2"/>
      <c r="B309" s="5"/>
      <c r="C309" s="10"/>
      <c r="E309" s="11"/>
      <c r="F309" s="11"/>
      <c r="G309" s="12"/>
      <c r="H309" s="12"/>
      <c r="L309" s="35"/>
    </row>
    <row r="310" spans="1:12" s="1" customFormat="1" ht="12">
      <c r="A310" s="2"/>
      <c r="B310" s="5"/>
      <c r="C310" s="9"/>
      <c r="D310" s="14"/>
      <c r="E310" s="15"/>
      <c r="F310" s="15"/>
      <c r="G310" s="16"/>
      <c r="H310" s="16"/>
      <c r="L310" s="35"/>
    </row>
    <row r="311" spans="1:12" s="1" customFormat="1" ht="12">
      <c r="A311" s="2"/>
      <c r="B311" s="5"/>
      <c r="C311" s="10"/>
      <c r="E311" s="11"/>
      <c r="F311" s="11"/>
      <c r="G311" s="12"/>
      <c r="H311" s="12"/>
      <c r="L311" s="35"/>
    </row>
    <row r="312" spans="1:12" s="1" customFormat="1" ht="12">
      <c r="A312" s="2"/>
      <c r="B312" s="5"/>
      <c r="C312" s="10"/>
      <c r="E312" s="11"/>
      <c r="F312" s="11"/>
      <c r="G312" s="12"/>
      <c r="H312" s="12"/>
      <c r="L312" s="35"/>
    </row>
    <row r="313" spans="1:12" s="1" customFormat="1" ht="12">
      <c r="A313" s="2"/>
      <c r="B313" s="5"/>
      <c r="C313" s="10"/>
      <c r="E313" s="11"/>
      <c r="F313" s="11"/>
      <c r="G313" s="12"/>
      <c r="H313" s="12"/>
      <c r="L313" s="35"/>
    </row>
    <row r="314" spans="1:12" s="1" customFormat="1" ht="12">
      <c r="A314" s="2"/>
      <c r="B314" s="5"/>
      <c r="C314" s="10"/>
      <c r="E314" s="11"/>
      <c r="F314" s="11"/>
      <c r="G314" s="12"/>
      <c r="H314" s="12"/>
      <c r="L314" s="35"/>
    </row>
    <row r="315" spans="1:12" s="1" customFormat="1" ht="12">
      <c r="A315" s="2"/>
      <c r="B315" s="5"/>
      <c r="C315" s="10"/>
      <c r="E315" s="11"/>
      <c r="F315" s="11"/>
      <c r="G315" s="12"/>
      <c r="H315" s="12"/>
      <c r="L315" s="35"/>
    </row>
    <row r="316" spans="1:12" s="1" customFormat="1" ht="12">
      <c r="A316" s="2"/>
      <c r="B316" s="5"/>
      <c r="C316" s="10"/>
      <c r="E316" s="11"/>
      <c r="F316" s="11"/>
      <c r="G316" s="12"/>
      <c r="H316" s="12"/>
      <c r="L316" s="35"/>
    </row>
    <row r="317" spans="1:12" s="1" customFormat="1" ht="12">
      <c r="A317" s="2"/>
      <c r="B317" s="5"/>
      <c r="C317" s="10"/>
      <c r="E317" s="11"/>
      <c r="F317" s="11"/>
      <c r="G317" s="12"/>
      <c r="H317" s="12"/>
      <c r="L317" s="35"/>
    </row>
    <row r="318" spans="1:12" s="1" customFormat="1" ht="12">
      <c r="A318" s="2"/>
      <c r="B318" s="5"/>
      <c r="C318" s="10"/>
      <c r="E318" s="11"/>
      <c r="F318" s="11"/>
      <c r="G318" s="12"/>
      <c r="H318" s="12"/>
      <c r="L318" s="35"/>
    </row>
    <row r="319" spans="1:12" s="1" customFormat="1" ht="12">
      <c r="A319" s="2"/>
      <c r="B319" s="5"/>
      <c r="C319" s="10"/>
      <c r="E319" s="11"/>
      <c r="F319" s="11"/>
      <c r="G319" s="12"/>
      <c r="H319" s="12"/>
      <c r="L319" s="35"/>
    </row>
    <row r="320" spans="1:12" s="1" customFormat="1" ht="12">
      <c r="A320" s="2"/>
      <c r="B320" s="5"/>
      <c r="C320" s="10"/>
      <c r="E320" s="11"/>
      <c r="F320" s="11"/>
      <c r="G320" s="12"/>
      <c r="H320" s="12"/>
      <c r="L320" s="35"/>
    </row>
    <row r="321" spans="1:12" s="1" customFormat="1" ht="12">
      <c r="A321" s="2"/>
      <c r="B321" s="5"/>
      <c r="C321" s="10"/>
      <c r="E321" s="11"/>
      <c r="F321" s="11"/>
      <c r="G321" s="12"/>
      <c r="H321" s="12"/>
      <c r="L321" s="35"/>
    </row>
    <row r="322" spans="1:12" s="1" customFormat="1" ht="12">
      <c r="A322" s="2"/>
      <c r="B322" s="5"/>
      <c r="C322" s="10"/>
      <c r="E322" s="11"/>
      <c r="F322" s="11"/>
      <c r="G322" s="12"/>
      <c r="H322" s="12"/>
      <c r="L322" s="35"/>
    </row>
    <row r="323" spans="1:12" s="1" customFormat="1" ht="12">
      <c r="A323" s="2"/>
      <c r="B323" s="5"/>
      <c r="C323" s="10"/>
      <c r="E323" s="11"/>
      <c r="F323" s="11"/>
      <c r="G323" s="12"/>
      <c r="H323" s="12"/>
      <c r="L323" s="35"/>
    </row>
    <row r="324" spans="1:12" s="1" customFormat="1" ht="12">
      <c r="A324" s="2"/>
      <c r="B324" s="5"/>
      <c r="C324" s="10"/>
      <c r="E324" s="11"/>
      <c r="F324" s="11"/>
      <c r="G324" s="12"/>
      <c r="H324" s="12"/>
      <c r="L324" s="35"/>
    </row>
    <row r="325" spans="1:12" s="41" customFormat="1" ht="15">
      <c r="A325" s="38"/>
      <c r="B325" s="39"/>
      <c r="C325" s="40"/>
      <c r="E325" s="42"/>
      <c r="F325" s="42"/>
      <c r="G325" s="43"/>
      <c r="H325" s="43"/>
      <c r="L325" s="44"/>
    </row>
    <row r="326" spans="1:12" s="1" customFormat="1">
      <c r="A326" s="2"/>
      <c r="B326" s="5"/>
      <c r="C326" s="6"/>
      <c r="D326" s="7"/>
      <c r="E326" s="7"/>
      <c r="F326" s="7"/>
      <c r="G326" s="34"/>
      <c r="H326" s="8"/>
      <c r="L326" s="35"/>
    </row>
    <row r="327" spans="1:12" s="1" customFormat="1">
      <c r="A327" s="2"/>
      <c r="B327" s="5"/>
      <c r="C327" s="6"/>
      <c r="D327" s="36"/>
      <c r="E327" s="7"/>
      <c r="F327" s="7"/>
      <c r="G327" s="46"/>
      <c r="H327" s="47"/>
      <c r="L327" s="35"/>
    </row>
    <row r="328" spans="1:12" s="1" customFormat="1" ht="12">
      <c r="A328" s="2"/>
      <c r="B328" s="5"/>
      <c r="C328" s="9"/>
      <c r="D328" s="14"/>
      <c r="E328" s="15"/>
      <c r="F328" s="15"/>
      <c r="G328" s="16"/>
      <c r="H328" s="16"/>
      <c r="L328" s="35"/>
    </row>
    <row r="329" spans="1:12" s="1" customFormat="1" ht="12">
      <c r="A329" s="2"/>
      <c r="B329" s="5"/>
      <c r="C329" s="10"/>
      <c r="E329" s="11"/>
      <c r="F329" s="11"/>
      <c r="G329" s="12"/>
      <c r="H329" s="12"/>
      <c r="L329" s="35"/>
    </row>
    <row r="330" spans="1:12" s="1" customFormat="1" ht="12">
      <c r="A330" s="2"/>
      <c r="B330" s="5"/>
      <c r="C330" s="10"/>
      <c r="E330" s="11"/>
      <c r="F330" s="11"/>
      <c r="G330" s="12"/>
      <c r="H330" s="12"/>
      <c r="L330" s="35"/>
    </row>
    <row r="331" spans="1:12" s="1" customFormat="1" ht="12">
      <c r="A331" s="2"/>
      <c r="B331" s="5"/>
      <c r="C331" s="9"/>
      <c r="D331" s="14"/>
      <c r="E331" s="15"/>
      <c r="F331" s="15"/>
      <c r="G331" s="16"/>
      <c r="H331" s="16"/>
      <c r="L331" s="35"/>
    </row>
    <row r="332" spans="1:12" s="1" customFormat="1" ht="12">
      <c r="A332" s="2"/>
      <c r="B332" s="5"/>
      <c r="C332" s="10"/>
      <c r="E332" s="11"/>
      <c r="F332" s="11"/>
      <c r="G332" s="12"/>
      <c r="H332" s="12"/>
      <c r="L332" s="35"/>
    </row>
    <row r="333" spans="1:12" s="1" customFormat="1" ht="12">
      <c r="A333" s="2"/>
      <c r="B333" s="5"/>
      <c r="C333" s="10"/>
      <c r="E333" s="11"/>
      <c r="F333" s="11"/>
      <c r="G333" s="12"/>
      <c r="H333" s="12"/>
      <c r="L333" s="35"/>
    </row>
    <row r="334" spans="1:12" s="1" customFormat="1" ht="12">
      <c r="A334" s="2"/>
      <c r="B334" s="5"/>
      <c r="C334" s="10"/>
      <c r="E334" s="11"/>
      <c r="F334" s="11"/>
      <c r="G334" s="12"/>
      <c r="H334" s="12"/>
      <c r="L334" s="35"/>
    </row>
    <row r="335" spans="1:12" s="1" customFormat="1" ht="12">
      <c r="A335" s="2"/>
      <c r="B335" s="5"/>
      <c r="C335" s="10"/>
      <c r="E335" s="11"/>
      <c r="F335" s="11"/>
      <c r="G335" s="12"/>
      <c r="H335" s="12"/>
      <c r="L335" s="35"/>
    </row>
    <row r="336" spans="1:12" s="1" customFormat="1" ht="12">
      <c r="A336" s="2"/>
      <c r="B336" s="5"/>
      <c r="C336" s="9"/>
      <c r="D336" s="14"/>
      <c r="E336" s="15"/>
      <c r="F336" s="15"/>
      <c r="G336" s="16"/>
      <c r="H336" s="16"/>
      <c r="L336" s="35"/>
    </row>
    <row r="337" spans="1:12" s="1" customFormat="1" ht="12">
      <c r="A337" s="2"/>
      <c r="B337" s="5"/>
      <c r="C337" s="10"/>
      <c r="E337" s="11"/>
      <c r="F337" s="11"/>
      <c r="G337" s="12"/>
      <c r="H337" s="12"/>
      <c r="L337" s="35"/>
    </row>
    <row r="338" spans="1:12" s="1" customFormat="1" ht="12">
      <c r="A338" s="2"/>
      <c r="B338" s="5"/>
      <c r="C338" s="10"/>
      <c r="E338" s="11"/>
      <c r="F338" s="11"/>
      <c r="G338" s="12"/>
      <c r="H338" s="12"/>
      <c r="L338" s="35"/>
    </row>
    <row r="339" spans="1:12" s="1" customFormat="1" ht="12">
      <c r="A339" s="2"/>
      <c r="B339" s="5"/>
      <c r="C339" s="10"/>
      <c r="E339" s="11"/>
      <c r="F339" s="11"/>
      <c r="G339" s="12"/>
      <c r="H339" s="12"/>
      <c r="L339" s="35"/>
    </row>
    <row r="340" spans="1:12" s="1" customFormat="1" ht="12">
      <c r="A340" s="2"/>
      <c r="B340" s="5"/>
      <c r="C340" s="10"/>
      <c r="E340" s="11"/>
      <c r="F340" s="11"/>
      <c r="G340" s="12"/>
      <c r="H340" s="12"/>
      <c r="L340" s="35"/>
    </row>
    <row r="341" spans="1:12" s="1" customFormat="1" ht="12">
      <c r="A341" s="2"/>
      <c r="B341" s="5"/>
      <c r="C341" s="10"/>
      <c r="E341" s="11"/>
      <c r="F341" s="11"/>
      <c r="G341" s="12"/>
      <c r="H341" s="12"/>
      <c r="L341" s="35"/>
    </row>
    <row r="342" spans="1:12" s="1" customFormat="1" ht="22.5" customHeight="1">
      <c r="A342" s="2"/>
      <c r="B342" s="5"/>
      <c r="C342" s="10"/>
      <c r="E342" s="11"/>
      <c r="F342" s="11"/>
      <c r="G342" s="12"/>
      <c r="H342" s="12"/>
      <c r="L342" s="35"/>
    </row>
    <row r="343" spans="1:12" s="1" customFormat="1" ht="12">
      <c r="A343" s="2"/>
      <c r="B343" s="5"/>
      <c r="C343" s="9"/>
      <c r="D343" s="14"/>
      <c r="E343" s="15"/>
      <c r="F343" s="15"/>
      <c r="G343" s="16"/>
      <c r="H343" s="16"/>
      <c r="L343" s="35"/>
    </row>
    <row r="344" spans="1:12" s="1" customFormat="1" ht="12">
      <c r="A344" s="2"/>
      <c r="B344" s="5"/>
      <c r="C344" s="10"/>
      <c r="E344" s="11"/>
      <c r="F344" s="11"/>
      <c r="G344" s="12"/>
      <c r="H344" s="12"/>
      <c r="L344" s="35"/>
    </row>
    <row r="345" spans="1:12" s="1" customFormat="1" ht="12">
      <c r="A345" s="2"/>
      <c r="B345" s="5"/>
      <c r="C345" s="10"/>
      <c r="E345" s="11"/>
      <c r="F345" s="11"/>
      <c r="G345" s="12"/>
      <c r="H345" s="12"/>
      <c r="L345" s="35"/>
    </row>
    <row r="346" spans="1:12" s="1" customFormat="1" ht="12">
      <c r="A346" s="2"/>
      <c r="B346" s="5"/>
      <c r="C346" s="10"/>
      <c r="E346" s="11"/>
      <c r="F346" s="11"/>
      <c r="G346" s="12"/>
      <c r="H346" s="12"/>
      <c r="L346" s="35"/>
    </row>
    <row r="347" spans="1:12" s="1" customFormat="1" ht="12">
      <c r="A347" s="2"/>
      <c r="B347" s="5"/>
      <c r="C347" s="10"/>
      <c r="E347" s="11"/>
      <c r="F347" s="11"/>
      <c r="G347" s="12"/>
      <c r="H347" s="12"/>
      <c r="L347" s="35"/>
    </row>
    <row r="348" spans="1:12" s="1" customFormat="1" ht="12">
      <c r="A348" s="2"/>
      <c r="B348" s="5"/>
      <c r="C348" s="9"/>
      <c r="D348" s="14"/>
      <c r="E348" s="15"/>
      <c r="F348" s="15"/>
      <c r="G348" s="16"/>
      <c r="H348" s="16"/>
      <c r="L348" s="35"/>
    </row>
    <row r="349" spans="1:12" s="1" customFormat="1" ht="12">
      <c r="A349" s="2"/>
      <c r="B349" s="5"/>
      <c r="C349" s="10"/>
      <c r="E349" s="11"/>
      <c r="F349" s="11"/>
      <c r="G349" s="12"/>
      <c r="H349" s="12"/>
      <c r="L349" s="35"/>
    </row>
    <row r="350" spans="1:12" s="1" customFormat="1" ht="12">
      <c r="A350" s="2"/>
      <c r="B350" s="5"/>
      <c r="C350" s="10"/>
      <c r="E350" s="11"/>
      <c r="F350" s="11"/>
      <c r="G350" s="12"/>
      <c r="H350" s="12"/>
      <c r="L350" s="35"/>
    </row>
    <row r="351" spans="1:12" s="1" customFormat="1" ht="12">
      <c r="A351" s="2"/>
      <c r="B351" s="5"/>
      <c r="C351" s="10"/>
      <c r="E351" s="11"/>
      <c r="F351" s="11"/>
      <c r="G351" s="12"/>
      <c r="H351" s="12"/>
      <c r="L351" s="35"/>
    </row>
    <row r="352" spans="1:12" s="1" customFormat="1" ht="12">
      <c r="A352" s="2"/>
      <c r="B352" s="5"/>
      <c r="C352" s="10"/>
      <c r="E352" s="11"/>
      <c r="F352" s="11"/>
      <c r="G352" s="12"/>
      <c r="H352" s="12"/>
      <c r="L352" s="35"/>
    </row>
    <row r="353" spans="1:12" s="1" customFormat="1" ht="12">
      <c r="A353" s="2"/>
      <c r="B353" s="5"/>
      <c r="C353" s="10"/>
      <c r="E353" s="11"/>
      <c r="F353" s="11"/>
      <c r="G353" s="12"/>
      <c r="H353" s="12"/>
      <c r="L353" s="35"/>
    </row>
    <row r="354" spans="1:12" s="1" customFormat="1" ht="12">
      <c r="A354" s="2"/>
      <c r="B354" s="5"/>
      <c r="C354" s="10"/>
      <c r="E354" s="11"/>
      <c r="F354" s="11"/>
      <c r="G354" s="12"/>
      <c r="H354" s="12"/>
      <c r="L354" s="35"/>
    </row>
    <row r="355" spans="1:12" s="1" customFormat="1" ht="12">
      <c r="A355" s="2"/>
      <c r="B355" s="5"/>
      <c r="C355" s="10"/>
      <c r="E355" s="11"/>
      <c r="F355" s="11"/>
      <c r="G355" s="12"/>
      <c r="H355" s="12"/>
      <c r="L355" s="35"/>
    </row>
    <row r="356" spans="1:12" s="1" customFormat="1" ht="12">
      <c r="A356" s="2"/>
      <c r="B356" s="5"/>
      <c r="C356" s="10"/>
      <c r="E356" s="11"/>
      <c r="F356" s="11"/>
      <c r="G356" s="12"/>
      <c r="H356" s="12"/>
      <c r="L356" s="35"/>
    </row>
    <row r="357" spans="1:12" s="1" customFormat="1" ht="12">
      <c r="A357" s="2"/>
      <c r="B357" s="5"/>
      <c r="C357" s="9"/>
      <c r="D357" s="14"/>
      <c r="E357" s="15"/>
      <c r="F357" s="15"/>
      <c r="G357" s="16"/>
      <c r="H357" s="16"/>
      <c r="L357" s="35"/>
    </row>
    <row r="358" spans="1:12" s="1" customFormat="1" ht="12">
      <c r="A358" s="2"/>
      <c r="B358" s="5"/>
      <c r="C358" s="10"/>
      <c r="E358" s="11"/>
      <c r="F358" s="11"/>
      <c r="G358" s="12"/>
      <c r="H358" s="12"/>
      <c r="L358" s="35"/>
    </row>
    <row r="359" spans="1:12" s="1" customFormat="1" ht="18.75" customHeight="1">
      <c r="A359" s="2"/>
      <c r="B359" s="5"/>
      <c r="C359" s="10"/>
      <c r="E359" s="11"/>
      <c r="F359" s="11"/>
      <c r="G359" s="12"/>
      <c r="H359" s="12"/>
      <c r="L359" s="35"/>
    </row>
    <row r="360" spans="1:12" s="1" customFormat="1" ht="24.75" customHeight="1">
      <c r="A360" s="2"/>
      <c r="B360" s="5"/>
      <c r="C360" s="10"/>
      <c r="E360" s="11"/>
      <c r="F360" s="11"/>
      <c r="G360" s="12"/>
      <c r="H360" s="12"/>
      <c r="L360" s="35"/>
    </row>
    <row r="361" spans="1:12" s="1" customFormat="1" ht="12">
      <c r="A361" s="2"/>
      <c r="B361" s="5"/>
      <c r="C361" s="10"/>
      <c r="E361" s="11"/>
      <c r="F361" s="11"/>
      <c r="G361" s="12"/>
      <c r="H361" s="12"/>
      <c r="L361" s="35"/>
    </row>
    <row r="362" spans="1:12" s="1" customFormat="1" ht="12">
      <c r="A362" s="2"/>
      <c r="B362" s="5"/>
      <c r="C362" s="9"/>
      <c r="D362" s="14"/>
      <c r="E362" s="15"/>
      <c r="F362" s="15"/>
      <c r="G362" s="16"/>
      <c r="H362" s="16"/>
      <c r="L362" s="35"/>
    </row>
    <row r="363" spans="1:12" s="1" customFormat="1" ht="12">
      <c r="A363" s="2"/>
      <c r="B363" s="5"/>
      <c r="C363" s="10"/>
      <c r="E363" s="11"/>
      <c r="F363" s="11"/>
      <c r="G363" s="12"/>
      <c r="H363" s="12"/>
      <c r="L363" s="35"/>
    </row>
    <row r="364" spans="1:12" s="1" customFormat="1" ht="12">
      <c r="A364" s="2"/>
      <c r="B364" s="5"/>
      <c r="C364" s="10"/>
      <c r="E364" s="11"/>
      <c r="F364" s="11"/>
      <c r="G364" s="12"/>
      <c r="H364" s="12"/>
      <c r="L364" s="35"/>
    </row>
    <row r="365" spans="1:12" s="1" customFormat="1" ht="12">
      <c r="A365" s="2"/>
      <c r="B365" s="5"/>
      <c r="C365" s="10"/>
      <c r="E365" s="11"/>
      <c r="F365" s="11"/>
      <c r="G365" s="12"/>
      <c r="H365" s="12"/>
      <c r="L365" s="35"/>
    </row>
    <row r="366" spans="1:12" s="1" customFormat="1" ht="12">
      <c r="A366" s="2"/>
      <c r="B366" s="5"/>
      <c r="C366" s="10"/>
      <c r="E366" s="11"/>
      <c r="F366" s="11"/>
      <c r="G366" s="12"/>
      <c r="H366" s="12"/>
      <c r="L366" s="35"/>
    </row>
    <row r="367" spans="1:12" s="1" customFormat="1" ht="12">
      <c r="A367" s="2"/>
      <c r="B367" s="5"/>
      <c r="C367" s="10"/>
      <c r="E367" s="11"/>
      <c r="F367" s="11"/>
      <c r="G367" s="12"/>
      <c r="H367" s="12"/>
      <c r="L367" s="35"/>
    </row>
    <row r="368" spans="1:12" s="1" customFormat="1" ht="12">
      <c r="A368" s="2"/>
      <c r="B368" s="5"/>
      <c r="C368" s="10"/>
      <c r="E368" s="11"/>
      <c r="F368" s="11"/>
      <c r="G368" s="12"/>
      <c r="H368" s="12"/>
      <c r="L368" s="35"/>
    </row>
    <row r="369" spans="1:12" s="1" customFormat="1" ht="12">
      <c r="A369" s="2"/>
      <c r="B369" s="5"/>
      <c r="C369" s="10"/>
      <c r="E369" s="11"/>
      <c r="F369" s="11"/>
      <c r="G369" s="12"/>
      <c r="H369" s="12"/>
      <c r="L369" s="35"/>
    </row>
    <row r="370" spans="1:12" s="1" customFormat="1" ht="12">
      <c r="A370" s="2"/>
      <c r="B370" s="5"/>
      <c r="C370" s="10"/>
      <c r="E370" s="11"/>
      <c r="F370" s="11"/>
      <c r="G370" s="12"/>
      <c r="H370" s="12"/>
      <c r="L370" s="35"/>
    </row>
    <row r="371" spans="1:12" s="1" customFormat="1" ht="12">
      <c r="A371" s="2"/>
      <c r="B371" s="5"/>
      <c r="C371" s="10"/>
      <c r="E371" s="11"/>
      <c r="F371" s="11"/>
      <c r="G371" s="12"/>
      <c r="H371" s="12"/>
      <c r="L371" s="35"/>
    </row>
    <row r="372" spans="1:12" s="1" customFormat="1" ht="12">
      <c r="A372" s="2"/>
      <c r="B372" s="5"/>
      <c r="C372" s="10"/>
      <c r="E372" s="11"/>
      <c r="F372" s="11"/>
      <c r="G372" s="12"/>
      <c r="H372" s="12"/>
      <c r="L372" s="35"/>
    </row>
    <row r="373" spans="1:12" s="1" customFormat="1" ht="12">
      <c r="A373" s="2"/>
      <c r="B373" s="5"/>
      <c r="C373" s="10"/>
      <c r="E373" s="11"/>
      <c r="F373" s="11"/>
      <c r="G373" s="12"/>
      <c r="H373" s="12"/>
      <c r="L373" s="35"/>
    </row>
    <row r="374" spans="1:12" s="1" customFormat="1" ht="12">
      <c r="A374" s="2"/>
      <c r="B374" s="5"/>
      <c r="C374" s="10"/>
      <c r="E374" s="11"/>
      <c r="F374" s="11"/>
      <c r="G374" s="12"/>
      <c r="H374" s="12"/>
      <c r="L374" s="35"/>
    </row>
    <row r="375" spans="1:12" s="1" customFormat="1" ht="12">
      <c r="A375" s="2"/>
      <c r="B375" s="5"/>
      <c r="C375" s="10"/>
      <c r="E375" s="11"/>
      <c r="F375" s="11"/>
      <c r="G375" s="12"/>
      <c r="H375" s="12"/>
      <c r="L375" s="35"/>
    </row>
    <row r="376" spans="1:12" s="1" customFormat="1" ht="12">
      <c r="A376" s="2"/>
      <c r="B376" s="5"/>
      <c r="C376" s="10"/>
      <c r="E376" s="11"/>
      <c r="F376" s="11"/>
      <c r="G376" s="12"/>
      <c r="H376" s="12"/>
      <c r="L376" s="35"/>
    </row>
    <row r="377" spans="1:12" s="41" customFormat="1" ht="15">
      <c r="A377" s="38"/>
      <c r="B377" s="39"/>
      <c r="C377" s="40"/>
      <c r="E377" s="42"/>
      <c r="F377" s="42"/>
      <c r="G377" s="43"/>
      <c r="H377" s="43"/>
      <c r="L377" s="44"/>
    </row>
    <row r="378" spans="1:12" s="45" customFormat="1">
      <c r="A378" s="2"/>
      <c r="B378" s="5"/>
      <c r="C378" s="6"/>
      <c r="D378" s="7"/>
      <c r="E378" s="7"/>
      <c r="F378" s="7"/>
      <c r="G378" s="8"/>
      <c r="H378" s="8"/>
      <c r="L378" s="35"/>
    </row>
    <row r="379" spans="1:12" s="1" customFormat="1">
      <c r="A379" s="2"/>
      <c r="B379" s="5"/>
      <c r="C379" s="6"/>
      <c r="D379" s="7"/>
      <c r="E379" s="7"/>
      <c r="F379" s="7"/>
      <c r="G379" s="8"/>
      <c r="H379" s="8"/>
      <c r="L379" s="35"/>
    </row>
    <row r="380" spans="1:12" s="1" customFormat="1">
      <c r="A380" s="2"/>
      <c r="B380" s="5"/>
      <c r="C380" s="6"/>
      <c r="D380" s="7"/>
      <c r="E380" s="7"/>
      <c r="F380" s="7"/>
      <c r="G380" s="12"/>
      <c r="H380" s="12"/>
      <c r="L380" s="35"/>
    </row>
    <row r="381" spans="1:12" s="41" customFormat="1" ht="15">
      <c r="A381" s="38"/>
      <c r="B381" s="39"/>
      <c r="C381" s="40"/>
      <c r="E381" s="42"/>
      <c r="F381" s="42"/>
      <c r="G381" s="43"/>
      <c r="H381" s="43"/>
      <c r="L381" s="44"/>
    </row>
  </sheetData>
  <mergeCells count="1">
    <mergeCell ref="G10:G11"/>
  </mergeCells>
  <phoneticPr fontId="5"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76"/>
  <sheetViews>
    <sheetView tabSelected="1" zoomScaleNormal="100" workbookViewId="0">
      <selection activeCell="A2" sqref="A2:XFD2"/>
    </sheetView>
  </sheetViews>
  <sheetFormatPr defaultColWidth="9.140625" defaultRowHeight="15"/>
  <cols>
    <col min="1" max="1" width="18.28515625" style="49" customWidth="1"/>
    <col min="2" max="2" width="49.140625" style="49" customWidth="1"/>
    <col min="3" max="3" width="13.5703125" style="49" customWidth="1"/>
    <col min="4" max="4" width="12.5703125" style="351" customWidth="1"/>
    <col min="5" max="5" width="12.5703125" style="50" customWidth="1"/>
    <col min="6" max="7" width="11" style="51" customWidth="1"/>
    <col min="8" max="8" width="11" style="49" customWidth="1"/>
    <col min="9" max="9" width="12.5703125" style="173" customWidth="1"/>
    <col min="10" max="11" width="12.5703125" style="172" customWidth="1"/>
    <col min="12" max="12" width="9.140625" style="172"/>
    <col min="13" max="29" width="9.140625" style="173"/>
    <col min="30" max="16384" width="9.140625" style="49"/>
  </cols>
  <sheetData>
    <row r="1" spans="1:29" ht="18">
      <c r="A1" s="48"/>
      <c r="F1" s="188">
        <v>3.7569999999999999E-2</v>
      </c>
      <c r="G1" s="188">
        <v>2.9649999999999999E-2</v>
      </c>
      <c r="H1" s="188">
        <v>2.503E-2</v>
      </c>
    </row>
    <row r="2" spans="1:29" s="52" customFormat="1" ht="18.75">
      <c r="C2" s="269"/>
      <c r="D2" s="352"/>
      <c r="E2" s="53"/>
      <c r="F2" s="177"/>
      <c r="G2" s="54"/>
      <c r="I2" s="181"/>
      <c r="J2" s="182"/>
      <c r="K2" s="182"/>
      <c r="L2" s="182"/>
      <c r="M2" s="181"/>
      <c r="N2" s="181"/>
      <c r="O2" s="181"/>
      <c r="P2" s="181"/>
      <c r="Q2" s="181"/>
      <c r="R2" s="181"/>
      <c r="S2" s="181"/>
      <c r="T2" s="181"/>
      <c r="U2" s="181"/>
      <c r="V2" s="181"/>
      <c r="W2" s="181"/>
      <c r="X2" s="181"/>
      <c r="Y2" s="181"/>
      <c r="Z2" s="181"/>
      <c r="AA2" s="181"/>
      <c r="AB2" s="181"/>
      <c r="AC2" s="181"/>
    </row>
    <row r="3" spans="1:29" s="52" customFormat="1" ht="18.75">
      <c r="C3" s="269"/>
      <c r="D3" s="352"/>
      <c r="E3" s="53"/>
      <c r="F3" s="51"/>
      <c r="G3" s="54"/>
      <c r="I3" s="181"/>
      <c r="J3" s="182"/>
      <c r="K3" s="182"/>
      <c r="L3" s="182"/>
      <c r="M3" s="181"/>
      <c r="N3" s="181"/>
      <c r="O3" s="181"/>
      <c r="P3" s="181"/>
      <c r="Q3" s="181"/>
      <c r="R3" s="181"/>
      <c r="S3" s="181"/>
      <c r="T3" s="181"/>
      <c r="U3" s="181"/>
      <c r="V3" s="181"/>
      <c r="W3" s="181"/>
      <c r="X3" s="181"/>
      <c r="Y3" s="181"/>
      <c r="Z3" s="181"/>
      <c r="AA3" s="181"/>
      <c r="AB3" s="181"/>
      <c r="AC3" s="181"/>
    </row>
    <row r="4" spans="1:29" ht="15.75">
      <c r="A4" s="127" t="s">
        <v>389</v>
      </c>
    </row>
    <row r="5" spans="1:29" ht="15.75">
      <c r="A5" s="186" t="s">
        <v>642</v>
      </c>
      <c r="B5" s="55"/>
      <c r="C5" s="270"/>
      <c r="D5" s="353"/>
      <c r="E5" s="57"/>
    </row>
    <row r="6" spans="1:29" ht="16.5" thickBot="1">
      <c r="A6" s="187" t="s">
        <v>643</v>
      </c>
      <c r="B6" s="55"/>
      <c r="C6" s="270"/>
      <c r="D6" s="354"/>
      <c r="E6" s="56"/>
      <c r="F6" s="189"/>
      <c r="G6" s="190"/>
    </row>
    <row r="7" spans="1:29" ht="30.75" customHeight="1" thickBot="1">
      <c r="A7" s="59" t="s">
        <v>26</v>
      </c>
      <c r="B7" s="205" t="s">
        <v>27</v>
      </c>
      <c r="C7" s="205" t="s">
        <v>674</v>
      </c>
      <c r="D7" s="355" t="s">
        <v>644</v>
      </c>
      <c r="E7" s="206" t="s">
        <v>675</v>
      </c>
      <c r="F7" s="206" t="s">
        <v>645</v>
      </c>
      <c r="G7" s="206" t="s">
        <v>646</v>
      </c>
      <c r="H7" s="207" t="s">
        <v>647</v>
      </c>
    </row>
    <row r="8" spans="1:29" ht="105">
      <c r="A8" s="208" t="s">
        <v>28</v>
      </c>
      <c r="B8" s="209" t="s">
        <v>676</v>
      </c>
      <c r="C8" s="271">
        <f>VLOOKUP($A$8:$A$1487,'[7]MFP''s'!A$8:C$1502,3,FALSE)</f>
        <v>2500</v>
      </c>
      <c r="D8" s="356">
        <v>1500</v>
      </c>
      <c r="E8" s="274">
        <f>100%-(D8/C8)</f>
        <v>0.4</v>
      </c>
      <c r="F8" s="203">
        <f>D8*$F$1</f>
        <v>56.354999999999997</v>
      </c>
      <c r="G8" s="203">
        <f>D8*$G$1</f>
        <v>44.475000000000001</v>
      </c>
      <c r="H8" s="204">
        <f>D8*$H$1</f>
        <v>37.545000000000002</v>
      </c>
    </row>
    <row r="9" spans="1:29">
      <c r="A9" s="195" t="s">
        <v>384</v>
      </c>
      <c r="B9" s="197"/>
      <c r="C9" s="271"/>
      <c r="D9" s="357"/>
      <c r="E9" s="274"/>
      <c r="F9" s="196"/>
      <c r="G9" s="196"/>
      <c r="H9" s="199"/>
    </row>
    <row r="10" spans="1:29">
      <c r="A10" s="75" t="s">
        <v>30</v>
      </c>
      <c r="B10" s="76"/>
      <c r="C10" s="271"/>
      <c r="D10" s="358"/>
      <c r="E10" s="274"/>
      <c r="F10" s="196"/>
      <c r="G10" s="196"/>
      <c r="H10" s="199"/>
    </row>
    <row r="11" spans="1:29">
      <c r="A11" s="62" t="s">
        <v>31</v>
      </c>
      <c r="B11" s="61" t="s">
        <v>32</v>
      </c>
      <c r="C11" s="271">
        <f>VLOOKUP($A$8:$A$1487,'[7]MFP''s'!A$8:C$1502,3,FALSE)</f>
        <v>320</v>
      </c>
      <c r="D11" s="359">
        <v>208</v>
      </c>
      <c r="E11" s="274">
        <f t="shared" ref="E11:E72" si="0">100%-(D11/C11)</f>
        <v>0.35</v>
      </c>
      <c r="F11" s="196">
        <f t="shared" ref="F11:F72" si="1">D11*$F$1</f>
        <v>7.8145600000000002</v>
      </c>
      <c r="G11" s="196">
        <f t="shared" ref="G11:G16" si="2">D11*$G$1</f>
        <v>6.1672000000000002</v>
      </c>
      <c r="H11" s="199">
        <f t="shared" ref="H11:H16" si="3">D11*$H$1</f>
        <v>5.2062400000000002</v>
      </c>
    </row>
    <row r="12" spans="1:29">
      <c r="A12" s="62" t="s">
        <v>33</v>
      </c>
      <c r="B12" s="61" t="s">
        <v>34</v>
      </c>
      <c r="C12" s="271">
        <f>VLOOKUP($A$8:$A$1487,'[7]MFP''s'!A$8:C$1502,3,FALSE)</f>
        <v>120</v>
      </c>
      <c r="D12" s="359">
        <v>78</v>
      </c>
      <c r="E12" s="274">
        <f t="shared" si="0"/>
        <v>0.35</v>
      </c>
      <c r="F12" s="196">
        <f t="shared" si="1"/>
        <v>2.9304600000000001</v>
      </c>
      <c r="G12" s="196">
        <f t="shared" si="2"/>
        <v>2.3127</v>
      </c>
      <c r="H12" s="199">
        <f t="shared" si="3"/>
        <v>1.95234</v>
      </c>
    </row>
    <row r="13" spans="1:29">
      <c r="A13" s="62" t="s">
        <v>35</v>
      </c>
      <c r="B13" s="61" t="s">
        <v>36</v>
      </c>
      <c r="C13" s="271">
        <f>VLOOKUP($A$8:$A$1487,'[7]MFP''s'!A$8:C$1502,3,FALSE)</f>
        <v>184</v>
      </c>
      <c r="D13" s="359">
        <v>119.60000000000001</v>
      </c>
      <c r="E13" s="274">
        <f t="shared" si="0"/>
        <v>0.35</v>
      </c>
      <c r="F13" s="196">
        <f t="shared" si="1"/>
        <v>4.4933719999999999</v>
      </c>
      <c r="G13" s="196">
        <f t="shared" si="2"/>
        <v>3.5461400000000003</v>
      </c>
      <c r="H13" s="199">
        <f t="shared" si="3"/>
        <v>2.9935880000000004</v>
      </c>
    </row>
    <row r="14" spans="1:29">
      <c r="A14" s="62" t="s">
        <v>37</v>
      </c>
      <c r="B14" s="61" t="s">
        <v>38</v>
      </c>
      <c r="C14" s="271">
        <f>VLOOKUP($A$8:$A$1487,'[7]MFP''s'!A$8:C$1502,3,FALSE)</f>
        <v>160</v>
      </c>
      <c r="D14" s="359">
        <v>104</v>
      </c>
      <c r="E14" s="274">
        <f t="shared" si="0"/>
        <v>0.35</v>
      </c>
      <c r="F14" s="196">
        <f t="shared" si="1"/>
        <v>3.9072800000000001</v>
      </c>
      <c r="G14" s="196">
        <f t="shared" si="2"/>
        <v>3.0836000000000001</v>
      </c>
      <c r="H14" s="199">
        <f t="shared" si="3"/>
        <v>2.6031200000000001</v>
      </c>
    </row>
    <row r="15" spans="1:29">
      <c r="A15" s="64" t="s">
        <v>66</v>
      </c>
      <c r="B15" s="61"/>
      <c r="C15" s="271"/>
      <c r="D15" s="359"/>
      <c r="E15" s="274"/>
      <c r="F15" s="196"/>
      <c r="G15" s="196"/>
      <c r="H15" s="199"/>
    </row>
    <row r="16" spans="1:29">
      <c r="A16" s="62" t="s">
        <v>39</v>
      </c>
      <c r="B16" s="61" t="s">
        <v>40</v>
      </c>
      <c r="C16" s="271">
        <f>VLOOKUP($A$8:$A$1487,'[7]MFP''s'!A$8:C$1502,3,FALSE)</f>
        <v>159</v>
      </c>
      <c r="D16" s="359">
        <v>103.35000000000001</v>
      </c>
      <c r="E16" s="274">
        <f t="shared" si="0"/>
        <v>0.35</v>
      </c>
      <c r="F16" s="196">
        <f t="shared" si="1"/>
        <v>3.8828595000000004</v>
      </c>
      <c r="G16" s="196">
        <f t="shared" si="2"/>
        <v>3.0643275000000001</v>
      </c>
      <c r="H16" s="199">
        <f t="shared" si="3"/>
        <v>2.5868505000000002</v>
      </c>
    </row>
    <row r="17" spans="1:8">
      <c r="A17" s="62" t="s">
        <v>41</v>
      </c>
      <c r="B17" s="61" t="s">
        <v>42</v>
      </c>
      <c r="C17" s="271">
        <f>VLOOKUP($A$8:$A$1487,'[7]MFP''s'!A$8:C$1502,3,FALSE)</f>
        <v>260</v>
      </c>
      <c r="D17" s="359">
        <v>169</v>
      </c>
      <c r="E17" s="274">
        <f t="shared" si="0"/>
        <v>0.35</v>
      </c>
      <c r="F17" s="196">
        <f t="shared" si="1"/>
        <v>6.3493300000000001</v>
      </c>
      <c r="G17" s="196">
        <f t="shared" ref="G17:G80" si="4">D17*$G$1</f>
        <v>5.0108499999999996</v>
      </c>
      <c r="H17" s="199">
        <f t="shared" ref="H17:H80" si="5">D17*$H$1</f>
        <v>4.2300700000000004</v>
      </c>
    </row>
    <row r="18" spans="1:8">
      <c r="A18" s="62" t="s">
        <v>43</v>
      </c>
      <c r="B18" s="61" t="s">
        <v>44</v>
      </c>
      <c r="C18" s="271">
        <f>VLOOKUP($A$8:$A$1487,'[7]MFP''s'!A$8:C$1502,3,FALSE)</f>
        <v>398</v>
      </c>
      <c r="D18" s="359">
        <v>258.7</v>
      </c>
      <c r="E18" s="274">
        <f t="shared" si="0"/>
        <v>0.35</v>
      </c>
      <c r="F18" s="196">
        <f t="shared" si="1"/>
        <v>9.719358999999999</v>
      </c>
      <c r="G18" s="196">
        <f t="shared" si="4"/>
        <v>7.6704549999999996</v>
      </c>
      <c r="H18" s="199">
        <f t="shared" si="5"/>
        <v>6.4752609999999997</v>
      </c>
    </row>
    <row r="19" spans="1:8">
      <c r="A19" s="94" t="s">
        <v>45</v>
      </c>
      <c r="B19" s="61" t="s">
        <v>46</v>
      </c>
      <c r="C19" s="271">
        <f>VLOOKUP($A$8:$A$1487,'[7]MFP''s'!A$8:C$1502,3,FALSE)</f>
        <v>199</v>
      </c>
      <c r="D19" s="359">
        <v>129.35</v>
      </c>
      <c r="E19" s="274">
        <f t="shared" si="0"/>
        <v>0.35</v>
      </c>
      <c r="F19" s="196">
        <f t="shared" si="1"/>
        <v>4.8596794999999995</v>
      </c>
      <c r="G19" s="196">
        <f t="shared" si="4"/>
        <v>3.8352274999999998</v>
      </c>
      <c r="H19" s="199">
        <f t="shared" si="5"/>
        <v>3.2376304999999999</v>
      </c>
    </row>
    <row r="20" spans="1:8">
      <c r="A20" s="60" t="s">
        <v>47</v>
      </c>
      <c r="B20" s="61"/>
      <c r="C20" s="271"/>
      <c r="D20" s="359"/>
      <c r="E20" s="274"/>
      <c r="F20" s="196"/>
      <c r="G20" s="196"/>
      <c r="H20" s="199"/>
    </row>
    <row r="21" spans="1:8">
      <c r="A21" s="79" t="s">
        <v>48</v>
      </c>
      <c r="B21" s="198" t="s">
        <v>49</v>
      </c>
      <c r="C21" s="271">
        <f>VLOOKUP($A$8:$A$1487,'[7]MFP''s'!A$8:C$1502,3,FALSE)</f>
        <v>260</v>
      </c>
      <c r="D21" s="359">
        <v>169</v>
      </c>
      <c r="E21" s="274">
        <f t="shared" si="0"/>
        <v>0.35</v>
      </c>
      <c r="F21" s="196">
        <f t="shared" si="1"/>
        <v>6.3493300000000001</v>
      </c>
      <c r="G21" s="196">
        <f t="shared" si="4"/>
        <v>5.0108499999999996</v>
      </c>
      <c r="H21" s="199">
        <f t="shared" si="5"/>
        <v>4.2300700000000004</v>
      </c>
    </row>
    <row r="22" spans="1:8">
      <c r="A22" s="79" t="s">
        <v>50</v>
      </c>
      <c r="B22" s="198" t="s">
        <v>51</v>
      </c>
      <c r="C22" s="271">
        <f>VLOOKUP($A$8:$A$1487,'[7]MFP''s'!A$8:C$1502,3,FALSE)</f>
        <v>52</v>
      </c>
      <c r="D22" s="359">
        <v>33.800000000000004</v>
      </c>
      <c r="E22" s="274">
        <f t="shared" si="0"/>
        <v>0.34999999999999987</v>
      </c>
      <c r="F22" s="196">
        <f t="shared" si="1"/>
        <v>1.2698660000000002</v>
      </c>
      <c r="G22" s="196">
        <f t="shared" si="4"/>
        <v>1.00217</v>
      </c>
      <c r="H22" s="199">
        <f t="shared" si="5"/>
        <v>0.84601400000000015</v>
      </c>
    </row>
    <row r="23" spans="1:8">
      <c r="A23" s="79" t="s">
        <v>52</v>
      </c>
      <c r="B23" s="198" t="s">
        <v>53</v>
      </c>
      <c r="C23" s="271">
        <f>VLOOKUP($A$8:$A$1487,'[7]MFP''s'!A$8:C$1502,3,FALSE)</f>
        <v>233</v>
      </c>
      <c r="D23" s="359">
        <v>193.39</v>
      </c>
      <c r="E23" s="274">
        <f t="shared" si="0"/>
        <v>0.17000000000000004</v>
      </c>
      <c r="F23" s="196">
        <f t="shared" si="1"/>
        <v>7.2656622999999989</v>
      </c>
      <c r="G23" s="196">
        <f t="shared" si="4"/>
        <v>5.7340134999999997</v>
      </c>
      <c r="H23" s="199">
        <f t="shared" si="5"/>
        <v>4.8405516999999998</v>
      </c>
    </row>
    <row r="24" spans="1:8">
      <c r="A24" s="62" t="s">
        <v>54</v>
      </c>
      <c r="B24" s="61" t="s">
        <v>55</v>
      </c>
      <c r="C24" s="271">
        <f>VLOOKUP($A$8:$A$1487,'[7]MFP''s'!A$8:C$1502,3,FALSE)</f>
        <v>317</v>
      </c>
      <c r="D24" s="359">
        <v>183.85999999999999</v>
      </c>
      <c r="E24" s="274">
        <f t="shared" si="0"/>
        <v>0.42000000000000004</v>
      </c>
      <c r="F24" s="196">
        <f t="shared" si="1"/>
        <v>6.9076201999999993</v>
      </c>
      <c r="G24" s="196">
        <f t="shared" si="4"/>
        <v>5.4514489999999993</v>
      </c>
      <c r="H24" s="199">
        <f t="shared" si="5"/>
        <v>4.6020157999999993</v>
      </c>
    </row>
    <row r="25" spans="1:8">
      <c r="A25" s="79" t="s">
        <v>56</v>
      </c>
      <c r="B25" s="61" t="s">
        <v>57</v>
      </c>
      <c r="C25" s="271">
        <f>VLOOKUP($A$8:$A$1487,'[7]MFP''s'!A$8:C$1502,3,FALSE)</f>
        <v>42</v>
      </c>
      <c r="D25" s="359">
        <v>27.3</v>
      </c>
      <c r="E25" s="274">
        <f t="shared" si="0"/>
        <v>0.35</v>
      </c>
      <c r="F25" s="196">
        <f t="shared" si="1"/>
        <v>1.0256609999999999</v>
      </c>
      <c r="G25" s="196">
        <f t="shared" si="4"/>
        <v>0.80944499999999997</v>
      </c>
      <c r="H25" s="199">
        <f t="shared" si="5"/>
        <v>0.68331900000000001</v>
      </c>
    </row>
    <row r="26" spans="1:8">
      <c r="A26" s="62" t="s">
        <v>58</v>
      </c>
      <c r="B26" s="61" t="s">
        <v>59</v>
      </c>
      <c r="C26" s="271">
        <f>VLOOKUP($A$8:$A$1487,'[7]MFP''s'!A$8:C$1502,3,FALSE)</f>
        <v>35</v>
      </c>
      <c r="D26" s="359">
        <v>22.75</v>
      </c>
      <c r="E26" s="274">
        <f t="shared" si="0"/>
        <v>0.35</v>
      </c>
      <c r="F26" s="196">
        <f t="shared" si="1"/>
        <v>0.85471750000000002</v>
      </c>
      <c r="G26" s="196">
        <f t="shared" si="4"/>
        <v>0.67453750000000001</v>
      </c>
      <c r="H26" s="199">
        <f t="shared" si="5"/>
        <v>0.56943250000000001</v>
      </c>
    </row>
    <row r="27" spans="1:8">
      <c r="A27" s="62" t="s">
        <v>60</v>
      </c>
      <c r="B27" s="61" t="s">
        <v>61</v>
      </c>
      <c r="C27" s="271">
        <f>VLOOKUP($A$8:$A$1487,'[7]MFP''s'!A$8:C$1502,3,FALSE)</f>
        <v>35</v>
      </c>
      <c r="D27" s="359">
        <v>22.75</v>
      </c>
      <c r="E27" s="274">
        <f t="shared" si="0"/>
        <v>0.35</v>
      </c>
      <c r="F27" s="196">
        <f t="shared" si="1"/>
        <v>0.85471750000000002</v>
      </c>
      <c r="G27" s="196">
        <f t="shared" si="4"/>
        <v>0.67453750000000001</v>
      </c>
      <c r="H27" s="199">
        <f t="shared" si="5"/>
        <v>0.56943250000000001</v>
      </c>
    </row>
    <row r="28" spans="1:8">
      <c r="A28" s="62"/>
      <c r="B28" s="61"/>
      <c r="C28" s="271"/>
      <c r="D28" s="359"/>
      <c r="E28" s="274"/>
      <c r="F28" s="196"/>
      <c r="G28" s="196"/>
      <c r="H28" s="199"/>
    </row>
    <row r="29" spans="1:8">
      <c r="A29" s="212"/>
      <c r="B29" s="213"/>
      <c r="C29" s="214"/>
      <c r="D29" s="360"/>
      <c r="E29" s="215"/>
      <c r="F29" s="215"/>
      <c r="G29" s="215"/>
      <c r="H29" s="216"/>
    </row>
    <row r="30" spans="1:8" ht="120">
      <c r="A30" s="210" t="s">
        <v>618</v>
      </c>
      <c r="B30" s="211" t="s">
        <v>677</v>
      </c>
      <c r="C30" s="271">
        <f>VLOOKUP($A$8:$A$1487,'[7]MFP''s'!A$8:C$1502,3,FALSE)</f>
        <v>3499</v>
      </c>
      <c r="D30" s="361">
        <v>1675</v>
      </c>
      <c r="E30" s="274">
        <f t="shared" si="0"/>
        <v>0.52129179765647327</v>
      </c>
      <c r="F30" s="196">
        <f t="shared" si="1"/>
        <v>62.929749999999999</v>
      </c>
      <c r="G30" s="196">
        <f t="shared" si="4"/>
        <v>49.66375</v>
      </c>
      <c r="H30" s="199">
        <f t="shared" si="5"/>
        <v>41.925249999999998</v>
      </c>
    </row>
    <row r="31" spans="1:8">
      <c r="A31" s="195" t="s">
        <v>384</v>
      </c>
      <c r="B31" s="197"/>
      <c r="C31" s="271"/>
      <c r="D31" s="357"/>
      <c r="E31" s="274"/>
      <c r="F31" s="196"/>
      <c r="G31" s="196"/>
      <c r="H31" s="199"/>
    </row>
    <row r="32" spans="1:8">
      <c r="A32" s="176" t="s">
        <v>75</v>
      </c>
      <c r="B32" s="88"/>
      <c r="C32" s="271"/>
      <c r="D32" s="362"/>
      <c r="E32" s="274"/>
      <c r="F32" s="196"/>
      <c r="G32" s="196"/>
      <c r="H32" s="199"/>
    </row>
    <row r="33" spans="1:8">
      <c r="A33" s="175" t="s">
        <v>619</v>
      </c>
      <c r="B33" s="88" t="s">
        <v>620</v>
      </c>
      <c r="C33" s="271">
        <f>VLOOKUP($A$8:$A$1487,'[7]MFP''s'!A$8:C$1502,3,FALSE)</f>
        <v>166</v>
      </c>
      <c r="D33" s="362">
        <v>92</v>
      </c>
      <c r="E33" s="274">
        <f t="shared" si="0"/>
        <v>0.44578313253012047</v>
      </c>
      <c r="F33" s="196">
        <f t="shared" si="1"/>
        <v>3.4564399999999997</v>
      </c>
      <c r="G33" s="196">
        <f t="shared" si="4"/>
        <v>2.7277999999999998</v>
      </c>
      <c r="H33" s="199">
        <f t="shared" si="5"/>
        <v>2.3027600000000001</v>
      </c>
    </row>
    <row r="34" spans="1:8">
      <c r="A34" s="175" t="s">
        <v>621</v>
      </c>
      <c r="B34" s="88" t="s">
        <v>622</v>
      </c>
      <c r="C34" s="271">
        <f>VLOOKUP($A$8:$A$1487,'[7]MFP''s'!A$8:C$1502,3,FALSE)</f>
        <v>256</v>
      </c>
      <c r="D34" s="362">
        <v>142</v>
      </c>
      <c r="E34" s="274">
        <f t="shared" si="0"/>
        <v>0.4453125</v>
      </c>
      <c r="F34" s="196">
        <f t="shared" si="1"/>
        <v>5.3349399999999996</v>
      </c>
      <c r="G34" s="196">
        <f t="shared" si="4"/>
        <v>4.2103000000000002</v>
      </c>
      <c r="H34" s="199">
        <f t="shared" si="5"/>
        <v>3.5542600000000002</v>
      </c>
    </row>
    <row r="35" spans="1:8">
      <c r="A35" s="175" t="s">
        <v>623</v>
      </c>
      <c r="B35" s="88" t="s">
        <v>624</v>
      </c>
      <c r="C35" s="271">
        <f>VLOOKUP($A$8:$A$1487,'[7]MFP''s'!A$8:C$1502,3,FALSE)</f>
        <v>299</v>
      </c>
      <c r="D35" s="362">
        <v>166</v>
      </c>
      <c r="E35" s="274">
        <f t="shared" si="0"/>
        <v>0.44481605351170572</v>
      </c>
      <c r="F35" s="196">
        <f t="shared" si="1"/>
        <v>6.2366200000000003</v>
      </c>
      <c r="G35" s="196">
        <f t="shared" si="4"/>
        <v>4.9218999999999999</v>
      </c>
      <c r="H35" s="199">
        <f t="shared" si="5"/>
        <v>4.1549800000000001</v>
      </c>
    </row>
    <row r="36" spans="1:8">
      <c r="A36" s="176" t="s">
        <v>66</v>
      </c>
      <c r="B36" s="88"/>
      <c r="C36" s="271"/>
      <c r="D36" s="362"/>
      <c r="E36" s="274"/>
      <c r="F36" s="196"/>
      <c r="G36" s="196"/>
      <c r="H36" s="199"/>
    </row>
    <row r="37" spans="1:8">
      <c r="A37" s="175" t="s">
        <v>625</v>
      </c>
      <c r="B37" s="88" t="s">
        <v>626</v>
      </c>
      <c r="C37" s="271">
        <f>VLOOKUP($A$8:$A$1487,'[7]MFP''s'!A$8:C$1502,3,FALSE)</f>
        <v>319</v>
      </c>
      <c r="D37" s="362">
        <v>177</v>
      </c>
      <c r="E37" s="274">
        <f t="shared" si="0"/>
        <v>0.44514106583072099</v>
      </c>
      <c r="F37" s="196">
        <f t="shared" si="1"/>
        <v>6.6498900000000001</v>
      </c>
      <c r="G37" s="196">
        <f t="shared" si="4"/>
        <v>5.2480500000000001</v>
      </c>
      <c r="H37" s="199">
        <f t="shared" si="5"/>
        <v>4.4303100000000004</v>
      </c>
    </row>
    <row r="38" spans="1:8">
      <c r="A38" s="176" t="s">
        <v>69</v>
      </c>
      <c r="B38" s="88"/>
      <c r="C38" s="271"/>
      <c r="D38" s="362"/>
      <c r="E38" s="274"/>
      <c r="F38" s="196"/>
      <c r="G38" s="196"/>
      <c r="H38" s="199"/>
    </row>
    <row r="39" spans="1:8">
      <c r="A39" s="175" t="s">
        <v>501</v>
      </c>
      <c r="B39" s="88" t="s">
        <v>502</v>
      </c>
      <c r="C39" s="271">
        <f>VLOOKUP($A$8:$A$1487,'[7]MFP''s'!A$8:C$1502,3,FALSE)</f>
        <v>239</v>
      </c>
      <c r="D39" s="362">
        <v>133</v>
      </c>
      <c r="E39" s="274">
        <f t="shared" si="0"/>
        <v>0.44351464435146448</v>
      </c>
      <c r="F39" s="196">
        <f t="shared" si="1"/>
        <v>4.99681</v>
      </c>
      <c r="G39" s="196">
        <f t="shared" si="4"/>
        <v>3.9434499999999999</v>
      </c>
      <c r="H39" s="199">
        <f t="shared" si="5"/>
        <v>3.3289900000000001</v>
      </c>
    </row>
    <row r="40" spans="1:8">
      <c r="A40" s="175" t="s">
        <v>627</v>
      </c>
      <c r="B40" s="88" t="s">
        <v>628</v>
      </c>
      <c r="C40" s="271">
        <f>VLOOKUP($A$8:$A$1487,'[7]MFP''s'!A$8:C$1502,3,FALSE)</f>
        <v>68</v>
      </c>
      <c r="D40" s="362">
        <v>38</v>
      </c>
      <c r="E40" s="274">
        <f t="shared" si="0"/>
        <v>0.44117647058823528</v>
      </c>
      <c r="F40" s="196">
        <f t="shared" si="1"/>
        <v>1.4276599999999999</v>
      </c>
      <c r="G40" s="196">
        <f t="shared" si="4"/>
        <v>1.1267</v>
      </c>
      <c r="H40" s="199">
        <f t="shared" si="5"/>
        <v>0.95113999999999999</v>
      </c>
    </row>
    <row r="41" spans="1:8">
      <c r="A41" s="176" t="s">
        <v>376</v>
      </c>
      <c r="B41" s="88"/>
      <c r="C41" s="271"/>
      <c r="D41" s="362"/>
      <c r="E41" s="274"/>
      <c r="F41" s="196"/>
      <c r="G41" s="196"/>
      <c r="H41" s="199"/>
    </row>
    <row r="42" spans="1:8">
      <c r="A42" s="175" t="s">
        <v>132</v>
      </c>
      <c r="B42" s="88" t="s">
        <v>133</v>
      </c>
      <c r="C42" s="271">
        <f>VLOOKUP($A$8:$A$1487,'[7]MFP''s'!A$8:C$1502,3,FALSE)</f>
        <v>821</v>
      </c>
      <c r="D42" s="362">
        <v>389</v>
      </c>
      <c r="E42" s="274">
        <f t="shared" si="0"/>
        <v>0.52618757612667477</v>
      </c>
      <c r="F42" s="196">
        <f t="shared" si="1"/>
        <v>14.61473</v>
      </c>
      <c r="G42" s="196">
        <f t="shared" si="4"/>
        <v>11.533849999999999</v>
      </c>
      <c r="H42" s="199">
        <f t="shared" si="5"/>
        <v>9.7366700000000002</v>
      </c>
    </row>
    <row r="43" spans="1:8">
      <c r="A43" s="175" t="s">
        <v>134</v>
      </c>
      <c r="B43" s="88" t="s">
        <v>135</v>
      </c>
      <c r="C43" s="271">
        <f>VLOOKUP($A$8:$A$1487,'[7]MFP''s'!A$8:C$1502,3,FALSE)</f>
        <v>690</v>
      </c>
      <c r="D43" s="362">
        <v>327</v>
      </c>
      <c r="E43" s="274">
        <f t="shared" si="0"/>
        <v>0.5260869565217392</v>
      </c>
      <c r="F43" s="196">
        <f t="shared" si="1"/>
        <v>12.28539</v>
      </c>
      <c r="G43" s="196">
        <f t="shared" si="4"/>
        <v>9.695549999999999</v>
      </c>
      <c r="H43" s="199">
        <f t="shared" si="5"/>
        <v>8.1848100000000006</v>
      </c>
    </row>
    <row r="44" spans="1:8">
      <c r="A44" s="175" t="s">
        <v>136</v>
      </c>
      <c r="B44" s="88" t="s">
        <v>137</v>
      </c>
      <c r="C44" s="271">
        <f>VLOOKUP($A$8:$A$1487,'[7]MFP''s'!A$8:C$1502,3,FALSE)</f>
        <v>191</v>
      </c>
      <c r="D44" s="362">
        <v>91</v>
      </c>
      <c r="E44" s="274">
        <f t="shared" si="0"/>
        <v>0.52356020942408377</v>
      </c>
      <c r="F44" s="196">
        <f t="shared" si="1"/>
        <v>3.4188700000000001</v>
      </c>
      <c r="G44" s="196">
        <f t="shared" si="4"/>
        <v>2.69815</v>
      </c>
      <c r="H44" s="199">
        <f t="shared" si="5"/>
        <v>2.27773</v>
      </c>
    </row>
    <row r="45" spans="1:8">
      <c r="A45" s="175" t="s">
        <v>140</v>
      </c>
      <c r="B45" s="88" t="s">
        <v>141</v>
      </c>
      <c r="C45" s="271">
        <f>VLOOKUP($A$8:$A$1487,'[7]MFP''s'!A$8:C$1502,3,FALSE)</f>
        <v>250</v>
      </c>
      <c r="D45" s="362">
        <v>119</v>
      </c>
      <c r="E45" s="274">
        <f t="shared" si="0"/>
        <v>0.52400000000000002</v>
      </c>
      <c r="F45" s="196">
        <f t="shared" si="1"/>
        <v>4.4708300000000003</v>
      </c>
      <c r="G45" s="196">
        <f t="shared" si="4"/>
        <v>3.5283500000000001</v>
      </c>
      <c r="H45" s="199">
        <f t="shared" si="5"/>
        <v>2.9785699999999999</v>
      </c>
    </row>
    <row r="46" spans="1:8">
      <c r="A46" s="176" t="s">
        <v>47</v>
      </c>
      <c r="B46" s="88"/>
      <c r="C46" s="271"/>
      <c r="D46" s="362"/>
      <c r="E46" s="274"/>
      <c r="F46" s="196"/>
      <c r="G46" s="196"/>
      <c r="H46" s="199"/>
    </row>
    <row r="47" spans="1:8">
      <c r="A47" s="175" t="s">
        <v>629</v>
      </c>
      <c r="B47" s="88" t="s">
        <v>630</v>
      </c>
      <c r="C47" s="271">
        <f>VLOOKUP($A$8:$A$1487,'[7]MFP''s'!A$8:C$1502,3,FALSE)</f>
        <v>212</v>
      </c>
      <c r="D47" s="362">
        <v>118</v>
      </c>
      <c r="E47" s="274">
        <f t="shared" si="0"/>
        <v>0.44339622641509435</v>
      </c>
      <c r="F47" s="196">
        <f t="shared" si="1"/>
        <v>4.4332599999999998</v>
      </c>
      <c r="G47" s="196">
        <f t="shared" si="4"/>
        <v>3.4986999999999999</v>
      </c>
      <c r="H47" s="199">
        <f t="shared" si="5"/>
        <v>2.9535399999999998</v>
      </c>
    </row>
    <row r="48" spans="1:8">
      <c r="A48" s="175" t="s">
        <v>496</v>
      </c>
      <c r="B48" s="88" t="s">
        <v>68</v>
      </c>
      <c r="C48" s="271">
        <f>VLOOKUP($A$8:$A$1487,'[7]MFP''s'!A$8:C$1502,3,FALSE)</f>
        <v>476</v>
      </c>
      <c r="D48" s="362">
        <v>226</v>
      </c>
      <c r="E48" s="274">
        <f t="shared" si="0"/>
        <v>0.52521008403361347</v>
      </c>
      <c r="F48" s="196">
        <f t="shared" si="1"/>
        <v>8.4908199999999994</v>
      </c>
      <c r="G48" s="196">
        <f t="shared" si="4"/>
        <v>6.7008999999999999</v>
      </c>
      <c r="H48" s="199">
        <f t="shared" si="5"/>
        <v>5.6567800000000004</v>
      </c>
    </row>
    <row r="49" spans="1:8">
      <c r="A49" s="175" t="s">
        <v>497</v>
      </c>
      <c r="B49" s="88" t="s">
        <v>67</v>
      </c>
      <c r="C49" s="271">
        <f>VLOOKUP($A$8:$A$1487,'[7]MFP''s'!A$8:C$1502,3,FALSE)</f>
        <v>423</v>
      </c>
      <c r="D49" s="362">
        <v>201</v>
      </c>
      <c r="E49" s="274">
        <f t="shared" si="0"/>
        <v>0.52482269503546097</v>
      </c>
      <c r="F49" s="196">
        <f t="shared" si="1"/>
        <v>7.5515699999999999</v>
      </c>
      <c r="G49" s="196">
        <f t="shared" si="4"/>
        <v>5.9596499999999999</v>
      </c>
      <c r="H49" s="199">
        <f t="shared" si="5"/>
        <v>5.0310300000000003</v>
      </c>
    </row>
    <row r="50" spans="1:8">
      <c r="A50" s="175" t="s">
        <v>498</v>
      </c>
      <c r="B50" s="88" t="s">
        <v>163</v>
      </c>
      <c r="C50" s="271">
        <f>VLOOKUP($A$8:$A$1487,'[7]MFP''s'!A$8:C$1502,3,FALSE)</f>
        <v>69</v>
      </c>
      <c r="D50" s="362">
        <v>33</v>
      </c>
      <c r="E50" s="274">
        <f t="shared" si="0"/>
        <v>0.52173913043478259</v>
      </c>
      <c r="F50" s="196">
        <f t="shared" si="1"/>
        <v>1.2398100000000001</v>
      </c>
      <c r="G50" s="196">
        <f t="shared" si="4"/>
        <v>0.97844999999999993</v>
      </c>
      <c r="H50" s="199">
        <f t="shared" si="5"/>
        <v>0.82599</v>
      </c>
    </row>
    <row r="51" spans="1:8">
      <c r="A51" s="175" t="s">
        <v>54</v>
      </c>
      <c r="B51" s="88" t="s">
        <v>55</v>
      </c>
      <c r="C51" s="271">
        <f>VLOOKUP($A$8:$A$1487,'[7]MFP''s'!A$8:C$1502,3,FALSE)</f>
        <v>317</v>
      </c>
      <c r="D51" s="362">
        <v>151</v>
      </c>
      <c r="E51" s="274">
        <f t="shared" si="0"/>
        <v>0.52365930599369093</v>
      </c>
      <c r="F51" s="196">
        <f t="shared" si="1"/>
        <v>5.6730700000000001</v>
      </c>
      <c r="G51" s="196">
        <f t="shared" si="4"/>
        <v>4.47715</v>
      </c>
      <c r="H51" s="199">
        <f t="shared" si="5"/>
        <v>3.7795299999999998</v>
      </c>
    </row>
    <row r="52" spans="1:8">
      <c r="A52" s="176" t="s">
        <v>171</v>
      </c>
      <c r="B52" s="88"/>
      <c r="C52" s="271"/>
      <c r="D52" s="362"/>
      <c r="E52" s="274"/>
      <c r="F52" s="196"/>
      <c r="G52" s="196"/>
      <c r="H52" s="199"/>
    </row>
    <row r="53" spans="1:8">
      <c r="A53" s="175" t="s">
        <v>631</v>
      </c>
      <c r="B53" s="88" t="s">
        <v>632</v>
      </c>
      <c r="C53" s="271">
        <f>VLOOKUP($A$8:$A$1487,'[7]MFP''s'!A$8:C$1502,3,FALSE)</f>
        <v>100</v>
      </c>
      <c r="D53" s="362">
        <v>56</v>
      </c>
      <c r="E53" s="274">
        <f t="shared" si="0"/>
        <v>0.43999999999999995</v>
      </c>
      <c r="F53" s="196">
        <f t="shared" si="1"/>
        <v>2.10392</v>
      </c>
      <c r="G53" s="196">
        <f t="shared" si="4"/>
        <v>1.6603999999999999</v>
      </c>
      <c r="H53" s="199">
        <f t="shared" si="5"/>
        <v>1.40168</v>
      </c>
    </row>
    <row r="54" spans="1:8">
      <c r="A54" s="212"/>
      <c r="B54" s="213"/>
      <c r="C54" s="214"/>
      <c r="D54" s="360"/>
      <c r="E54" s="215"/>
      <c r="F54" s="215"/>
      <c r="G54" s="215"/>
      <c r="H54" s="216"/>
    </row>
    <row r="55" spans="1:8" ht="120">
      <c r="A55" s="210" t="s">
        <v>633</v>
      </c>
      <c r="B55" s="211" t="s">
        <v>678</v>
      </c>
      <c r="C55" s="271">
        <f>VLOOKUP($A$8:$A$1487,'[7]MFP''s'!A$8:C$1502,3,FALSE)</f>
        <v>4199</v>
      </c>
      <c r="D55" s="361">
        <v>2010</v>
      </c>
      <c r="E55" s="274">
        <f t="shared" si="0"/>
        <v>0.52131459871397956</v>
      </c>
      <c r="F55" s="196">
        <f t="shared" si="1"/>
        <v>75.515699999999995</v>
      </c>
      <c r="G55" s="196">
        <f t="shared" si="4"/>
        <v>59.596499999999999</v>
      </c>
      <c r="H55" s="199">
        <f t="shared" si="5"/>
        <v>50.310299999999998</v>
      </c>
    </row>
    <row r="56" spans="1:8">
      <c r="A56" s="195" t="s">
        <v>384</v>
      </c>
      <c r="B56" s="197"/>
      <c r="C56" s="271"/>
      <c r="D56" s="357"/>
      <c r="E56" s="274"/>
      <c r="F56" s="196"/>
      <c r="G56" s="196"/>
      <c r="H56" s="199"/>
    </row>
    <row r="57" spans="1:8">
      <c r="A57" s="176" t="s">
        <v>75</v>
      </c>
      <c r="B57" s="88"/>
      <c r="C57" s="271"/>
      <c r="D57" s="362"/>
      <c r="E57" s="274"/>
      <c r="F57" s="196"/>
      <c r="G57" s="196"/>
      <c r="H57" s="199"/>
    </row>
    <row r="58" spans="1:8">
      <c r="A58" s="175" t="s">
        <v>619</v>
      </c>
      <c r="B58" s="88" t="s">
        <v>620</v>
      </c>
      <c r="C58" s="271">
        <f>VLOOKUP($A$8:$A$1487,'[7]MFP''s'!A$8:C$1502,3,FALSE)</f>
        <v>166</v>
      </c>
      <c r="D58" s="362">
        <v>92</v>
      </c>
      <c r="E58" s="274">
        <f t="shared" si="0"/>
        <v>0.44578313253012047</v>
      </c>
      <c r="F58" s="196">
        <f t="shared" si="1"/>
        <v>3.4564399999999997</v>
      </c>
      <c r="G58" s="196">
        <f t="shared" si="4"/>
        <v>2.7277999999999998</v>
      </c>
      <c r="H58" s="199">
        <f t="shared" si="5"/>
        <v>2.3027600000000001</v>
      </c>
    </row>
    <row r="59" spans="1:8">
      <c r="A59" s="175" t="s">
        <v>621</v>
      </c>
      <c r="B59" s="88" t="s">
        <v>622</v>
      </c>
      <c r="C59" s="271">
        <f>VLOOKUP($A$8:$A$1487,'[7]MFP''s'!A$8:C$1502,3,FALSE)</f>
        <v>256</v>
      </c>
      <c r="D59" s="362">
        <v>142</v>
      </c>
      <c r="E59" s="274">
        <f t="shared" si="0"/>
        <v>0.4453125</v>
      </c>
      <c r="F59" s="196">
        <f t="shared" si="1"/>
        <v>5.3349399999999996</v>
      </c>
      <c r="G59" s="196">
        <f t="shared" si="4"/>
        <v>4.2103000000000002</v>
      </c>
      <c r="H59" s="199">
        <f t="shared" si="5"/>
        <v>3.5542600000000002</v>
      </c>
    </row>
    <row r="60" spans="1:8">
      <c r="A60" s="175" t="s">
        <v>623</v>
      </c>
      <c r="B60" s="88" t="s">
        <v>624</v>
      </c>
      <c r="C60" s="271">
        <f>VLOOKUP($A$8:$A$1487,'[7]MFP''s'!A$8:C$1502,3,FALSE)</f>
        <v>299</v>
      </c>
      <c r="D60" s="362">
        <v>166</v>
      </c>
      <c r="E60" s="274">
        <f t="shared" si="0"/>
        <v>0.44481605351170572</v>
      </c>
      <c r="F60" s="196">
        <f t="shared" si="1"/>
        <v>6.2366200000000003</v>
      </c>
      <c r="G60" s="196">
        <f t="shared" si="4"/>
        <v>4.9218999999999999</v>
      </c>
      <c r="H60" s="199">
        <f t="shared" si="5"/>
        <v>4.1549800000000001</v>
      </c>
    </row>
    <row r="61" spans="1:8">
      <c r="A61" s="176" t="s">
        <v>66</v>
      </c>
      <c r="B61" s="88"/>
      <c r="C61" s="271"/>
      <c r="D61" s="362"/>
      <c r="E61" s="274"/>
      <c r="F61" s="196"/>
      <c r="G61" s="196"/>
      <c r="H61" s="199"/>
    </row>
    <row r="62" spans="1:8">
      <c r="A62" s="175" t="s">
        <v>625</v>
      </c>
      <c r="B62" s="88" t="s">
        <v>626</v>
      </c>
      <c r="C62" s="271">
        <f>VLOOKUP($A$8:$A$1487,'[7]MFP''s'!A$8:C$1502,3,FALSE)</f>
        <v>319</v>
      </c>
      <c r="D62" s="362">
        <v>177</v>
      </c>
      <c r="E62" s="274">
        <f t="shared" si="0"/>
        <v>0.44514106583072099</v>
      </c>
      <c r="F62" s="196">
        <f t="shared" si="1"/>
        <v>6.6498900000000001</v>
      </c>
      <c r="G62" s="196">
        <f t="shared" si="4"/>
        <v>5.2480500000000001</v>
      </c>
      <c r="H62" s="199">
        <f t="shared" si="5"/>
        <v>4.4303100000000004</v>
      </c>
    </row>
    <row r="63" spans="1:8">
      <c r="A63" s="176" t="s">
        <v>69</v>
      </c>
      <c r="B63" s="88"/>
      <c r="C63" s="271"/>
      <c r="D63" s="362"/>
      <c r="E63" s="274"/>
      <c r="F63" s="196"/>
      <c r="G63" s="196"/>
      <c r="H63" s="199"/>
    </row>
    <row r="64" spans="1:8">
      <c r="A64" s="175" t="s">
        <v>501</v>
      </c>
      <c r="B64" s="88" t="s">
        <v>502</v>
      </c>
      <c r="C64" s="271">
        <f>VLOOKUP($A$8:$A$1487,'[7]MFP''s'!A$8:C$1502,3,FALSE)</f>
        <v>239</v>
      </c>
      <c r="D64" s="362">
        <v>133</v>
      </c>
      <c r="E64" s="274">
        <f t="shared" si="0"/>
        <v>0.44351464435146448</v>
      </c>
      <c r="F64" s="196">
        <f t="shared" si="1"/>
        <v>4.99681</v>
      </c>
      <c r="G64" s="196">
        <f t="shared" si="4"/>
        <v>3.9434499999999999</v>
      </c>
      <c r="H64" s="199">
        <f t="shared" si="5"/>
        <v>3.3289900000000001</v>
      </c>
    </row>
    <row r="65" spans="1:8">
      <c r="A65" s="175" t="s">
        <v>627</v>
      </c>
      <c r="B65" s="88" t="s">
        <v>628</v>
      </c>
      <c r="C65" s="271">
        <f>VLOOKUP($A$8:$A$1487,'[7]MFP''s'!A$8:C$1502,3,FALSE)</f>
        <v>68</v>
      </c>
      <c r="D65" s="362">
        <v>38</v>
      </c>
      <c r="E65" s="274">
        <f t="shared" si="0"/>
        <v>0.44117647058823528</v>
      </c>
      <c r="F65" s="196">
        <f t="shared" si="1"/>
        <v>1.4276599999999999</v>
      </c>
      <c r="G65" s="196">
        <f t="shared" si="4"/>
        <v>1.1267</v>
      </c>
      <c r="H65" s="199">
        <f t="shared" si="5"/>
        <v>0.95113999999999999</v>
      </c>
    </row>
    <row r="66" spans="1:8">
      <c r="A66" s="176" t="s">
        <v>376</v>
      </c>
      <c r="B66" s="88"/>
      <c r="C66" s="271"/>
      <c r="D66" s="362"/>
      <c r="E66" s="274"/>
      <c r="F66" s="196"/>
      <c r="G66" s="196"/>
      <c r="H66" s="199"/>
    </row>
    <row r="67" spans="1:8">
      <c r="A67" s="175" t="s">
        <v>132</v>
      </c>
      <c r="B67" s="88" t="s">
        <v>133</v>
      </c>
      <c r="C67" s="271">
        <f>VLOOKUP($A$8:$A$1487,'[7]MFP''s'!A$8:C$1502,3,FALSE)</f>
        <v>821</v>
      </c>
      <c r="D67" s="362">
        <v>389</v>
      </c>
      <c r="E67" s="274">
        <f t="shared" si="0"/>
        <v>0.52618757612667477</v>
      </c>
      <c r="F67" s="196">
        <f t="shared" si="1"/>
        <v>14.61473</v>
      </c>
      <c r="G67" s="196">
        <f t="shared" si="4"/>
        <v>11.533849999999999</v>
      </c>
      <c r="H67" s="199">
        <f t="shared" si="5"/>
        <v>9.7366700000000002</v>
      </c>
    </row>
    <row r="68" spans="1:8">
      <c r="A68" s="175" t="s">
        <v>134</v>
      </c>
      <c r="B68" s="88" t="s">
        <v>135</v>
      </c>
      <c r="C68" s="271">
        <f>VLOOKUP($A$8:$A$1487,'[7]MFP''s'!A$8:C$1502,3,FALSE)</f>
        <v>690</v>
      </c>
      <c r="D68" s="362">
        <v>327</v>
      </c>
      <c r="E68" s="274">
        <f t="shared" si="0"/>
        <v>0.5260869565217392</v>
      </c>
      <c r="F68" s="196">
        <f t="shared" si="1"/>
        <v>12.28539</v>
      </c>
      <c r="G68" s="196">
        <f t="shared" si="4"/>
        <v>9.695549999999999</v>
      </c>
      <c r="H68" s="199">
        <f t="shared" si="5"/>
        <v>8.1848100000000006</v>
      </c>
    </row>
    <row r="69" spans="1:8">
      <c r="A69" s="175" t="s">
        <v>136</v>
      </c>
      <c r="B69" s="88" t="s">
        <v>137</v>
      </c>
      <c r="C69" s="271">
        <f>VLOOKUP($A$8:$A$1487,'[7]MFP''s'!A$8:C$1502,3,FALSE)</f>
        <v>191</v>
      </c>
      <c r="D69" s="362">
        <v>91</v>
      </c>
      <c r="E69" s="274">
        <f t="shared" si="0"/>
        <v>0.52356020942408377</v>
      </c>
      <c r="F69" s="196">
        <f t="shared" si="1"/>
        <v>3.4188700000000001</v>
      </c>
      <c r="G69" s="196">
        <f t="shared" si="4"/>
        <v>2.69815</v>
      </c>
      <c r="H69" s="199">
        <f t="shared" si="5"/>
        <v>2.27773</v>
      </c>
    </row>
    <row r="70" spans="1:8">
      <c r="A70" s="175" t="s">
        <v>140</v>
      </c>
      <c r="B70" s="88" t="s">
        <v>141</v>
      </c>
      <c r="C70" s="271">
        <f>VLOOKUP($A$8:$A$1487,'[7]MFP''s'!A$8:C$1502,3,FALSE)</f>
        <v>250</v>
      </c>
      <c r="D70" s="362">
        <v>119</v>
      </c>
      <c r="E70" s="274">
        <f t="shared" si="0"/>
        <v>0.52400000000000002</v>
      </c>
      <c r="F70" s="196">
        <f t="shared" si="1"/>
        <v>4.4708300000000003</v>
      </c>
      <c r="G70" s="196">
        <f t="shared" si="4"/>
        <v>3.5283500000000001</v>
      </c>
      <c r="H70" s="199">
        <f t="shared" si="5"/>
        <v>2.9785699999999999</v>
      </c>
    </row>
    <row r="71" spans="1:8">
      <c r="A71" s="176" t="s">
        <v>47</v>
      </c>
      <c r="B71" s="88"/>
      <c r="C71" s="271"/>
      <c r="D71" s="362"/>
      <c r="E71" s="274"/>
      <c r="F71" s="196"/>
      <c r="G71" s="196"/>
      <c r="H71" s="199"/>
    </row>
    <row r="72" spans="1:8">
      <c r="A72" s="175" t="s">
        <v>629</v>
      </c>
      <c r="B72" s="88" t="s">
        <v>630</v>
      </c>
      <c r="C72" s="271">
        <f>VLOOKUP($A$8:$A$1487,'[7]MFP''s'!A$8:C$1502,3,FALSE)</f>
        <v>212</v>
      </c>
      <c r="D72" s="362">
        <v>118</v>
      </c>
      <c r="E72" s="274">
        <f t="shared" si="0"/>
        <v>0.44339622641509435</v>
      </c>
      <c r="F72" s="196">
        <f t="shared" si="1"/>
        <v>4.4332599999999998</v>
      </c>
      <c r="G72" s="196">
        <f t="shared" si="4"/>
        <v>3.4986999999999999</v>
      </c>
      <c r="H72" s="199">
        <f t="shared" si="5"/>
        <v>2.9535399999999998</v>
      </c>
    </row>
    <row r="73" spans="1:8">
      <c r="A73" s="175" t="s">
        <v>496</v>
      </c>
      <c r="B73" s="88" t="s">
        <v>68</v>
      </c>
      <c r="C73" s="271">
        <f>VLOOKUP($A$8:$A$1487,'[7]MFP''s'!A$8:C$1502,3,FALSE)</f>
        <v>476</v>
      </c>
      <c r="D73" s="362">
        <v>226</v>
      </c>
      <c r="E73" s="274">
        <f t="shared" ref="E73:E130" si="6">100%-(D73/C73)</f>
        <v>0.52521008403361347</v>
      </c>
      <c r="F73" s="196">
        <f t="shared" ref="F73:F131" si="7">D73*$F$1</f>
        <v>8.4908199999999994</v>
      </c>
      <c r="G73" s="196">
        <f t="shared" si="4"/>
        <v>6.7008999999999999</v>
      </c>
      <c r="H73" s="199">
        <f t="shared" si="5"/>
        <v>5.6567800000000004</v>
      </c>
    </row>
    <row r="74" spans="1:8">
      <c r="A74" s="175" t="s">
        <v>497</v>
      </c>
      <c r="B74" s="88" t="s">
        <v>67</v>
      </c>
      <c r="C74" s="271">
        <f>VLOOKUP($A$8:$A$1487,'[7]MFP''s'!A$8:C$1502,3,FALSE)</f>
        <v>423</v>
      </c>
      <c r="D74" s="362">
        <v>201</v>
      </c>
      <c r="E74" s="274">
        <f t="shared" si="6"/>
        <v>0.52482269503546097</v>
      </c>
      <c r="F74" s="196">
        <f t="shared" si="7"/>
        <v>7.5515699999999999</v>
      </c>
      <c r="G74" s="196">
        <f t="shared" si="4"/>
        <v>5.9596499999999999</v>
      </c>
      <c r="H74" s="199">
        <f t="shared" si="5"/>
        <v>5.0310300000000003</v>
      </c>
    </row>
    <row r="75" spans="1:8">
      <c r="A75" s="175" t="s">
        <v>498</v>
      </c>
      <c r="B75" s="88" t="s">
        <v>163</v>
      </c>
      <c r="C75" s="271">
        <f>VLOOKUP($A$8:$A$1487,'[7]MFP''s'!A$8:C$1502,3,FALSE)</f>
        <v>69</v>
      </c>
      <c r="D75" s="362">
        <v>33</v>
      </c>
      <c r="E75" s="274">
        <f t="shared" si="6"/>
        <v>0.52173913043478259</v>
      </c>
      <c r="F75" s="196">
        <f t="shared" si="7"/>
        <v>1.2398100000000001</v>
      </c>
      <c r="G75" s="196">
        <f t="shared" si="4"/>
        <v>0.97844999999999993</v>
      </c>
      <c r="H75" s="199">
        <f t="shared" si="5"/>
        <v>0.82599</v>
      </c>
    </row>
    <row r="76" spans="1:8">
      <c r="A76" s="175" t="s">
        <v>54</v>
      </c>
      <c r="B76" s="88" t="s">
        <v>55</v>
      </c>
      <c r="C76" s="271">
        <f>VLOOKUP($A$8:$A$1487,'[7]MFP''s'!A$8:C$1502,3,FALSE)</f>
        <v>317</v>
      </c>
      <c r="D76" s="362">
        <v>151</v>
      </c>
      <c r="E76" s="274">
        <f t="shared" si="6"/>
        <v>0.52365930599369093</v>
      </c>
      <c r="F76" s="196">
        <f t="shared" si="7"/>
        <v>5.6730700000000001</v>
      </c>
      <c r="G76" s="196">
        <f t="shared" si="4"/>
        <v>4.47715</v>
      </c>
      <c r="H76" s="199">
        <f t="shared" si="5"/>
        <v>3.7795299999999998</v>
      </c>
    </row>
    <row r="77" spans="1:8">
      <c r="A77" s="176" t="s">
        <v>171</v>
      </c>
      <c r="B77" s="88"/>
      <c r="C77" s="271"/>
      <c r="D77" s="362"/>
      <c r="E77" s="274"/>
      <c r="F77" s="196"/>
      <c r="G77" s="196"/>
      <c r="H77" s="199"/>
    </row>
    <row r="78" spans="1:8">
      <c r="A78" s="175" t="s">
        <v>631</v>
      </c>
      <c r="B78" s="88" t="s">
        <v>632</v>
      </c>
      <c r="C78" s="271">
        <f>VLOOKUP($A$8:$A$1487,'[7]MFP''s'!A$8:C$1502,3,FALSE)</f>
        <v>100</v>
      </c>
      <c r="D78" s="362">
        <v>56</v>
      </c>
      <c r="E78" s="274">
        <f t="shared" si="6"/>
        <v>0.43999999999999995</v>
      </c>
      <c r="F78" s="196">
        <f t="shared" si="7"/>
        <v>2.10392</v>
      </c>
      <c r="G78" s="196">
        <f t="shared" si="4"/>
        <v>1.6603999999999999</v>
      </c>
      <c r="H78" s="199">
        <f t="shared" si="5"/>
        <v>1.40168</v>
      </c>
    </row>
    <row r="79" spans="1:8">
      <c r="A79" s="212"/>
      <c r="B79" s="213"/>
      <c r="C79" s="214"/>
      <c r="D79" s="360"/>
      <c r="E79" s="215"/>
      <c r="F79" s="215"/>
      <c r="G79" s="215"/>
      <c r="H79" s="216"/>
    </row>
    <row r="80" spans="1:8" ht="60">
      <c r="A80" s="217" t="s">
        <v>70</v>
      </c>
      <c r="B80" s="211" t="s">
        <v>648</v>
      </c>
      <c r="C80" s="271">
        <f>VLOOKUP($A$8:$A$1487,'[7]MFP''s'!A$8:C$1502,3,FALSE)</f>
        <v>2970</v>
      </c>
      <c r="D80" s="361">
        <v>1782</v>
      </c>
      <c r="E80" s="274">
        <f t="shared" si="6"/>
        <v>0.4</v>
      </c>
      <c r="F80" s="196">
        <f t="shared" si="7"/>
        <v>66.949740000000006</v>
      </c>
      <c r="G80" s="196">
        <f t="shared" si="4"/>
        <v>52.836300000000001</v>
      </c>
      <c r="H80" s="199">
        <f t="shared" si="5"/>
        <v>44.603459999999998</v>
      </c>
    </row>
    <row r="81" spans="1:29">
      <c r="A81" s="195" t="s">
        <v>384</v>
      </c>
      <c r="B81" s="197"/>
      <c r="C81" s="271"/>
      <c r="D81" s="357"/>
      <c r="E81" s="274"/>
      <c r="F81" s="196"/>
      <c r="G81" s="196"/>
      <c r="H81" s="199"/>
    </row>
    <row r="82" spans="1:29" s="318" customFormat="1">
      <c r="A82" s="310" t="s">
        <v>71</v>
      </c>
      <c r="B82" s="311" t="s">
        <v>72</v>
      </c>
      <c r="C82" s="312">
        <f>VLOOKUP($A$8:$A$1487,'[7]MFP''s'!A$8:C$1502,3,FALSE)</f>
        <v>1392</v>
      </c>
      <c r="D82" s="363">
        <v>904.80000000000007</v>
      </c>
      <c r="E82" s="313">
        <f>100%-(D82/C82)</f>
        <v>0.35</v>
      </c>
      <c r="F82" s="314">
        <f>D82*$F$1</f>
        <v>33.993335999999999</v>
      </c>
      <c r="G82" s="314">
        <f>D82*$G$1</f>
        <v>26.82732</v>
      </c>
      <c r="H82" s="315">
        <f>D82*$H$1</f>
        <v>22.647144000000001</v>
      </c>
      <c r="I82" s="316"/>
      <c r="J82" s="317"/>
      <c r="K82" s="317"/>
      <c r="L82" s="317"/>
      <c r="M82" s="316"/>
      <c r="N82" s="316"/>
      <c r="O82" s="316"/>
      <c r="P82" s="316"/>
      <c r="Q82" s="316"/>
      <c r="R82" s="316"/>
      <c r="S82" s="316"/>
      <c r="T82" s="316"/>
      <c r="U82" s="316"/>
      <c r="V82" s="316"/>
      <c r="W82" s="316"/>
      <c r="X82" s="316"/>
      <c r="Y82" s="316"/>
      <c r="Z82" s="316"/>
      <c r="AA82" s="316"/>
      <c r="AB82" s="316"/>
      <c r="AC82" s="316"/>
    </row>
    <row r="83" spans="1:29">
      <c r="A83" s="90" t="s">
        <v>73</v>
      </c>
      <c r="B83" s="88" t="s">
        <v>74</v>
      </c>
      <c r="C83" s="271">
        <f>VLOOKUP($A$8:$A$1487,'[7]MFP''s'!A$8:C$1502,3,FALSE)</f>
        <v>87</v>
      </c>
      <c r="D83" s="362">
        <v>56.550000000000004</v>
      </c>
      <c r="E83" s="274">
        <f t="shared" si="6"/>
        <v>0.35</v>
      </c>
      <c r="F83" s="196">
        <f t="shared" si="7"/>
        <v>2.1245835</v>
      </c>
      <c r="G83" s="196">
        <f t="shared" ref="G83:G138" si="8">D83*$G$1</f>
        <v>1.6767075</v>
      </c>
      <c r="H83" s="199">
        <f t="shared" ref="H83:H138" si="9">D83*$H$1</f>
        <v>1.4154465000000001</v>
      </c>
    </row>
    <row r="84" spans="1:29">
      <c r="A84" s="91" t="s">
        <v>76</v>
      </c>
      <c r="B84" s="89" t="s">
        <v>77</v>
      </c>
      <c r="C84" s="271">
        <f>VLOOKUP($A$8:$A$1487,'[7]MFP''s'!A$8:C$1502,3,FALSE)</f>
        <v>226</v>
      </c>
      <c r="D84" s="362">
        <v>146.9</v>
      </c>
      <c r="E84" s="274">
        <f t="shared" si="6"/>
        <v>0.35</v>
      </c>
      <c r="F84" s="196">
        <f t="shared" si="7"/>
        <v>5.5190330000000003</v>
      </c>
      <c r="G84" s="196">
        <f t="shared" si="8"/>
        <v>4.3555850000000005</v>
      </c>
      <c r="H84" s="199">
        <f t="shared" si="9"/>
        <v>3.6769070000000004</v>
      </c>
    </row>
    <row r="85" spans="1:29">
      <c r="A85" s="91" t="s">
        <v>78</v>
      </c>
      <c r="B85" s="89" t="s">
        <v>79</v>
      </c>
      <c r="C85" s="271">
        <f>VLOOKUP($A$8:$A$1487,'[7]MFP''s'!A$8:C$1502,3,FALSE)</f>
        <v>153</v>
      </c>
      <c r="D85" s="362">
        <v>99.45</v>
      </c>
      <c r="E85" s="274">
        <f t="shared" si="6"/>
        <v>0.35</v>
      </c>
      <c r="F85" s="196">
        <f t="shared" si="7"/>
        <v>3.7363365000000002</v>
      </c>
      <c r="G85" s="196">
        <f t="shared" si="8"/>
        <v>2.9486924999999999</v>
      </c>
      <c r="H85" s="199">
        <f t="shared" si="9"/>
        <v>2.4892335000000001</v>
      </c>
    </row>
    <row r="86" spans="1:29">
      <c r="A86" s="91" t="s">
        <v>80</v>
      </c>
      <c r="B86" s="89" t="s">
        <v>81</v>
      </c>
      <c r="C86" s="271">
        <f>VLOOKUP($A$8:$A$1487,'[7]MFP''s'!A$8:C$1502,3,FALSE)</f>
        <v>210</v>
      </c>
      <c r="D86" s="362">
        <v>136.5</v>
      </c>
      <c r="E86" s="274">
        <f t="shared" si="6"/>
        <v>0.35</v>
      </c>
      <c r="F86" s="196">
        <f t="shared" si="7"/>
        <v>5.1283050000000001</v>
      </c>
      <c r="G86" s="196">
        <f t="shared" si="8"/>
        <v>4.0472250000000001</v>
      </c>
      <c r="H86" s="199">
        <f t="shared" si="9"/>
        <v>3.416595</v>
      </c>
    </row>
    <row r="87" spans="1:29">
      <c r="A87" s="91" t="s">
        <v>82</v>
      </c>
      <c r="B87" s="89" t="s">
        <v>83</v>
      </c>
      <c r="C87" s="271">
        <f>VLOOKUP($A$8:$A$1487,'[7]MFP''s'!A$8:C$1502,3,FALSE)</f>
        <v>195</v>
      </c>
      <c r="D87" s="362">
        <v>126.75</v>
      </c>
      <c r="E87" s="274">
        <f t="shared" si="6"/>
        <v>0.35</v>
      </c>
      <c r="F87" s="196">
        <f t="shared" si="7"/>
        <v>4.7619974999999997</v>
      </c>
      <c r="G87" s="196">
        <f t="shared" si="8"/>
        <v>3.7581374999999997</v>
      </c>
      <c r="H87" s="199">
        <f t="shared" si="9"/>
        <v>3.1725525000000001</v>
      </c>
    </row>
    <row r="88" spans="1:29">
      <c r="A88" s="91" t="s">
        <v>84</v>
      </c>
      <c r="B88" s="89" t="s">
        <v>85</v>
      </c>
      <c r="C88" s="271">
        <f>VLOOKUP($A$8:$A$1487,'[7]MFP''s'!A$8:C$1502,3,FALSE)</f>
        <v>160</v>
      </c>
      <c r="D88" s="362">
        <v>104</v>
      </c>
      <c r="E88" s="274">
        <f t="shared" si="6"/>
        <v>0.35</v>
      </c>
      <c r="F88" s="196">
        <f t="shared" si="7"/>
        <v>3.9072800000000001</v>
      </c>
      <c r="G88" s="196">
        <f t="shared" si="8"/>
        <v>3.0836000000000001</v>
      </c>
      <c r="H88" s="199">
        <f t="shared" si="9"/>
        <v>2.6031200000000001</v>
      </c>
    </row>
    <row r="89" spans="1:29">
      <c r="A89" s="91" t="s">
        <v>86</v>
      </c>
      <c r="B89" s="89" t="s">
        <v>87</v>
      </c>
      <c r="C89" s="271">
        <f>VLOOKUP($A$8:$A$1487,'[7]MFP''s'!A$8:C$1502,3,FALSE)</f>
        <v>630</v>
      </c>
      <c r="D89" s="362">
        <v>409.5</v>
      </c>
      <c r="E89" s="274">
        <f t="shared" si="6"/>
        <v>0.35</v>
      </c>
      <c r="F89" s="196">
        <f t="shared" si="7"/>
        <v>15.384914999999999</v>
      </c>
      <c r="G89" s="196">
        <f t="shared" si="8"/>
        <v>12.141674999999999</v>
      </c>
      <c r="H89" s="199">
        <f t="shared" si="9"/>
        <v>10.249784999999999</v>
      </c>
    </row>
    <row r="90" spans="1:29">
      <c r="A90" s="91" t="s">
        <v>88</v>
      </c>
      <c r="B90" s="89" t="s">
        <v>89</v>
      </c>
      <c r="C90" s="271">
        <f>VLOOKUP($A$8:$A$1487,'[7]MFP''s'!A$8:C$1502,3,FALSE)</f>
        <v>405</v>
      </c>
      <c r="D90" s="362">
        <v>263.25</v>
      </c>
      <c r="E90" s="274">
        <f t="shared" si="6"/>
        <v>0.35</v>
      </c>
      <c r="F90" s="196">
        <f t="shared" si="7"/>
        <v>9.8903025000000007</v>
      </c>
      <c r="G90" s="196">
        <f t="shared" si="8"/>
        <v>7.8053625000000002</v>
      </c>
      <c r="H90" s="199">
        <f t="shared" si="9"/>
        <v>6.5891475000000002</v>
      </c>
    </row>
    <row r="91" spans="1:29">
      <c r="A91" s="91" t="s">
        <v>90</v>
      </c>
      <c r="B91" s="89" t="s">
        <v>91</v>
      </c>
      <c r="C91" s="271">
        <f>VLOOKUP($A$8:$A$1487,'[7]MFP''s'!A$8:C$1502,3,FALSE)</f>
        <v>672</v>
      </c>
      <c r="D91" s="362">
        <v>436.8</v>
      </c>
      <c r="E91" s="274">
        <f t="shared" si="6"/>
        <v>0.35</v>
      </c>
      <c r="F91" s="196">
        <f t="shared" si="7"/>
        <v>16.410575999999999</v>
      </c>
      <c r="G91" s="196">
        <f t="shared" si="8"/>
        <v>12.95112</v>
      </c>
      <c r="H91" s="199">
        <f t="shared" si="9"/>
        <v>10.933104</v>
      </c>
    </row>
    <row r="92" spans="1:29">
      <c r="A92" s="91" t="s">
        <v>92</v>
      </c>
      <c r="B92" s="89" t="s">
        <v>93</v>
      </c>
      <c r="C92" s="271">
        <f>VLOOKUP($A$8:$A$1487,'[7]MFP''s'!A$8:C$1502,3,FALSE)</f>
        <v>94</v>
      </c>
      <c r="D92" s="362">
        <v>61.1</v>
      </c>
      <c r="E92" s="274">
        <f t="shared" si="6"/>
        <v>0.35</v>
      </c>
      <c r="F92" s="196">
        <f t="shared" si="7"/>
        <v>2.2955269999999999</v>
      </c>
      <c r="G92" s="196">
        <f t="shared" si="8"/>
        <v>1.811615</v>
      </c>
      <c r="H92" s="199">
        <f t="shared" si="9"/>
        <v>1.5293330000000001</v>
      </c>
    </row>
    <row r="93" spans="1:29">
      <c r="A93" s="91" t="s">
        <v>54</v>
      </c>
      <c r="B93" s="89" t="s">
        <v>55</v>
      </c>
      <c r="C93" s="271">
        <f>VLOOKUP($A$8:$A$1487,'[7]MFP''s'!A$8:C$1502,3,FALSE)</f>
        <v>317</v>
      </c>
      <c r="D93" s="362">
        <v>183</v>
      </c>
      <c r="E93" s="274">
        <f t="shared" si="6"/>
        <v>0.42271293375394325</v>
      </c>
      <c r="F93" s="196">
        <f t="shared" si="7"/>
        <v>6.8753099999999998</v>
      </c>
      <c r="G93" s="196">
        <f t="shared" si="8"/>
        <v>5.4259500000000003</v>
      </c>
      <c r="H93" s="199">
        <f t="shared" si="9"/>
        <v>4.5804900000000002</v>
      </c>
    </row>
    <row r="94" spans="1:29">
      <c r="A94" s="91" t="s">
        <v>385</v>
      </c>
      <c r="B94" s="89" t="s">
        <v>386</v>
      </c>
      <c r="C94" s="271">
        <f>VLOOKUP($A$8:$A$1487,'[7]MFP''s'!A$8:C$1502,3,FALSE)</f>
        <v>275</v>
      </c>
      <c r="D94" s="362">
        <v>227</v>
      </c>
      <c r="E94" s="274">
        <f t="shared" si="6"/>
        <v>0.17454545454545456</v>
      </c>
      <c r="F94" s="196">
        <f t="shared" si="7"/>
        <v>8.5283899999999999</v>
      </c>
      <c r="G94" s="196">
        <f t="shared" si="8"/>
        <v>6.73055</v>
      </c>
      <c r="H94" s="199">
        <f t="shared" si="9"/>
        <v>5.6818100000000005</v>
      </c>
    </row>
    <row r="95" spans="1:29">
      <c r="A95" s="64" t="s">
        <v>342</v>
      </c>
      <c r="B95" s="61"/>
      <c r="C95" s="271"/>
      <c r="D95" s="364"/>
      <c r="E95" s="274"/>
      <c r="F95" s="196"/>
      <c r="G95" s="196"/>
      <c r="H95" s="199"/>
    </row>
    <row r="96" spans="1:29">
      <c r="A96" s="71" t="s">
        <v>168</v>
      </c>
      <c r="B96" s="61" t="s">
        <v>169</v>
      </c>
      <c r="C96" s="271">
        <f>VLOOKUP($A$8:$A$1487,'[7]MFP''s'!A$8:C$1502,3,FALSE)</f>
        <v>250</v>
      </c>
      <c r="D96" s="364">
        <v>250</v>
      </c>
      <c r="E96" s="274">
        <f t="shared" si="6"/>
        <v>0</v>
      </c>
      <c r="F96" s="196">
        <f t="shared" si="7"/>
        <v>9.3925000000000001</v>
      </c>
      <c r="G96" s="196">
        <f t="shared" si="8"/>
        <v>7.4124999999999996</v>
      </c>
      <c r="H96" s="199">
        <f t="shared" si="9"/>
        <v>6.2575000000000003</v>
      </c>
    </row>
    <row r="97" spans="1:29">
      <c r="A97" s="62" t="s">
        <v>29</v>
      </c>
      <c r="B97" s="61"/>
      <c r="C97" s="271"/>
      <c r="D97" s="365"/>
      <c r="E97" s="274"/>
      <c r="F97" s="196"/>
      <c r="G97" s="196"/>
      <c r="H97" s="199"/>
    </row>
    <row r="98" spans="1:29">
      <c r="A98" s="212"/>
      <c r="B98" s="213"/>
      <c r="C98" s="214"/>
      <c r="D98" s="360"/>
      <c r="E98" s="215"/>
      <c r="F98" s="215"/>
      <c r="G98" s="215"/>
      <c r="H98" s="216"/>
    </row>
    <row r="99" spans="1:29" ht="135">
      <c r="A99" s="218" t="s">
        <v>693</v>
      </c>
      <c r="B99" s="219" t="s">
        <v>694</v>
      </c>
      <c r="C99" s="271">
        <v>6048</v>
      </c>
      <c r="D99" s="366">
        <v>3447.3600000000006</v>
      </c>
      <c r="E99" s="274">
        <f t="shared" si="6"/>
        <v>0.42999999999999994</v>
      </c>
      <c r="F99" s="196">
        <f t="shared" si="7"/>
        <v>129.51731520000001</v>
      </c>
      <c r="G99" s="196">
        <f t="shared" si="8"/>
        <v>102.21422400000002</v>
      </c>
      <c r="H99" s="199">
        <f t="shared" si="9"/>
        <v>86.287420800000021</v>
      </c>
      <c r="I99" s="172"/>
      <c r="J99" s="72"/>
      <c r="K99" s="183"/>
    </row>
    <row r="100" spans="1:29">
      <c r="A100" s="195" t="s">
        <v>384</v>
      </c>
      <c r="B100" s="197"/>
      <c r="C100" s="271"/>
      <c r="D100" s="357"/>
      <c r="E100" s="274"/>
      <c r="F100" s="196"/>
      <c r="G100" s="196"/>
      <c r="H100" s="199"/>
    </row>
    <row r="101" spans="1:29">
      <c r="A101" s="66" t="s">
        <v>343</v>
      </c>
      <c r="B101" s="67"/>
      <c r="C101" s="271"/>
      <c r="D101" s="364"/>
      <c r="E101" s="274"/>
      <c r="F101" s="196"/>
      <c r="G101" s="196"/>
      <c r="H101" s="199"/>
      <c r="I101" s="172"/>
      <c r="J101" s="72"/>
      <c r="K101" s="183"/>
    </row>
    <row r="102" spans="1:29" s="318" customFormat="1">
      <c r="A102" s="319" t="s">
        <v>697</v>
      </c>
      <c r="B102" s="320" t="s">
        <v>698</v>
      </c>
      <c r="C102" s="312">
        <v>979</v>
      </c>
      <c r="D102" s="367">
        <v>463.96559378468362</v>
      </c>
      <c r="E102" s="313">
        <f>100%-(D102/C102)</f>
        <v>0.52608213096559386</v>
      </c>
      <c r="F102" s="314">
        <f>D102*$F$1</f>
        <v>17.431187358490565</v>
      </c>
      <c r="G102" s="314">
        <f>D102*$G$1</f>
        <v>13.756579855715868</v>
      </c>
      <c r="H102" s="315">
        <f>D102*$H$1</f>
        <v>11.613058812430632</v>
      </c>
      <c r="I102" s="317"/>
      <c r="J102" s="321"/>
      <c r="K102" s="322"/>
      <c r="L102" s="317"/>
      <c r="M102" s="316"/>
      <c r="N102" s="316"/>
      <c r="O102" s="316"/>
      <c r="P102" s="316"/>
      <c r="Q102" s="316"/>
      <c r="R102" s="316"/>
      <c r="S102" s="316"/>
      <c r="T102" s="316"/>
      <c r="U102" s="316"/>
      <c r="V102" s="316"/>
      <c r="W102" s="316"/>
      <c r="X102" s="316"/>
      <c r="Y102" s="316"/>
      <c r="Z102" s="316"/>
      <c r="AA102" s="316"/>
      <c r="AB102" s="316"/>
      <c r="AC102" s="316"/>
    </row>
    <row r="103" spans="1:29">
      <c r="A103" s="68" t="s">
        <v>695</v>
      </c>
      <c r="B103" s="67" t="s">
        <v>696</v>
      </c>
      <c r="C103" s="271">
        <v>94</v>
      </c>
      <c r="D103" s="364">
        <v>45</v>
      </c>
      <c r="E103" s="274">
        <f t="shared" si="6"/>
        <v>0.52127659574468077</v>
      </c>
      <c r="F103" s="196">
        <f t="shared" si="7"/>
        <v>1.69065</v>
      </c>
      <c r="G103" s="196">
        <f t="shared" si="8"/>
        <v>1.3342499999999999</v>
      </c>
      <c r="H103" s="199">
        <f t="shared" si="9"/>
        <v>1.12635</v>
      </c>
      <c r="I103" s="172"/>
      <c r="J103" s="72"/>
      <c r="K103" s="183"/>
    </row>
    <row r="104" spans="1:29">
      <c r="A104" s="68" t="s">
        <v>699</v>
      </c>
      <c r="B104" s="67" t="s">
        <v>700</v>
      </c>
      <c r="C104" s="271">
        <v>913</v>
      </c>
      <c r="D104" s="364">
        <v>433</v>
      </c>
      <c r="E104" s="274">
        <f t="shared" si="6"/>
        <v>0.52573932092004383</v>
      </c>
      <c r="F104" s="196">
        <f t="shared" si="7"/>
        <v>16.267810000000001</v>
      </c>
      <c r="G104" s="196">
        <f t="shared" si="8"/>
        <v>12.83845</v>
      </c>
      <c r="H104" s="199">
        <f t="shared" si="9"/>
        <v>10.83799</v>
      </c>
      <c r="I104" s="172"/>
    </row>
    <row r="105" spans="1:29">
      <c r="A105" s="68" t="s">
        <v>701</v>
      </c>
      <c r="B105" s="67" t="s">
        <v>702</v>
      </c>
      <c r="C105" s="271">
        <v>1191</v>
      </c>
      <c r="D105" s="364">
        <v>564</v>
      </c>
      <c r="E105" s="274">
        <f t="shared" si="6"/>
        <v>0.52644836272040307</v>
      </c>
      <c r="F105" s="196">
        <f t="shared" si="7"/>
        <v>21.18948</v>
      </c>
      <c r="G105" s="196">
        <f t="shared" si="8"/>
        <v>16.7226</v>
      </c>
      <c r="H105" s="199">
        <f t="shared" si="9"/>
        <v>14.11692</v>
      </c>
      <c r="I105" s="172"/>
    </row>
    <row r="106" spans="1:29">
      <c r="A106" s="68" t="s">
        <v>703</v>
      </c>
      <c r="B106" s="70" t="s">
        <v>704</v>
      </c>
      <c r="C106" s="271">
        <v>1402</v>
      </c>
      <c r="D106" s="364">
        <v>664</v>
      </c>
      <c r="E106" s="274">
        <f t="shared" si="6"/>
        <v>0.52639087018544939</v>
      </c>
      <c r="F106" s="196">
        <f t="shared" si="7"/>
        <v>24.946480000000001</v>
      </c>
      <c r="G106" s="196">
        <f t="shared" si="8"/>
        <v>19.6876</v>
      </c>
      <c r="H106" s="199">
        <f t="shared" si="9"/>
        <v>16.61992</v>
      </c>
      <c r="I106" s="172"/>
    </row>
    <row r="107" spans="1:29" s="173" customFormat="1">
      <c r="A107" s="170" t="s">
        <v>705</v>
      </c>
      <c r="B107" s="171" t="s">
        <v>706</v>
      </c>
      <c r="C107" s="271">
        <v>222</v>
      </c>
      <c r="D107" s="364">
        <v>106</v>
      </c>
      <c r="E107" s="274">
        <f t="shared" si="6"/>
        <v>0.52252252252252251</v>
      </c>
      <c r="F107" s="196">
        <f t="shared" si="7"/>
        <v>3.9824199999999998</v>
      </c>
      <c r="G107" s="196">
        <f t="shared" si="8"/>
        <v>3.1429</v>
      </c>
      <c r="H107" s="199">
        <f t="shared" si="9"/>
        <v>2.6531799999999999</v>
      </c>
      <c r="I107" s="172"/>
      <c r="J107" s="172"/>
      <c r="K107" s="172"/>
      <c r="L107" s="172"/>
    </row>
    <row r="108" spans="1:29">
      <c r="A108" s="81" t="s">
        <v>707</v>
      </c>
      <c r="B108" s="70" t="s">
        <v>708</v>
      </c>
      <c r="C108" s="271">
        <v>500</v>
      </c>
      <c r="D108" s="364">
        <v>237</v>
      </c>
      <c r="E108" s="274">
        <f t="shared" si="6"/>
        <v>0.52600000000000002</v>
      </c>
      <c r="F108" s="196">
        <f t="shared" si="7"/>
        <v>8.9040900000000001</v>
      </c>
      <c r="G108" s="196">
        <f t="shared" si="8"/>
        <v>7.02705</v>
      </c>
      <c r="H108" s="199">
        <f t="shared" si="9"/>
        <v>5.9321099999999998</v>
      </c>
      <c r="I108" s="172"/>
    </row>
    <row r="109" spans="1:29">
      <c r="A109" s="81" t="s">
        <v>709</v>
      </c>
      <c r="B109" s="70" t="s">
        <v>710</v>
      </c>
      <c r="C109" s="271">
        <v>1629</v>
      </c>
      <c r="D109" s="364">
        <v>772.01802962009015</v>
      </c>
      <c r="E109" s="274">
        <f t="shared" si="6"/>
        <v>0.5260785576303928</v>
      </c>
      <c r="F109" s="196">
        <f t="shared" si="7"/>
        <v>29.004717372826786</v>
      </c>
      <c r="G109" s="196">
        <f t="shared" si="8"/>
        <v>22.890334578235674</v>
      </c>
      <c r="H109" s="199">
        <f t="shared" si="9"/>
        <v>19.323611281390857</v>
      </c>
      <c r="I109" s="172"/>
    </row>
    <row r="110" spans="1:29">
      <c r="A110" s="81" t="s">
        <v>711</v>
      </c>
      <c r="B110" s="70" t="s">
        <v>712</v>
      </c>
      <c r="C110" s="271">
        <v>1855</v>
      </c>
      <c r="D110" s="364">
        <v>879</v>
      </c>
      <c r="E110" s="274">
        <f t="shared" si="6"/>
        <v>0.52614555256064688</v>
      </c>
      <c r="F110" s="196">
        <f t="shared" si="7"/>
        <v>33.024029999999996</v>
      </c>
      <c r="G110" s="196">
        <f t="shared" si="8"/>
        <v>26.062349999999999</v>
      </c>
      <c r="H110" s="199">
        <f t="shared" si="9"/>
        <v>22.001370000000001</v>
      </c>
      <c r="I110" s="172"/>
    </row>
    <row r="111" spans="1:29">
      <c r="A111" s="81" t="s">
        <v>713</v>
      </c>
      <c r="B111" s="70" t="s">
        <v>714</v>
      </c>
      <c r="C111" s="271">
        <v>3305</v>
      </c>
      <c r="D111" s="364">
        <v>1566</v>
      </c>
      <c r="E111" s="274">
        <f t="shared" si="6"/>
        <v>0.52617246596066569</v>
      </c>
      <c r="F111" s="196">
        <f t="shared" si="7"/>
        <v>58.834620000000001</v>
      </c>
      <c r="G111" s="196">
        <f t="shared" si="8"/>
        <v>46.431899999999999</v>
      </c>
      <c r="H111" s="199">
        <f t="shared" si="9"/>
        <v>39.196980000000003</v>
      </c>
      <c r="I111" s="172"/>
    </row>
    <row r="112" spans="1:29">
      <c r="A112" s="81" t="s">
        <v>715</v>
      </c>
      <c r="B112" s="70" t="s">
        <v>716</v>
      </c>
      <c r="C112" s="271">
        <v>585</v>
      </c>
      <c r="D112" s="364">
        <v>278</v>
      </c>
      <c r="E112" s="274">
        <f t="shared" si="6"/>
        <v>0.52478632478632481</v>
      </c>
      <c r="F112" s="196">
        <f t="shared" si="7"/>
        <v>10.444459999999999</v>
      </c>
      <c r="G112" s="196">
        <f t="shared" si="8"/>
        <v>8.2426999999999992</v>
      </c>
      <c r="H112" s="199">
        <f t="shared" si="9"/>
        <v>6.9583399999999997</v>
      </c>
      <c r="I112" s="172"/>
    </row>
    <row r="113" spans="1:9">
      <c r="A113" s="81" t="s">
        <v>113</v>
      </c>
      <c r="B113" s="70" t="s">
        <v>114</v>
      </c>
      <c r="C113" s="271">
        <v>586</v>
      </c>
      <c r="D113" s="364">
        <v>278</v>
      </c>
      <c r="E113" s="274">
        <f t="shared" si="6"/>
        <v>0.52559726962457343</v>
      </c>
      <c r="F113" s="196">
        <f t="shared" si="7"/>
        <v>10.444459999999999</v>
      </c>
      <c r="G113" s="196">
        <f t="shared" si="8"/>
        <v>8.2426999999999992</v>
      </c>
      <c r="H113" s="199">
        <f t="shared" si="9"/>
        <v>6.9583399999999997</v>
      </c>
      <c r="I113" s="172"/>
    </row>
    <row r="114" spans="1:9">
      <c r="A114" s="68" t="s">
        <v>717</v>
      </c>
      <c r="B114" s="70" t="s">
        <v>718</v>
      </c>
      <c r="C114" s="271">
        <v>1070</v>
      </c>
      <c r="D114" s="364">
        <v>507</v>
      </c>
      <c r="E114" s="274">
        <f t="shared" si="6"/>
        <v>0.5261682242990654</v>
      </c>
      <c r="F114" s="196">
        <f t="shared" si="7"/>
        <v>19.047989999999999</v>
      </c>
      <c r="G114" s="196">
        <f t="shared" si="8"/>
        <v>15.032549999999999</v>
      </c>
      <c r="H114" s="199">
        <f t="shared" si="9"/>
        <v>12.69021</v>
      </c>
      <c r="I114" s="172"/>
    </row>
    <row r="115" spans="1:9">
      <c r="A115" s="68" t="s">
        <v>719</v>
      </c>
      <c r="B115" s="70" t="s">
        <v>117</v>
      </c>
      <c r="C115" s="271">
        <v>48</v>
      </c>
      <c r="D115" s="364">
        <v>23</v>
      </c>
      <c r="E115" s="274">
        <f t="shared" si="6"/>
        <v>0.52083333333333326</v>
      </c>
      <c r="F115" s="196">
        <f t="shared" si="7"/>
        <v>0.86410999999999993</v>
      </c>
      <c r="G115" s="196">
        <f t="shared" si="8"/>
        <v>0.68194999999999995</v>
      </c>
      <c r="H115" s="199">
        <f t="shared" si="9"/>
        <v>0.57569000000000004</v>
      </c>
      <c r="I115" s="172"/>
    </row>
    <row r="116" spans="1:9">
      <c r="A116" s="81" t="s">
        <v>720</v>
      </c>
      <c r="B116" s="70" t="s">
        <v>118</v>
      </c>
      <c r="C116" s="271">
        <v>27</v>
      </c>
      <c r="D116" s="364">
        <v>13</v>
      </c>
      <c r="E116" s="274">
        <f t="shared" si="6"/>
        <v>0.5185185185185186</v>
      </c>
      <c r="F116" s="196">
        <f t="shared" si="7"/>
        <v>0.48841000000000001</v>
      </c>
      <c r="G116" s="196">
        <f t="shared" si="8"/>
        <v>0.38545000000000001</v>
      </c>
      <c r="H116" s="199">
        <f t="shared" si="9"/>
        <v>0.32539000000000001</v>
      </c>
      <c r="I116" s="172"/>
    </row>
    <row r="117" spans="1:9">
      <c r="A117" s="81" t="s">
        <v>126</v>
      </c>
      <c r="B117" s="67" t="s">
        <v>127</v>
      </c>
      <c r="C117" s="271">
        <v>1100</v>
      </c>
      <c r="D117" s="364">
        <v>521</v>
      </c>
      <c r="E117" s="274">
        <f t="shared" si="6"/>
        <v>0.52636363636363637</v>
      </c>
      <c r="F117" s="196">
        <f t="shared" si="7"/>
        <v>19.573969999999999</v>
      </c>
      <c r="G117" s="196">
        <f t="shared" si="8"/>
        <v>15.447649999999999</v>
      </c>
      <c r="H117" s="199">
        <f t="shared" si="9"/>
        <v>13.04063</v>
      </c>
      <c r="I117" s="172"/>
    </row>
    <row r="118" spans="1:9">
      <c r="A118" s="81" t="s">
        <v>128</v>
      </c>
      <c r="B118" s="70" t="s">
        <v>129</v>
      </c>
      <c r="C118" s="271">
        <v>785</v>
      </c>
      <c r="D118" s="364">
        <v>372</v>
      </c>
      <c r="E118" s="274">
        <f t="shared" si="6"/>
        <v>0.52611464968152866</v>
      </c>
      <c r="F118" s="196">
        <f t="shared" si="7"/>
        <v>13.976039999999999</v>
      </c>
      <c r="G118" s="196">
        <f t="shared" si="8"/>
        <v>11.0298</v>
      </c>
      <c r="H118" s="199">
        <f t="shared" si="9"/>
        <v>9.3111599999999992</v>
      </c>
      <c r="I118" s="172"/>
    </row>
    <row r="119" spans="1:9">
      <c r="A119" s="81" t="s">
        <v>721</v>
      </c>
      <c r="B119" s="70" t="s">
        <v>722</v>
      </c>
      <c r="C119" s="271">
        <v>668</v>
      </c>
      <c r="D119" s="364">
        <v>317</v>
      </c>
      <c r="E119" s="274">
        <f t="shared" si="6"/>
        <v>0.52544910179640714</v>
      </c>
      <c r="F119" s="196">
        <f t="shared" si="7"/>
        <v>11.909689999999999</v>
      </c>
      <c r="G119" s="196">
        <f t="shared" si="8"/>
        <v>9.399049999999999</v>
      </c>
      <c r="H119" s="199">
        <f t="shared" si="9"/>
        <v>7.9345100000000004</v>
      </c>
      <c r="I119" s="172"/>
    </row>
    <row r="120" spans="1:9">
      <c r="A120" s="83" t="s">
        <v>132</v>
      </c>
      <c r="B120" s="70" t="s">
        <v>133</v>
      </c>
      <c r="C120" s="271">
        <v>821</v>
      </c>
      <c r="D120" s="364">
        <v>389</v>
      </c>
      <c r="E120" s="274">
        <f t="shared" si="6"/>
        <v>0.52618757612667477</v>
      </c>
      <c r="F120" s="196">
        <f t="shared" si="7"/>
        <v>14.61473</v>
      </c>
      <c r="G120" s="196">
        <f t="shared" si="8"/>
        <v>11.533849999999999</v>
      </c>
      <c r="H120" s="199">
        <f t="shared" si="9"/>
        <v>9.7366700000000002</v>
      </c>
      <c r="I120" s="172"/>
    </row>
    <row r="121" spans="1:9">
      <c r="A121" s="81" t="s">
        <v>134</v>
      </c>
      <c r="B121" s="70" t="s">
        <v>135</v>
      </c>
      <c r="C121" s="271">
        <v>690</v>
      </c>
      <c r="D121" s="364">
        <v>327</v>
      </c>
      <c r="E121" s="274">
        <f t="shared" si="6"/>
        <v>0.5260869565217392</v>
      </c>
      <c r="F121" s="196">
        <f t="shared" si="7"/>
        <v>12.28539</v>
      </c>
      <c r="G121" s="196">
        <f t="shared" si="8"/>
        <v>9.695549999999999</v>
      </c>
      <c r="H121" s="199">
        <f t="shared" si="9"/>
        <v>8.1848100000000006</v>
      </c>
      <c r="I121" s="172"/>
    </row>
    <row r="122" spans="1:9">
      <c r="A122" s="68" t="s">
        <v>136</v>
      </c>
      <c r="B122" s="70" t="s">
        <v>137</v>
      </c>
      <c r="C122" s="271">
        <v>191</v>
      </c>
      <c r="D122" s="364">
        <v>91</v>
      </c>
      <c r="E122" s="274">
        <f t="shared" si="6"/>
        <v>0.52356020942408377</v>
      </c>
      <c r="F122" s="196">
        <f t="shared" si="7"/>
        <v>3.4188700000000001</v>
      </c>
      <c r="G122" s="196">
        <f t="shared" si="8"/>
        <v>2.69815</v>
      </c>
      <c r="H122" s="199">
        <f t="shared" si="9"/>
        <v>2.27773</v>
      </c>
      <c r="I122" s="172"/>
    </row>
    <row r="123" spans="1:9">
      <c r="A123" s="68" t="s">
        <v>723</v>
      </c>
      <c r="B123" s="70" t="s">
        <v>724</v>
      </c>
      <c r="C123" s="271">
        <v>1500</v>
      </c>
      <c r="D123" s="364">
        <v>711</v>
      </c>
      <c r="E123" s="274">
        <f t="shared" si="6"/>
        <v>0.52600000000000002</v>
      </c>
      <c r="F123" s="196">
        <f t="shared" si="7"/>
        <v>26.71227</v>
      </c>
      <c r="G123" s="196">
        <f t="shared" si="8"/>
        <v>21.081150000000001</v>
      </c>
      <c r="H123" s="199">
        <f t="shared" si="9"/>
        <v>17.796330000000001</v>
      </c>
      <c r="I123" s="172"/>
    </row>
    <row r="124" spans="1:9">
      <c r="A124" s="81" t="s">
        <v>140</v>
      </c>
      <c r="B124" s="70" t="s">
        <v>141</v>
      </c>
      <c r="C124" s="271">
        <v>250</v>
      </c>
      <c r="D124" s="364">
        <v>119</v>
      </c>
      <c r="E124" s="274">
        <f t="shared" si="6"/>
        <v>0.52400000000000002</v>
      </c>
      <c r="F124" s="196">
        <f t="shared" si="7"/>
        <v>4.4708300000000003</v>
      </c>
      <c r="G124" s="196">
        <f t="shared" si="8"/>
        <v>3.5283500000000001</v>
      </c>
      <c r="H124" s="199">
        <f t="shared" si="9"/>
        <v>2.9785699999999999</v>
      </c>
      <c r="I124" s="172"/>
    </row>
    <row r="125" spans="1:9">
      <c r="A125" s="81" t="s">
        <v>725</v>
      </c>
      <c r="B125" s="70" t="s">
        <v>155</v>
      </c>
      <c r="C125" s="271">
        <v>223</v>
      </c>
      <c r="D125" s="364">
        <v>106</v>
      </c>
      <c r="E125" s="274">
        <f t="shared" si="6"/>
        <v>0.5246636771300448</v>
      </c>
      <c r="F125" s="196">
        <f t="shared" si="7"/>
        <v>3.9824199999999998</v>
      </c>
      <c r="G125" s="196">
        <f t="shared" si="8"/>
        <v>3.1429</v>
      </c>
      <c r="H125" s="199">
        <f t="shared" si="9"/>
        <v>2.6531799999999999</v>
      </c>
      <c r="I125" s="172"/>
    </row>
    <row r="126" spans="1:9">
      <c r="A126" s="81" t="s">
        <v>158</v>
      </c>
      <c r="B126" s="70" t="s">
        <v>159</v>
      </c>
      <c r="C126" s="271">
        <v>123</v>
      </c>
      <c r="D126" s="364">
        <v>59</v>
      </c>
      <c r="E126" s="274">
        <f t="shared" si="6"/>
        <v>0.52032520325203246</v>
      </c>
      <c r="F126" s="196">
        <f t="shared" si="7"/>
        <v>2.2166299999999999</v>
      </c>
      <c r="G126" s="196">
        <f t="shared" si="8"/>
        <v>1.74935</v>
      </c>
      <c r="H126" s="199">
        <f t="shared" si="9"/>
        <v>1.4767699999999999</v>
      </c>
      <c r="I126" s="172"/>
    </row>
    <row r="127" spans="1:9">
      <c r="A127" s="81" t="s">
        <v>726</v>
      </c>
      <c r="B127" s="70" t="s">
        <v>727</v>
      </c>
      <c r="C127" s="271">
        <v>126</v>
      </c>
      <c r="D127" s="364">
        <v>60</v>
      </c>
      <c r="E127" s="274">
        <f t="shared" si="6"/>
        <v>0.52380952380952384</v>
      </c>
      <c r="F127" s="196">
        <f t="shared" si="7"/>
        <v>2.2542</v>
      </c>
      <c r="G127" s="196">
        <f t="shared" si="8"/>
        <v>1.7789999999999999</v>
      </c>
      <c r="H127" s="199">
        <f t="shared" si="9"/>
        <v>1.5018</v>
      </c>
      <c r="I127" s="172"/>
    </row>
    <row r="128" spans="1:9">
      <c r="A128" s="81" t="s">
        <v>728</v>
      </c>
      <c r="B128" s="70" t="s">
        <v>729</v>
      </c>
      <c r="C128" s="271">
        <v>200</v>
      </c>
      <c r="D128" s="364">
        <v>95</v>
      </c>
      <c r="E128" s="274">
        <f t="shared" si="6"/>
        <v>0.52500000000000002</v>
      </c>
      <c r="F128" s="196">
        <f t="shared" si="7"/>
        <v>3.56915</v>
      </c>
      <c r="G128" s="196">
        <f t="shared" si="8"/>
        <v>2.8167499999999999</v>
      </c>
      <c r="H128" s="199">
        <f t="shared" si="9"/>
        <v>2.37785</v>
      </c>
      <c r="I128" s="172"/>
    </row>
    <row r="129" spans="1:12">
      <c r="A129" s="81" t="s">
        <v>730</v>
      </c>
      <c r="B129" s="70" t="s">
        <v>731</v>
      </c>
      <c r="C129" s="271">
        <v>279</v>
      </c>
      <c r="D129" s="364">
        <v>133</v>
      </c>
      <c r="E129" s="274">
        <f t="shared" si="6"/>
        <v>0.52329749103942658</v>
      </c>
      <c r="F129" s="196">
        <f t="shared" si="7"/>
        <v>4.99681</v>
      </c>
      <c r="G129" s="196">
        <f t="shared" si="8"/>
        <v>3.9434499999999999</v>
      </c>
      <c r="H129" s="199">
        <f t="shared" si="9"/>
        <v>3.3289900000000001</v>
      </c>
      <c r="I129" s="172"/>
    </row>
    <row r="130" spans="1:12">
      <c r="A130" s="81" t="s">
        <v>732</v>
      </c>
      <c r="B130" s="70" t="s">
        <v>733</v>
      </c>
      <c r="C130" s="271">
        <v>112</v>
      </c>
      <c r="D130" s="364">
        <v>54</v>
      </c>
      <c r="E130" s="274">
        <f t="shared" si="6"/>
        <v>0.51785714285714279</v>
      </c>
      <c r="F130" s="196">
        <f t="shared" si="7"/>
        <v>2.0287799999999998</v>
      </c>
      <c r="G130" s="196">
        <f t="shared" si="8"/>
        <v>1.6011</v>
      </c>
      <c r="H130" s="199">
        <f t="shared" si="9"/>
        <v>1.35162</v>
      </c>
      <c r="I130" s="172"/>
    </row>
    <row r="131" spans="1:12">
      <c r="A131" s="81" t="s">
        <v>144</v>
      </c>
      <c r="B131" s="70" t="s">
        <v>145</v>
      </c>
      <c r="C131" s="271">
        <v>947</v>
      </c>
      <c r="D131" s="364">
        <v>430</v>
      </c>
      <c r="E131" s="274">
        <f t="shared" ref="E131:E187" si="10">100%-(D131/C131)</f>
        <v>0.5459345300950369</v>
      </c>
      <c r="F131" s="196">
        <f t="shared" si="7"/>
        <v>16.155100000000001</v>
      </c>
      <c r="G131" s="196">
        <f t="shared" si="8"/>
        <v>12.749499999999999</v>
      </c>
      <c r="H131" s="199">
        <f t="shared" si="9"/>
        <v>10.7629</v>
      </c>
      <c r="I131" s="172"/>
    </row>
    <row r="132" spans="1:12">
      <c r="A132" s="81" t="s">
        <v>498</v>
      </c>
      <c r="B132" s="67" t="s">
        <v>163</v>
      </c>
      <c r="C132" s="271">
        <v>69</v>
      </c>
      <c r="D132" s="364">
        <v>33</v>
      </c>
      <c r="E132" s="274">
        <f t="shared" si="10"/>
        <v>0.52173913043478259</v>
      </c>
      <c r="F132" s="196">
        <f t="shared" ref="F132:F189" si="11">D132*$F$1</f>
        <v>1.2398100000000001</v>
      </c>
      <c r="G132" s="196">
        <f t="shared" si="8"/>
        <v>0.97844999999999993</v>
      </c>
      <c r="H132" s="199">
        <f t="shared" si="9"/>
        <v>0.82599</v>
      </c>
      <c r="I132" s="172"/>
    </row>
    <row r="133" spans="1:12">
      <c r="A133" s="81" t="s">
        <v>494</v>
      </c>
      <c r="B133" s="70" t="s">
        <v>146</v>
      </c>
      <c r="C133" s="271">
        <v>423</v>
      </c>
      <c r="D133" s="364">
        <v>201</v>
      </c>
      <c r="E133" s="274">
        <f t="shared" si="10"/>
        <v>0.52482269503546097</v>
      </c>
      <c r="F133" s="196">
        <f t="shared" si="11"/>
        <v>7.5515699999999999</v>
      </c>
      <c r="G133" s="196">
        <f t="shared" si="8"/>
        <v>5.9596499999999999</v>
      </c>
      <c r="H133" s="199">
        <f t="shared" si="9"/>
        <v>5.0310300000000003</v>
      </c>
      <c r="I133" s="172"/>
    </row>
    <row r="134" spans="1:12">
      <c r="A134" s="81" t="s">
        <v>385</v>
      </c>
      <c r="B134" s="70" t="s">
        <v>386</v>
      </c>
      <c r="C134" s="271">
        <v>275</v>
      </c>
      <c r="D134" s="364">
        <v>244</v>
      </c>
      <c r="E134" s="274">
        <f t="shared" si="10"/>
        <v>0.11272727272727268</v>
      </c>
      <c r="F134" s="196">
        <f t="shared" si="11"/>
        <v>9.1670800000000003</v>
      </c>
      <c r="G134" s="196">
        <f t="shared" si="8"/>
        <v>7.2345999999999995</v>
      </c>
      <c r="H134" s="199">
        <f t="shared" si="9"/>
        <v>6.1073199999999996</v>
      </c>
      <c r="I134" s="172"/>
    </row>
    <row r="135" spans="1:12">
      <c r="A135" s="81" t="s">
        <v>54</v>
      </c>
      <c r="B135" s="70" t="s">
        <v>55</v>
      </c>
      <c r="C135" s="271">
        <v>317</v>
      </c>
      <c r="D135" s="364">
        <v>151</v>
      </c>
      <c r="E135" s="274">
        <f t="shared" si="10"/>
        <v>0.52365930599369093</v>
      </c>
      <c r="F135" s="196">
        <f t="shared" si="11"/>
        <v>5.6730700000000001</v>
      </c>
      <c r="G135" s="196">
        <f t="shared" si="8"/>
        <v>4.47715</v>
      </c>
      <c r="H135" s="199">
        <f t="shared" si="9"/>
        <v>3.7795299999999998</v>
      </c>
      <c r="I135" s="172"/>
    </row>
    <row r="136" spans="1:12">
      <c r="A136" s="81" t="s">
        <v>149</v>
      </c>
      <c r="B136" s="70" t="s">
        <v>150</v>
      </c>
      <c r="C136" s="271">
        <v>60</v>
      </c>
      <c r="D136" s="364">
        <v>29</v>
      </c>
      <c r="E136" s="274">
        <f t="shared" si="10"/>
        <v>0.51666666666666661</v>
      </c>
      <c r="F136" s="196">
        <f t="shared" si="11"/>
        <v>1.0895299999999999</v>
      </c>
      <c r="G136" s="196">
        <f t="shared" si="8"/>
        <v>0.85985</v>
      </c>
      <c r="H136" s="199">
        <f t="shared" si="9"/>
        <v>0.72587000000000002</v>
      </c>
      <c r="I136" s="172"/>
    </row>
    <row r="137" spans="1:12">
      <c r="A137" s="81" t="s">
        <v>166</v>
      </c>
      <c r="B137" s="70" t="s">
        <v>167</v>
      </c>
      <c r="C137" s="271">
        <v>30</v>
      </c>
      <c r="D137" s="364">
        <v>15</v>
      </c>
      <c r="E137" s="274">
        <f t="shared" si="10"/>
        <v>0.5</v>
      </c>
      <c r="F137" s="196">
        <f t="shared" si="11"/>
        <v>0.56355</v>
      </c>
      <c r="G137" s="196">
        <f t="shared" si="8"/>
        <v>0.44474999999999998</v>
      </c>
      <c r="H137" s="199">
        <f t="shared" si="9"/>
        <v>0.37545000000000001</v>
      </c>
      <c r="I137" s="172"/>
    </row>
    <row r="138" spans="1:12">
      <c r="A138" s="81" t="s">
        <v>734</v>
      </c>
      <c r="B138" s="70" t="s">
        <v>735</v>
      </c>
      <c r="C138" s="271">
        <v>260</v>
      </c>
      <c r="D138" s="364">
        <v>123.72413793103451</v>
      </c>
      <c r="E138" s="274">
        <f t="shared" si="10"/>
        <v>0.5241379310344827</v>
      </c>
      <c r="F138" s="196">
        <f t="shared" si="11"/>
        <v>4.6483158620689666</v>
      </c>
      <c r="G138" s="196">
        <f t="shared" si="8"/>
        <v>3.6684206896551732</v>
      </c>
      <c r="H138" s="199">
        <f t="shared" si="9"/>
        <v>3.0968151724137938</v>
      </c>
      <c r="I138" s="172"/>
    </row>
    <row r="139" spans="1:12">
      <c r="A139" s="64" t="s">
        <v>342</v>
      </c>
      <c r="B139" s="61"/>
      <c r="C139" s="271"/>
      <c r="D139" s="364"/>
      <c r="E139" s="274"/>
      <c r="F139" s="196"/>
      <c r="G139" s="196"/>
      <c r="H139" s="199"/>
    </row>
    <row r="140" spans="1:12">
      <c r="A140" s="71" t="s">
        <v>168</v>
      </c>
      <c r="B140" s="61" t="s">
        <v>169</v>
      </c>
      <c r="C140" s="271">
        <f>VLOOKUP($A$8:$A$1487,'[7]MFP''s'!A$8:C$1502,3,FALSE)</f>
        <v>250</v>
      </c>
      <c r="D140" s="364">
        <v>250</v>
      </c>
      <c r="E140" s="274">
        <f t="shared" si="10"/>
        <v>0</v>
      </c>
      <c r="F140" s="196">
        <f t="shared" si="11"/>
        <v>9.3925000000000001</v>
      </c>
      <c r="G140" s="196">
        <f t="shared" ref="G140:G196" si="12">D140*$G$1</f>
        <v>7.4124999999999996</v>
      </c>
      <c r="H140" s="199">
        <f t="shared" ref="H140:H196" si="13">D140*$H$1</f>
        <v>6.2575000000000003</v>
      </c>
    </row>
    <row r="141" spans="1:12">
      <c r="A141" s="212"/>
      <c r="B141" s="213"/>
      <c r="C141" s="214"/>
      <c r="D141" s="360"/>
      <c r="E141" s="215"/>
      <c r="F141" s="215"/>
      <c r="G141" s="215"/>
      <c r="H141" s="216"/>
    </row>
    <row r="142" spans="1:12" s="173" customFormat="1" ht="105">
      <c r="A142" s="218" t="s">
        <v>170</v>
      </c>
      <c r="B142" s="219" t="s">
        <v>649</v>
      </c>
      <c r="C142" s="271">
        <f>VLOOKUP($A$8:$A$1487,'[7]MFP''s'!A$8:C$1502,3,FALSE)</f>
        <v>7743</v>
      </c>
      <c r="D142" s="364">
        <v>3901</v>
      </c>
      <c r="E142" s="274">
        <f t="shared" si="10"/>
        <v>0.49619010719359424</v>
      </c>
      <c r="F142" s="196">
        <f t="shared" si="11"/>
        <v>146.56056999999998</v>
      </c>
      <c r="G142" s="196">
        <f t="shared" si="12"/>
        <v>115.66464999999999</v>
      </c>
      <c r="H142" s="199">
        <f t="shared" si="13"/>
        <v>97.642030000000005</v>
      </c>
      <c r="J142" s="172"/>
      <c r="K142" s="172"/>
      <c r="L142" s="172"/>
    </row>
    <row r="143" spans="1:12">
      <c r="A143" s="195" t="s">
        <v>384</v>
      </c>
      <c r="B143" s="197"/>
      <c r="C143" s="271"/>
      <c r="D143" s="357"/>
      <c r="E143" s="274"/>
      <c r="F143" s="196"/>
      <c r="G143" s="196"/>
      <c r="H143" s="199"/>
    </row>
    <row r="144" spans="1:12">
      <c r="A144" s="66" t="s">
        <v>343</v>
      </c>
      <c r="B144" s="67"/>
      <c r="C144" s="271"/>
      <c r="D144" s="364"/>
      <c r="E144" s="274"/>
      <c r="F144" s="196"/>
      <c r="G144" s="196"/>
      <c r="H144" s="199"/>
    </row>
    <row r="145" spans="1:29" s="318" customFormat="1">
      <c r="A145" s="319" t="s">
        <v>96</v>
      </c>
      <c r="B145" s="320" t="s">
        <v>97</v>
      </c>
      <c r="C145" s="312">
        <f>VLOOKUP($A$8:$A$1487,'[7]MFP''s'!A$8:C$1502,3,FALSE)</f>
        <v>1631</v>
      </c>
      <c r="D145" s="367">
        <v>773</v>
      </c>
      <c r="E145" s="313">
        <f>100%-(D145/C145)</f>
        <v>0.52605763335377076</v>
      </c>
      <c r="F145" s="314">
        <f>D145*$F$1</f>
        <v>29.041609999999999</v>
      </c>
      <c r="G145" s="314">
        <f>D145*$G$1</f>
        <v>22.919450000000001</v>
      </c>
      <c r="H145" s="315">
        <f>D145*$H$1</f>
        <v>19.348189999999999</v>
      </c>
      <c r="I145" s="316"/>
      <c r="J145" s="317"/>
      <c r="K145" s="317"/>
      <c r="L145" s="317"/>
      <c r="M145" s="316"/>
      <c r="N145" s="316"/>
      <c r="O145" s="316"/>
      <c r="P145" s="316"/>
      <c r="Q145" s="316"/>
      <c r="R145" s="316"/>
      <c r="S145" s="316"/>
      <c r="T145" s="316"/>
      <c r="U145" s="316"/>
      <c r="V145" s="316"/>
      <c r="W145" s="316"/>
      <c r="X145" s="316"/>
      <c r="Y145" s="316"/>
      <c r="Z145" s="316"/>
      <c r="AA145" s="316"/>
      <c r="AB145" s="316"/>
      <c r="AC145" s="316"/>
    </row>
    <row r="146" spans="1:29">
      <c r="A146" s="68" t="s">
        <v>98</v>
      </c>
      <c r="B146" s="67" t="s">
        <v>99</v>
      </c>
      <c r="C146" s="271">
        <f>VLOOKUP($A$8:$A$1487,'[7]MFP''s'!A$8:C$1502,3,FALSE)</f>
        <v>1802</v>
      </c>
      <c r="D146" s="364">
        <v>854</v>
      </c>
      <c r="E146" s="274">
        <f t="shared" si="10"/>
        <v>0.52608213096559386</v>
      </c>
      <c r="F146" s="196">
        <f t="shared" si="11"/>
        <v>32.084780000000002</v>
      </c>
      <c r="G146" s="196">
        <f t="shared" si="12"/>
        <v>25.321099999999998</v>
      </c>
      <c r="H146" s="199">
        <f t="shared" si="13"/>
        <v>21.375620000000001</v>
      </c>
    </row>
    <row r="147" spans="1:29">
      <c r="A147" s="69" t="s">
        <v>94</v>
      </c>
      <c r="B147" s="67" t="s">
        <v>344</v>
      </c>
      <c r="C147" s="271">
        <f>VLOOKUP($A$8:$A$1487,'[7]MFP''s'!A$8:C$1502,3,FALSE)</f>
        <v>94</v>
      </c>
      <c r="D147" s="364">
        <v>45</v>
      </c>
      <c r="E147" s="274">
        <f t="shared" si="10"/>
        <v>0.52127659574468077</v>
      </c>
      <c r="F147" s="196">
        <f t="shared" si="11"/>
        <v>1.69065</v>
      </c>
      <c r="G147" s="196">
        <f t="shared" si="12"/>
        <v>1.3342499999999999</v>
      </c>
      <c r="H147" s="199">
        <f t="shared" si="13"/>
        <v>1.12635</v>
      </c>
    </row>
    <row r="148" spans="1:29">
      <c r="A148" s="66" t="s">
        <v>345</v>
      </c>
      <c r="B148" s="67"/>
      <c r="C148" s="271"/>
      <c r="D148" s="364"/>
      <c r="E148" s="274"/>
      <c r="F148" s="196"/>
      <c r="G148" s="196"/>
      <c r="H148" s="199"/>
    </row>
    <row r="149" spans="1:29">
      <c r="A149" s="68" t="s">
        <v>100</v>
      </c>
      <c r="B149" s="67" t="s">
        <v>101</v>
      </c>
      <c r="C149" s="271">
        <f>VLOOKUP($A$8:$A$1487,'[7]MFP''s'!A$8:C$1502,3,FALSE)</f>
        <v>1402</v>
      </c>
      <c r="D149" s="364">
        <v>664</v>
      </c>
      <c r="E149" s="274">
        <f t="shared" si="10"/>
        <v>0.52639087018544939</v>
      </c>
      <c r="F149" s="196">
        <f t="shared" si="11"/>
        <v>24.946480000000001</v>
      </c>
      <c r="G149" s="196">
        <f t="shared" si="12"/>
        <v>19.6876</v>
      </c>
      <c r="H149" s="199">
        <f t="shared" si="13"/>
        <v>16.61992</v>
      </c>
    </row>
    <row r="150" spans="1:29">
      <c r="A150" s="68" t="s">
        <v>104</v>
      </c>
      <c r="B150" s="67" t="s">
        <v>105</v>
      </c>
      <c r="C150" s="271">
        <f>VLOOKUP($A$8:$A$1487,'[7]MFP''s'!A$8:C$1502,3,FALSE)</f>
        <v>913</v>
      </c>
      <c r="D150" s="364">
        <v>433</v>
      </c>
      <c r="E150" s="274">
        <f t="shared" si="10"/>
        <v>0.52573932092004383</v>
      </c>
      <c r="F150" s="196">
        <f t="shared" si="11"/>
        <v>16.267810000000001</v>
      </c>
      <c r="G150" s="196">
        <f t="shared" si="12"/>
        <v>12.83845</v>
      </c>
      <c r="H150" s="199">
        <f t="shared" si="13"/>
        <v>10.83799</v>
      </c>
    </row>
    <row r="151" spans="1:29">
      <c r="A151" s="68" t="s">
        <v>102</v>
      </c>
      <c r="B151" s="70" t="s">
        <v>103</v>
      </c>
      <c r="C151" s="271">
        <f>VLOOKUP($A$8:$A$1487,'[7]MFP''s'!A$8:C$1502,3,FALSE)</f>
        <v>1191</v>
      </c>
      <c r="D151" s="364">
        <v>564</v>
      </c>
      <c r="E151" s="274">
        <f t="shared" si="10"/>
        <v>0.52644836272040307</v>
      </c>
      <c r="F151" s="196">
        <f t="shared" si="11"/>
        <v>21.18948</v>
      </c>
      <c r="G151" s="196">
        <f t="shared" si="12"/>
        <v>16.7226</v>
      </c>
      <c r="H151" s="199">
        <f t="shared" si="13"/>
        <v>14.11692</v>
      </c>
    </row>
    <row r="152" spans="1:29">
      <c r="A152" s="68" t="s">
        <v>382</v>
      </c>
      <c r="B152" s="67" t="s">
        <v>383</v>
      </c>
      <c r="C152" s="271">
        <f>VLOOKUP($A$8:$A$1487,'[7]MFP''s'!A$8:C$1502,3,FALSE)</f>
        <v>222</v>
      </c>
      <c r="D152" s="364">
        <v>106</v>
      </c>
      <c r="E152" s="274">
        <f t="shared" si="10"/>
        <v>0.52252252252252251</v>
      </c>
      <c r="F152" s="196">
        <f t="shared" si="11"/>
        <v>3.9824199999999998</v>
      </c>
      <c r="G152" s="196">
        <f t="shared" si="12"/>
        <v>3.1429</v>
      </c>
      <c r="H152" s="199">
        <f t="shared" si="13"/>
        <v>2.6531799999999999</v>
      </c>
    </row>
    <row r="153" spans="1:29">
      <c r="A153" s="66" t="s">
        <v>346</v>
      </c>
      <c r="B153" s="70"/>
      <c r="C153" s="271"/>
      <c r="D153" s="364"/>
      <c r="E153" s="274"/>
      <c r="F153" s="196"/>
      <c r="G153" s="196"/>
      <c r="H153" s="199"/>
    </row>
    <row r="154" spans="1:29">
      <c r="A154" s="81" t="s">
        <v>109</v>
      </c>
      <c r="B154" s="70" t="s">
        <v>110</v>
      </c>
      <c r="C154" s="271">
        <f>VLOOKUP($A$8:$A$1487,'[7]MFP''s'!A$8:C$1502,3,FALSE)</f>
        <v>1553</v>
      </c>
      <c r="D154" s="364">
        <v>736</v>
      </c>
      <c r="E154" s="274">
        <f t="shared" si="10"/>
        <v>0.5260785576303928</v>
      </c>
      <c r="F154" s="196">
        <f t="shared" si="11"/>
        <v>27.651519999999998</v>
      </c>
      <c r="G154" s="196">
        <f t="shared" si="12"/>
        <v>21.822399999999998</v>
      </c>
      <c r="H154" s="199">
        <f t="shared" si="13"/>
        <v>18.422080000000001</v>
      </c>
    </row>
    <row r="155" spans="1:29">
      <c r="A155" s="81" t="s">
        <v>107</v>
      </c>
      <c r="B155" s="70" t="s">
        <v>108</v>
      </c>
      <c r="C155" s="271">
        <f>VLOOKUP($A$8:$A$1487,'[7]MFP''s'!A$8:C$1502,3,FALSE)</f>
        <v>500</v>
      </c>
      <c r="D155" s="364">
        <v>237</v>
      </c>
      <c r="E155" s="274">
        <f t="shared" si="10"/>
        <v>0.52600000000000002</v>
      </c>
      <c r="F155" s="196">
        <f t="shared" si="11"/>
        <v>8.9040900000000001</v>
      </c>
      <c r="G155" s="196">
        <f t="shared" si="12"/>
        <v>7.02705</v>
      </c>
      <c r="H155" s="199">
        <f t="shared" si="13"/>
        <v>5.9321099999999998</v>
      </c>
    </row>
    <row r="156" spans="1:29" ht="30">
      <c r="A156" s="330" t="s">
        <v>748</v>
      </c>
      <c r="B156" s="70" t="s">
        <v>783</v>
      </c>
      <c r="C156" s="271">
        <v>1855</v>
      </c>
      <c r="D156" s="364">
        <v>879</v>
      </c>
      <c r="E156" s="274">
        <f t="shared" si="10"/>
        <v>0.52614555256064688</v>
      </c>
      <c r="F156" s="196">
        <f t="shared" si="11"/>
        <v>33.024029999999996</v>
      </c>
      <c r="G156" s="196">
        <f t="shared" si="12"/>
        <v>26.062349999999999</v>
      </c>
      <c r="H156" s="199">
        <f t="shared" si="13"/>
        <v>22.001370000000001</v>
      </c>
    </row>
    <row r="157" spans="1:29" ht="30">
      <c r="A157" s="330" t="s">
        <v>750</v>
      </c>
      <c r="B157" s="331" t="s">
        <v>784</v>
      </c>
      <c r="C157" s="332">
        <v>3305</v>
      </c>
      <c r="D157" s="364">
        <v>1566</v>
      </c>
      <c r="E157" s="274">
        <f t="shared" si="10"/>
        <v>0.52617246596066569</v>
      </c>
      <c r="F157" s="196">
        <f t="shared" si="11"/>
        <v>58.834620000000001</v>
      </c>
      <c r="G157" s="196">
        <f t="shared" si="12"/>
        <v>46.431899999999999</v>
      </c>
      <c r="H157" s="199">
        <f t="shared" si="13"/>
        <v>39.196980000000003</v>
      </c>
    </row>
    <row r="158" spans="1:29">
      <c r="A158" s="81" t="s">
        <v>113</v>
      </c>
      <c r="B158" s="70" t="s">
        <v>347</v>
      </c>
      <c r="C158" s="271">
        <f>VLOOKUP($A$8:$A$1487,'[7]MFP''s'!A$8:C$1502,3,FALSE)</f>
        <v>586</v>
      </c>
      <c r="D158" s="364">
        <v>278</v>
      </c>
      <c r="E158" s="274">
        <f t="shared" si="10"/>
        <v>0.52559726962457343</v>
      </c>
      <c r="F158" s="196">
        <f t="shared" si="11"/>
        <v>10.444459999999999</v>
      </c>
      <c r="G158" s="196">
        <f t="shared" si="12"/>
        <v>8.2426999999999992</v>
      </c>
      <c r="H158" s="199">
        <f t="shared" si="13"/>
        <v>6.9583399999999997</v>
      </c>
    </row>
    <row r="159" spans="1:29">
      <c r="A159" s="81" t="s">
        <v>111</v>
      </c>
      <c r="B159" s="70" t="s">
        <v>112</v>
      </c>
      <c r="C159" s="271">
        <f>VLOOKUP($A$8:$A$1487,'[7]MFP''s'!A$8:C$1502,3,FALSE)</f>
        <v>585</v>
      </c>
      <c r="D159" s="364">
        <v>278</v>
      </c>
      <c r="E159" s="274">
        <f t="shared" si="10"/>
        <v>0.52478632478632481</v>
      </c>
      <c r="F159" s="196">
        <f t="shared" si="11"/>
        <v>10.444459999999999</v>
      </c>
      <c r="G159" s="196">
        <f t="shared" si="12"/>
        <v>8.2426999999999992</v>
      </c>
      <c r="H159" s="199">
        <f t="shared" si="13"/>
        <v>6.9583399999999997</v>
      </c>
    </row>
    <row r="160" spans="1:29">
      <c r="A160" s="66" t="s">
        <v>348</v>
      </c>
      <c r="B160" s="70"/>
      <c r="C160" s="271"/>
      <c r="D160" s="364"/>
      <c r="E160" s="274"/>
      <c r="F160" s="196"/>
      <c r="G160" s="196"/>
      <c r="H160" s="199"/>
    </row>
    <row r="161" spans="1:8">
      <c r="A161" s="68">
        <v>4614506</v>
      </c>
      <c r="B161" s="70" t="s">
        <v>117</v>
      </c>
      <c r="C161" s="271">
        <f>VLOOKUP($A$8:$A$1487,'[7]MFP''s'!A$8:C$1502,3,FALSE)</f>
        <v>48</v>
      </c>
      <c r="D161" s="364">
        <v>23</v>
      </c>
      <c r="E161" s="274">
        <f t="shared" si="10"/>
        <v>0.52083333333333326</v>
      </c>
      <c r="F161" s="196">
        <f t="shared" si="11"/>
        <v>0.86410999999999993</v>
      </c>
      <c r="G161" s="196">
        <f t="shared" si="12"/>
        <v>0.68194999999999995</v>
      </c>
      <c r="H161" s="199">
        <f t="shared" si="13"/>
        <v>0.57569000000000004</v>
      </c>
    </row>
    <row r="162" spans="1:8">
      <c r="A162" s="68">
        <v>4614511</v>
      </c>
      <c r="B162" s="70" t="s">
        <v>349</v>
      </c>
      <c r="C162" s="271">
        <f>VLOOKUP($A$8:$A$1487,'[7]MFP''s'!A$8:C$1502,3,FALSE)</f>
        <v>27</v>
      </c>
      <c r="D162" s="364">
        <v>13</v>
      </c>
      <c r="E162" s="274">
        <f t="shared" si="10"/>
        <v>0.5185185185185186</v>
      </c>
      <c r="F162" s="196">
        <f t="shared" si="11"/>
        <v>0.48841000000000001</v>
      </c>
      <c r="G162" s="196">
        <f t="shared" si="12"/>
        <v>0.38545000000000001</v>
      </c>
      <c r="H162" s="199">
        <f t="shared" si="13"/>
        <v>0.32539000000000001</v>
      </c>
    </row>
    <row r="163" spans="1:8">
      <c r="A163" s="81" t="s">
        <v>121</v>
      </c>
      <c r="B163" s="70" t="s">
        <v>350</v>
      </c>
      <c r="C163" s="271">
        <f>VLOOKUP($A$8:$A$1487,'[7]MFP''s'!A$8:C$1502,3,FALSE)</f>
        <v>1068</v>
      </c>
      <c r="D163" s="364">
        <v>506</v>
      </c>
      <c r="E163" s="274">
        <f t="shared" si="10"/>
        <v>0.52621722846441954</v>
      </c>
      <c r="F163" s="196">
        <f t="shared" si="11"/>
        <v>19.01042</v>
      </c>
      <c r="G163" s="196">
        <f t="shared" si="12"/>
        <v>15.0029</v>
      </c>
      <c r="H163" s="199">
        <f t="shared" si="13"/>
        <v>12.665179999999999</v>
      </c>
    </row>
    <row r="164" spans="1:8">
      <c r="A164" s="81" t="s">
        <v>115</v>
      </c>
      <c r="B164" s="67" t="s">
        <v>116</v>
      </c>
      <c r="C164" s="271">
        <f>VLOOKUP($A$8:$A$1487,'[7]MFP''s'!A$8:C$1502,3,FALSE)</f>
        <v>1070</v>
      </c>
      <c r="D164" s="364">
        <v>507</v>
      </c>
      <c r="E164" s="274">
        <f t="shared" si="10"/>
        <v>0.5261682242990654</v>
      </c>
      <c r="F164" s="196">
        <f t="shared" si="11"/>
        <v>19.047989999999999</v>
      </c>
      <c r="G164" s="196">
        <f t="shared" si="12"/>
        <v>15.032549999999999</v>
      </c>
      <c r="H164" s="199">
        <f t="shared" si="13"/>
        <v>12.69021</v>
      </c>
    </row>
    <row r="165" spans="1:8">
      <c r="A165" s="81" t="s">
        <v>119</v>
      </c>
      <c r="B165" s="70" t="s">
        <v>351</v>
      </c>
      <c r="C165" s="271">
        <f>VLOOKUP($A$8:$A$1487,'[7]MFP''s'!A$8:C$1502,3,FALSE)</f>
        <v>120</v>
      </c>
      <c r="D165" s="364">
        <v>57</v>
      </c>
      <c r="E165" s="274">
        <f t="shared" si="10"/>
        <v>0.52500000000000002</v>
      </c>
      <c r="F165" s="196">
        <f t="shared" si="11"/>
        <v>2.1414900000000001</v>
      </c>
      <c r="G165" s="196">
        <f t="shared" si="12"/>
        <v>1.6900500000000001</v>
      </c>
      <c r="H165" s="199">
        <f t="shared" si="13"/>
        <v>1.4267099999999999</v>
      </c>
    </row>
    <row r="166" spans="1:8">
      <c r="A166" s="66" t="s">
        <v>352</v>
      </c>
      <c r="B166" s="70"/>
      <c r="C166" s="271"/>
      <c r="D166" s="364"/>
      <c r="E166" s="274"/>
      <c r="F166" s="196"/>
      <c r="G166" s="196"/>
      <c r="H166" s="199"/>
    </row>
    <row r="167" spans="1:8">
      <c r="A167" s="81">
        <v>7640005064</v>
      </c>
      <c r="B167" s="70" t="s">
        <v>67</v>
      </c>
      <c r="C167" s="271">
        <f>VLOOKUP($A$8:$A$1487,'[7]MFP''s'!A$8:C$1502,3,FALSE)</f>
        <v>423</v>
      </c>
      <c r="D167" s="364">
        <v>201</v>
      </c>
      <c r="E167" s="274">
        <f t="shared" si="10"/>
        <v>0.52482269503546097</v>
      </c>
      <c r="F167" s="196">
        <f t="shared" si="11"/>
        <v>7.5515699999999999</v>
      </c>
      <c r="G167" s="196">
        <f t="shared" si="12"/>
        <v>5.9596499999999999</v>
      </c>
      <c r="H167" s="199">
        <f t="shared" si="13"/>
        <v>5.0310300000000003</v>
      </c>
    </row>
    <row r="168" spans="1:8">
      <c r="A168" s="83">
        <v>7640005261</v>
      </c>
      <c r="B168" s="70" t="s">
        <v>353</v>
      </c>
      <c r="C168" s="271">
        <f>VLOOKUP($A$8:$A$1487,'[7]MFP''s'!A$8:C$1502,3,FALSE)</f>
        <v>69</v>
      </c>
      <c r="D168" s="364">
        <v>33</v>
      </c>
      <c r="E168" s="274">
        <f t="shared" si="10"/>
        <v>0.52173913043478259</v>
      </c>
      <c r="F168" s="196">
        <f t="shared" si="11"/>
        <v>1.2398100000000001</v>
      </c>
      <c r="G168" s="196">
        <f t="shared" si="12"/>
        <v>0.97844999999999993</v>
      </c>
      <c r="H168" s="199">
        <f t="shared" si="13"/>
        <v>0.82599</v>
      </c>
    </row>
    <row r="169" spans="1:8">
      <c r="A169" s="81">
        <v>7640008394</v>
      </c>
      <c r="B169" s="70" t="s">
        <v>354</v>
      </c>
      <c r="C169" s="271">
        <f>VLOOKUP($A$8:$A$1487,'[7]MFP''s'!A$8:C$1502,3,FALSE)</f>
        <v>476</v>
      </c>
      <c r="D169" s="364">
        <v>226</v>
      </c>
      <c r="E169" s="274">
        <f t="shared" si="10"/>
        <v>0.52521008403361347</v>
      </c>
      <c r="F169" s="196">
        <f t="shared" si="11"/>
        <v>8.4908199999999994</v>
      </c>
      <c r="G169" s="196">
        <f t="shared" si="12"/>
        <v>6.7008999999999999</v>
      </c>
      <c r="H169" s="199">
        <f t="shared" si="13"/>
        <v>5.6567800000000004</v>
      </c>
    </row>
    <row r="170" spans="1:8">
      <c r="A170" s="68">
        <v>7640013468</v>
      </c>
      <c r="B170" s="70" t="s">
        <v>146</v>
      </c>
      <c r="C170" s="271">
        <f>VLOOKUP($A$8:$A$1487,'[7]MFP''s'!A$8:C$1502,3,FALSE)</f>
        <v>423</v>
      </c>
      <c r="D170" s="364">
        <v>201</v>
      </c>
      <c r="E170" s="274">
        <f t="shared" si="10"/>
        <v>0.52482269503546097</v>
      </c>
      <c r="F170" s="196">
        <f t="shared" si="11"/>
        <v>7.5515699999999999</v>
      </c>
      <c r="G170" s="196">
        <f t="shared" si="12"/>
        <v>5.9596499999999999</v>
      </c>
      <c r="H170" s="199">
        <f t="shared" si="13"/>
        <v>5.0310300000000003</v>
      </c>
    </row>
    <row r="171" spans="1:8">
      <c r="A171" s="66" t="s">
        <v>355</v>
      </c>
      <c r="B171" s="70"/>
      <c r="C171" s="271"/>
      <c r="D171" s="364"/>
      <c r="E171" s="274"/>
      <c r="F171" s="196"/>
      <c r="G171" s="196"/>
      <c r="H171" s="199"/>
    </row>
    <row r="172" spans="1:8">
      <c r="A172" s="68">
        <v>7640006869</v>
      </c>
      <c r="B172" s="70" t="s">
        <v>155</v>
      </c>
      <c r="C172" s="271">
        <f>VLOOKUP($A$8:$A$1487,'[7]MFP''s'!A$8:C$1502,3,FALSE)</f>
        <v>223</v>
      </c>
      <c r="D172" s="364">
        <v>106</v>
      </c>
      <c r="E172" s="274">
        <f t="shared" si="10"/>
        <v>0.5246636771300448</v>
      </c>
      <c r="F172" s="196">
        <f t="shared" si="11"/>
        <v>3.9824199999999998</v>
      </c>
      <c r="G172" s="196">
        <f t="shared" si="12"/>
        <v>3.1429</v>
      </c>
      <c r="H172" s="199">
        <f t="shared" si="13"/>
        <v>2.6531799999999999</v>
      </c>
    </row>
    <row r="173" spans="1:8" ht="30">
      <c r="A173" s="81" t="s">
        <v>126</v>
      </c>
      <c r="B173" s="70" t="s">
        <v>356</v>
      </c>
      <c r="C173" s="271">
        <f>VLOOKUP($A$8:$A$1487,'[7]MFP''s'!A$8:C$1502,3,FALSE)</f>
        <v>1100</v>
      </c>
      <c r="D173" s="364">
        <v>521</v>
      </c>
      <c r="E173" s="274">
        <f t="shared" si="10"/>
        <v>0.52636363636363637</v>
      </c>
      <c r="F173" s="196">
        <f t="shared" si="11"/>
        <v>19.573969999999999</v>
      </c>
      <c r="G173" s="196">
        <f t="shared" si="12"/>
        <v>15.447649999999999</v>
      </c>
      <c r="H173" s="199">
        <f t="shared" si="13"/>
        <v>13.04063</v>
      </c>
    </row>
    <row r="174" spans="1:8">
      <c r="A174" s="81" t="s">
        <v>128</v>
      </c>
      <c r="B174" s="70" t="s">
        <v>357</v>
      </c>
      <c r="C174" s="271">
        <f>VLOOKUP($A$8:$A$1487,'[7]MFP''s'!A$8:C$1502,3,FALSE)</f>
        <v>785</v>
      </c>
      <c r="D174" s="364">
        <v>372</v>
      </c>
      <c r="E174" s="274">
        <f t="shared" si="10"/>
        <v>0.52611464968152866</v>
      </c>
      <c r="F174" s="196">
        <f t="shared" si="11"/>
        <v>13.976039999999999</v>
      </c>
      <c r="G174" s="196">
        <f t="shared" si="12"/>
        <v>11.0298</v>
      </c>
      <c r="H174" s="199">
        <f t="shared" si="13"/>
        <v>9.3111599999999992</v>
      </c>
    </row>
    <row r="175" spans="1:8">
      <c r="A175" s="81" t="s">
        <v>130</v>
      </c>
      <c r="B175" s="70" t="s">
        <v>358</v>
      </c>
      <c r="C175" s="271">
        <f>VLOOKUP($A$8:$A$1487,'[7]MFP''s'!A$8:C$1502,3,FALSE)</f>
        <v>668</v>
      </c>
      <c r="D175" s="364">
        <v>317</v>
      </c>
      <c r="E175" s="274">
        <f t="shared" si="10"/>
        <v>0.52544910179640714</v>
      </c>
      <c r="F175" s="196">
        <f t="shared" si="11"/>
        <v>11.909689999999999</v>
      </c>
      <c r="G175" s="196">
        <f t="shared" si="12"/>
        <v>9.399049999999999</v>
      </c>
      <c r="H175" s="199">
        <f t="shared" si="13"/>
        <v>7.9345100000000004</v>
      </c>
    </row>
    <row r="176" spans="1:8">
      <c r="A176" s="81" t="s">
        <v>132</v>
      </c>
      <c r="B176" s="70" t="s">
        <v>359</v>
      </c>
      <c r="C176" s="271">
        <f>VLOOKUP($A$8:$A$1487,'[7]MFP''s'!A$8:C$1502,3,FALSE)</f>
        <v>821</v>
      </c>
      <c r="D176" s="364">
        <v>389</v>
      </c>
      <c r="E176" s="274">
        <f t="shared" si="10"/>
        <v>0.52618757612667477</v>
      </c>
      <c r="F176" s="196">
        <f t="shared" si="11"/>
        <v>14.61473</v>
      </c>
      <c r="G176" s="196">
        <f t="shared" si="12"/>
        <v>11.533849999999999</v>
      </c>
      <c r="H176" s="199">
        <f t="shared" si="13"/>
        <v>9.7366700000000002</v>
      </c>
    </row>
    <row r="177" spans="1:12">
      <c r="A177" s="81" t="s">
        <v>134</v>
      </c>
      <c r="B177" s="70" t="s">
        <v>360</v>
      </c>
      <c r="C177" s="271">
        <f>VLOOKUP($A$8:$A$1487,'[7]MFP''s'!A$8:C$1502,3,FALSE)</f>
        <v>690</v>
      </c>
      <c r="D177" s="364">
        <v>327</v>
      </c>
      <c r="E177" s="274">
        <f t="shared" si="10"/>
        <v>0.5260869565217392</v>
      </c>
      <c r="F177" s="196">
        <f t="shared" si="11"/>
        <v>12.28539</v>
      </c>
      <c r="G177" s="196">
        <f t="shared" si="12"/>
        <v>9.695549999999999</v>
      </c>
      <c r="H177" s="199">
        <f t="shared" si="13"/>
        <v>8.1848100000000006</v>
      </c>
    </row>
    <row r="178" spans="1:12">
      <c r="A178" s="81" t="s">
        <v>136</v>
      </c>
      <c r="B178" s="70" t="s">
        <v>361</v>
      </c>
      <c r="C178" s="271">
        <f>VLOOKUP($A$8:$A$1487,'[7]MFP''s'!A$8:C$1502,3,FALSE)</f>
        <v>191</v>
      </c>
      <c r="D178" s="364">
        <v>91</v>
      </c>
      <c r="E178" s="274">
        <f t="shared" si="10"/>
        <v>0.52356020942408377</v>
      </c>
      <c r="F178" s="196">
        <f t="shared" si="11"/>
        <v>3.4188700000000001</v>
      </c>
      <c r="G178" s="196">
        <f t="shared" si="12"/>
        <v>2.69815</v>
      </c>
      <c r="H178" s="199">
        <f t="shared" si="13"/>
        <v>2.27773</v>
      </c>
    </row>
    <row r="179" spans="1:12">
      <c r="A179" s="81" t="s">
        <v>124</v>
      </c>
      <c r="B179" s="70" t="s">
        <v>362</v>
      </c>
      <c r="C179" s="271">
        <f>VLOOKUP($A$8:$A$1487,'[7]MFP''s'!A$8:C$1502,3,FALSE)</f>
        <v>53</v>
      </c>
      <c r="D179" s="364">
        <v>26</v>
      </c>
      <c r="E179" s="274">
        <f t="shared" si="10"/>
        <v>0.50943396226415094</v>
      </c>
      <c r="F179" s="196">
        <f t="shared" si="11"/>
        <v>0.97682000000000002</v>
      </c>
      <c r="G179" s="196">
        <f t="shared" si="12"/>
        <v>0.77090000000000003</v>
      </c>
      <c r="H179" s="199">
        <f t="shared" si="13"/>
        <v>0.65078000000000003</v>
      </c>
    </row>
    <row r="180" spans="1:12" ht="30">
      <c r="A180" s="81" t="s">
        <v>138</v>
      </c>
      <c r="B180" s="70" t="s">
        <v>363</v>
      </c>
      <c r="C180" s="271">
        <f>VLOOKUP($A$8:$A$1487,'[7]MFP''s'!A$8:C$1502,3,FALSE)</f>
        <v>1500</v>
      </c>
      <c r="D180" s="364">
        <v>711</v>
      </c>
      <c r="E180" s="274">
        <f t="shared" si="10"/>
        <v>0.52600000000000002</v>
      </c>
      <c r="F180" s="196">
        <f t="shared" si="11"/>
        <v>26.71227</v>
      </c>
      <c r="G180" s="196">
        <f t="shared" si="12"/>
        <v>21.081150000000001</v>
      </c>
      <c r="H180" s="199">
        <f t="shared" si="13"/>
        <v>17.796330000000001</v>
      </c>
    </row>
    <row r="181" spans="1:12">
      <c r="A181" s="81" t="s">
        <v>140</v>
      </c>
      <c r="B181" s="67" t="s">
        <v>364</v>
      </c>
      <c r="C181" s="271">
        <f>VLOOKUP($A$8:$A$1487,'[7]MFP''s'!A$8:C$1502,3,FALSE)</f>
        <v>250</v>
      </c>
      <c r="D181" s="364">
        <v>119</v>
      </c>
      <c r="E181" s="274">
        <f t="shared" si="10"/>
        <v>0.52400000000000002</v>
      </c>
      <c r="F181" s="196">
        <f t="shared" si="11"/>
        <v>4.4708300000000003</v>
      </c>
      <c r="G181" s="196">
        <f t="shared" si="12"/>
        <v>3.5283500000000001</v>
      </c>
      <c r="H181" s="199">
        <f t="shared" si="13"/>
        <v>2.9785699999999999</v>
      </c>
    </row>
    <row r="182" spans="1:12">
      <c r="A182" s="81" t="s">
        <v>142</v>
      </c>
      <c r="B182" s="70" t="s">
        <v>368</v>
      </c>
      <c r="C182" s="271">
        <f>VLOOKUP($A$8:$A$1487,'[7]MFP''s'!A$8:C$1502,3,FALSE)</f>
        <v>290</v>
      </c>
      <c r="D182" s="364">
        <v>138</v>
      </c>
      <c r="E182" s="274">
        <f t="shared" si="10"/>
        <v>0.5241379310344827</v>
      </c>
      <c r="F182" s="196">
        <f t="shared" si="11"/>
        <v>5.18466</v>
      </c>
      <c r="G182" s="196">
        <f t="shared" si="12"/>
        <v>4.0917000000000003</v>
      </c>
      <c r="H182" s="199">
        <f t="shared" si="13"/>
        <v>3.4541400000000002</v>
      </c>
    </row>
    <row r="183" spans="1:12">
      <c r="A183" s="81" t="s">
        <v>160</v>
      </c>
      <c r="B183" s="70" t="s">
        <v>365</v>
      </c>
      <c r="C183" s="271">
        <f>VLOOKUP($A$8:$A$1487,'[7]MFP''s'!A$8:C$1502,3,FALSE)</f>
        <v>112</v>
      </c>
      <c r="D183" s="364">
        <v>54</v>
      </c>
      <c r="E183" s="274">
        <f t="shared" si="10"/>
        <v>0.51785714285714279</v>
      </c>
      <c r="F183" s="196">
        <f t="shared" si="11"/>
        <v>2.0287799999999998</v>
      </c>
      <c r="G183" s="196">
        <f t="shared" si="12"/>
        <v>1.6011</v>
      </c>
      <c r="H183" s="199">
        <f t="shared" si="13"/>
        <v>1.35162</v>
      </c>
    </row>
    <row r="184" spans="1:12">
      <c r="A184" s="81" t="s">
        <v>144</v>
      </c>
      <c r="B184" s="70" t="s">
        <v>366</v>
      </c>
      <c r="C184" s="271">
        <f>VLOOKUP($A$8:$A$1487,'[7]MFP''s'!A$8:C$1502,3,FALSE)</f>
        <v>947</v>
      </c>
      <c r="D184" s="364">
        <v>430</v>
      </c>
      <c r="E184" s="274">
        <f t="shared" si="10"/>
        <v>0.5459345300950369</v>
      </c>
      <c r="F184" s="196">
        <f t="shared" si="11"/>
        <v>16.155100000000001</v>
      </c>
      <c r="G184" s="196">
        <f t="shared" si="12"/>
        <v>12.749499999999999</v>
      </c>
      <c r="H184" s="199">
        <f t="shared" si="13"/>
        <v>10.7629</v>
      </c>
    </row>
    <row r="185" spans="1:12" ht="30">
      <c r="A185" s="81" t="s">
        <v>166</v>
      </c>
      <c r="B185" s="70" t="s">
        <v>367</v>
      </c>
      <c r="C185" s="271">
        <f>VLOOKUP($A$8:$A$1487,'[7]MFP''s'!A$8:C$1502,3,FALSE)</f>
        <v>30</v>
      </c>
      <c r="D185" s="364">
        <v>15</v>
      </c>
      <c r="E185" s="274">
        <f t="shared" si="10"/>
        <v>0.5</v>
      </c>
      <c r="F185" s="196">
        <f t="shared" si="11"/>
        <v>0.56355</v>
      </c>
      <c r="G185" s="196">
        <f t="shared" si="12"/>
        <v>0.44474999999999998</v>
      </c>
      <c r="H185" s="199">
        <f t="shared" si="13"/>
        <v>0.37545000000000001</v>
      </c>
    </row>
    <row r="186" spans="1:12">
      <c r="A186" s="81" t="s">
        <v>151</v>
      </c>
      <c r="B186" s="70" t="s">
        <v>369</v>
      </c>
      <c r="C186" s="271">
        <f>VLOOKUP($A$8:$A$1487,'[7]MFP''s'!A$8:C$1502,3,FALSE)</f>
        <v>200</v>
      </c>
      <c r="D186" s="364">
        <v>95</v>
      </c>
      <c r="E186" s="274">
        <f t="shared" si="10"/>
        <v>0.52500000000000002</v>
      </c>
      <c r="F186" s="196">
        <f t="shared" si="11"/>
        <v>3.56915</v>
      </c>
      <c r="G186" s="196">
        <f t="shared" si="12"/>
        <v>2.8167499999999999</v>
      </c>
      <c r="H186" s="199">
        <f t="shared" si="13"/>
        <v>2.37785</v>
      </c>
    </row>
    <row r="187" spans="1:12" ht="30">
      <c r="A187" s="81" t="s">
        <v>153</v>
      </c>
      <c r="B187" s="70" t="s">
        <v>370</v>
      </c>
      <c r="C187" s="271">
        <f>VLOOKUP($A$8:$A$1487,'[7]MFP''s'!A$8:C$1502,3,FALSE)</f>
        <v>279</v>
      </c>
      <c r="D187" s="364">
        <v>133</v>
      </c>
      <c r="E187" s="274">
        <f t="shared" si="10"/>
        <v>0.52329749103942658</v>
      </c>
      <c r="F187" s="196">
        <f t="shared" si="11"/>
        <v>4.99681</v>
      </c>
      <c r="G187" s="196">
        <f t="shared" si="12"/>
        <v>3.9434499999999999</v>
      </c>
      <c r="H187" s="199">
        <f t="shared" si="13"/>
        <v>3.3289900000000001</v>
      </c>
    </row>
    <row r="188" spans="1:12">
      <c r="A188" s="81" t="s">
        <v>164</v>
      </c>
      <c r="B188" s="70" t="s">
        <v>371</v>
      </c>
      <c r="C188" s="271">
        <f>VLOOKUP($A$8:$A$1487,'[7]MFP''s'!A$8:C$1502,3,FALSE)</f>
        <v>1225</v>
      </c>
      <c r="D188" s="364">
        <v>581</v>
      </c>
      <c r="E188" s="274">
        <f t="shared" ref="E188:E250" si="14">100%-(D188/C188)</f>
        <v>0.52571428571428569</v>
      </c>
      <c r="F188" s="196">
        <f t="shared" si="11"/>
        <v>21.82817</v>
      </c>
      <c r="G188" s="196">
        <f t="shared" si="12"/>
        <v>17.226649999999999</v>
      </c>
      <c r="H188" s="199">
        <f t="shared" si="13"/>
        <v>14.54243</v>
      </c>
    </row>
    <row r="189" spans="1:12" ht="30">
      <c r="A189" s="81" t="s">
        <v>149</v>
      </c>
      <c r="B189" s="70" t="s">
        <v>372</v>
      </c>
      <c r="C189" s="271">
        <f>VLOOKUP($A$8:$A$1487,'[7]MFP''s'!A$8:C$1502,3,FALSE)</f>
        <v>60</v>
      </c>
      <c r="D189" s="364">
        <v>29</v>
      </c>
      <c r="E189" s="274">
        <f t="shared" si="14"/>
        <v>0.51666666666666661</v>
      </c>
      <c r="F189" s="196">
        <f t="shared" si="11"/>
        <v>1.0895299999999999</v>
      </c>
      <c r="G189" s="196">
        <f t="shared" si="12"/>
        <v>0.85985</v>
      </c>
      <c r="H189" s="199">
        <f t="shared" si="13"/>
        <v>0.72587000000000002</v>
      </c>
    </row>
    <row r="190" spans="1:12" s="173" customFormat="1">
      <c r="A190" s="194" t="s">
        <v>385</v>
      </c>
      <c r="B190" s="88" t="s">
        <v>386</v>
      </c>
      <c r="C190" s="271">
        <f>VLOOKUP($A$8:$A$1487,'[7]MFP''s'!A$8:C$1502,3,FALSE)</f>
        <v>275</v>
      </c>
      <c r="D190" s="364">
        <v>227</v>
      </c>
      <c r="E190" s="274">
        <f t="shared" si="14"/>
        <v>0.17454545454545456</v>
      </c>
      <c r="F190" s="196">
        <f t="shared" ref="F190:F254" si="15">D190*$F$1</f>
        <v>8.5283899999999999</v>
      </c>
      <c r="G190" s="196">
        <f t="shared" si="12"/>
        <v>6.73055</v>
      </c>
      <c r="H190" s="199">
        <f t="shared" si="13"/>
        <v>5.6818100000000005</v>
      </c>
      <c r="J190" s="172"/>
      <c r="K190" s="172"/>
      <c r="L190" s="172"/>
    </row>
    <row r="191" spans="1:12">
      <c r="A191" s="81" t="s">
        <v>158</v>
      </c>
      <c r="B191" s="70" t="s">
        <v>373</v>
      </c>
      <c r="C191" s="271">
        <f>VLOOKUP($A$8:$A$1487,'[7]MFP''s'!A$8:C$1502,3,FALSE)</f>
        <v>123</v>
      </c>
      <c r="D191" s="364">
        <v>59</v>
      </c>
      <c r="E191" s="274">
        <f t="shared" si="14"/>
        <v>0.52032520325203246</v>
      </c>
      <c r="F191" s="196">
        <f t="shared" si="15"/>
        <v>2.2166299999999999</v>
      </c>
      <c r="G191" s="196">
        <f t="shared" si="12"/>
        <v>1.74935</v>
      </c>
      <c r="H191" s="199">
        <f t="shared" si="13"/>
        <v>1.4767699999999999</v>
      </c>
    </row>
    <row r="192" spans="1:12">
      <c r="A192" s="81" t="s">
        <v>156</v>
      </c>
      <c r="B192" s="70" t="s">
        <v>157</v>
      </c>
      <c r="C192" s="271">
        <f>VLOOKUP($A$8:$A$1487,'[7]MFP''s'!A$8:C$1502,3,FALSE)</f>
        <v>126</v>
      </c>
      <c r="D192" s="364">
        <v>60</v>
      </c>
      <c r="E192" s="274">
        <f t="shared" si="14"/>
        <v>0.52380952380952384</v>
      </c>
      <c r="F192" s="196">
        <f t="shared" si="15"/>
        <v>2.2542</v>
      </c>
      <c r="G192" s="196">
        <f t="shared" si="12"/>
        <v>1.7789999999999999</v>
      </c>
      <c r="H192" s="199">
        <f t="shared" si="13"/>
        <v>1.5018</v>
      </c>
    </row>
    <row r="193" spans="1:29">
      <c r="A193" s="81">
        <v>7640013463</v>
      </c>
      <c r="B193" s="70" t="s">
        <v>55</v>
      </c>
      <c r="C193" s="271">
        <f>VLOOKUP($A$8:$A$1487,'[7]MFP''s'!A$8:C$1502,3,FALSE)</f>
        <v>317</v>
      </c>
      <c r="D193" s="364">
        <v>151</v>
      </c>
      <c r="E193" s="274">
        <f t="shared" si="14"/>
        <v>0.52365930599369093</v>
      </c>
      <c r="F193" s="196">
        <f t="shared" si="15"/>
        <v>5.6730700000000001</v>
      </c>
      <c r="G193" s="196">
        <f t="shared" si="12"/>
        <v>4.47715</v>
      </c>
      <c r="H193" s="199">
        <f t="shared" si="13"/>
        <v>3.7795299999999998</v>
      </c>
    </row>
    <row r="194" spans="1:29">
      <c r="A194" s="81" t="s">
        <v>147</v>
      </c>
      <c r="B194" s="70" t="s">
        <v>148</v>
      </c>
      <c r="C194" s="271">
        <f>VLOOKUP($A$8:$A$1487,'[7]MFP''s'!A$8:C$1502,3,FALSE)</f>
        <v>846</v>
      </c>
      <c r="D194" s="364">
        <v>401</v>
      </c>
      <c r="E194" s="274">
        <f t="shared" si="14"/>
        <v>0.52600472813238763</v>
      </c>
      <c r="F194" s="196">
        <f t="shared" si="15"/>
        <v>15.065569999999999</v>
      </c>
      <c r="G194" s="196">
        <f t="shared" si="12"/>
        <v>11.88965</v>
      </c>
      <c r="H194" s="199">
        <f t="shared" si="13"/>
        <v>10.03703</v>
      </c>
    </row>
    <row r="195" spans="1:29">
      <c r="A195" s="64" t="s">
        <v>342</v>
      </c>
      <c r="B195" s="61"/>
      <c r="C195" s="271"/>
      <c r="D195" s="364"/>
      <c r="E195" s="274"/>
      <c r="F195" s="196"/>
      <c r="G195" s="196"/>
      <c r="H195" s="199"/>
    </row>
    <row r="196" spans="1:29">
      <c r="A196" s="71" t="s">
        <v>168</v>
      </c>
      <c r="B196" s="61" t="s">
        <v>169</v>
      </c>
      <c r="C196" s="271">
        <f>VLOOKUP($A$8:$A$1487,'[7]MFP''s'!A$8:C$1502,3,FALSE)</f>
        <v>250</v>
      </c>
      <c r="D196" s="364">
        <v>250</v>
      </c>
      <c r="E196" s="274">
        <f t="shared" si="14"/>
        <v>0</v>
      </c>
      <c r="F196" s="196">
        <f t="shared" si="15"/>
        <v>9.3925000000000001</v>
      </c>
      <c r="G196" s="196">
        <f t="shared" si="12"/>
        <v>7.4124999999999996</v>
      </c>
      <c r="H196" s="199">
        <f t="shared" si="13"/>
        <v>6.2575000000000003</v>
      </c>
    </row>
    <row r="197" spans="1:29">
      <c r="A197" s="212"/>
      <c r="B197" s="213"/>
      <c r="C197" s="214"/>
      <c r="D197" s="360"/>
      <c r="E197" s="215"/>
      <c r="F197" s="215"/>
      <c r="G197" s="215"/>
      <c r="H197" s="216"/>
    </row>
    <row r="198" spans="1:29" s="173" customFormat="1" ht="105">
      <c r="A198" s="218" t="s">
        <v>172</v>
      </c>
      <c r="B198" s="219" t="s">
        <v>650</v>
      </c>
      <c r="C198" s="271">
        <f>VLOOKUP($A$8:$A$1487,'[7]MFP''s'!A$8:C$1502,3,FALSE)</f>
        <v>11270</v>
      </c>
      <c r="D198" s="364">
        <v>4491</v>
      </c>
      <c r="E198" s="274">
        <f t="shared" si="14"/>
        <v>0.60150842945874006</v>
      </c>
      <c r="F198" s="196">
        <f t="shared" si="15"/>
        <v>168.72686999999999</v>
      </c>
      <c r="G198" s="196">
        <f t="shared" ref="G198:G265" si="16">D198*$G$1</f>
        <v>133.15815000000001</v>
      </c>
      <c r="H198" s="199">
        <f t="shared" ref="H198:H265" si="17">D198*$H$1</f>
        <v>112.40973</v>
      </c>
      <c r="J198" s="172"/>
      <c r="K198" s="172"/>
      <c r="L198" s="172"/>
    </row>
    <row r="199" spans="1:29">
      <c r="A199" s="195" t="s">
        <v>384</v>
      </c>
      <c r="B199" s="197"/>
      <c r="C199" s="271"/>
      <c r="D199" s="357"/>
      <c r="E199" s="274"/>
      <c r="F199" s="196"/>
      <c r="G199" s="196"/>
      <c r="H199" s="199"/>
    </row>
    <row r="200" spans="1:29">
      <c r="A200" s="66" t="s">
        <v>343</v>
      </c>
      <c r="B200" s="67"/>
      <c r="C200" s="271"/>
      <c r="D200" s="364"/>
      <c r="E200" s="274"/>
      <c r="F200" s="196"/>
      <c r="G200" s="196"/>
      <c r="H200" s="199"/>
    </row>
    <row r="201" spans="1:29" s="318" customFormat="1">
      <c r="A201" s="319" t="s">
        <v>96</v>
      </c>
      <c r="B201" s="320" t="s">
        <v>97</v>
      </c>
      <c r="C201" s="312">
        <f>VLOOKUP($A$8:$A$1487,'[7]MFP''s'!A$8:C$1502,3,FALSE)</f>
        <v>1631</v>
      </c>
      <c r="D201" s="367">
        <v>773</v>
      </c>
      <c r="E201" s="313">
        <f>100%-(D201/C201)</f>
        <v>0.52605763335377076</v>
      </c>
      <c r="F201" s="314">
        <f>D201*$F$1</f>
        <v>29.041609999999999</v>
      </c>
      <c r="G201" s="314">
        <f>D201*$G$1</f>
        <v>22.919450000000001</v>
      </c>
      <c r="H201" s="315">
        <f>D201*$H$1</f>
        <v>19.348189999999999</v>
      </c>
      <c r="I201" s="316"/>
      <c r="J201" s="317"/>
      <c r="K201" s="317"/>
      <c r="L201" s="317"/>
      <c r="M201" s="316"/>
      <c r="N201" s="316"/>
      <c r="O201" s="316"/>
      <c r="P201" s="316"/>
      <c r="Q201" s="316"/>
      <c r="R201" s="316"/>
      <c r="S201" s="316"/>
      <c r="T201" s="316"/>
      <c r="U201" s="316"/>
      <c r="V201" s="316"/>
      <c r="W201" s="316"/>
      <c r="X201" s="316"/>
      <c r="Y201" s="316"/>
      <c r="Z201" s="316"/>
      <c r="AA201" s="316"/>
      <c r="AB201" s="316"/>
      <c r="AC201" s="316"/>
    </row>
    <row r="202" spans="1:29">
      <c r="A202" s="68" t="s">
        <v>98</v>
      </c>
      <c r="B202" s="67" t="s">
        <v>99</v>
      </c>
      <c r="C202" s="271">
        <f>VLOOKUP($A$8:$A$1487,'[7]MFP''s'!A$8:C$1502,3,FALSE)</f>
        <v>1802</v>
      </c>
      <c r="D202" s="364">
        <v>854</v>
      </c>
      <c r="E202" s="274">
        <f t="shared" si="14"/>
        <v>0.52608213096559386</v>
      </c>
      <c r="F202" s="196">
        <f t="shared" si="15"/>
        <v>32.084780000000002</v>
      </c>
      <c r="G202" s="196">
        <f t="shared" si="16"/>
        <v>25.321099999999998</v>
      </c>
      <c r="H202" s="199">
        <f t="shared" si="17"/>
        <v>21.375620000000001</v>
      </c>
    </row>
    <row r="203" spans="1:29">
      <c r="A203" s="69" t="s">
        <v>94</v>
      </c>
      <c r="B203" s="67" t="s">
        <v>344</v>
      </c>
      <c r="C203" s="271">
        <f>VLOOKUP($A$8:$A$1487,'[7]MFP''s'!A$8:C$1502,3,FALSE)</f>
        <v>94</v>
      </c>
      <c r="D203" s="364">
        <v>45</v>
      </c>
      <c r="E203" s="274">
        <f t="shared" si="14"/>
        <v>0.52127659574468077</v>
      </c>
      <c r="F203" s="196">
        <f t="shared" si="15"/>
        <v>1.69065</v>
      </c>
      <c r="G203" s="196">
        <f t="shared" si="16"/>
        <v>1.3342499999999999</v>
      </c>
      <c r="H203" s="199">
        <f t="shared" si="17"/>
        <v>1.12635</v>
      </c>
    </row>
    <row r="204" spans="1:29">
      <c r="A204" s="66" t="s">
        <v>345</v>
      </c>
      <c r="B204" s="67"/>
      <c r="C204" s="271"/>
      <c r="D204" s="364"/>
      <c r="E204" s="274"/>
      <c r="F204" s="196"/>
      <c r="G204" s="196"/>
      <c r="H204" s="199"/>
    </row>
    <row r="205" spans="1:29">
      <c r="A205" s="68" t="s">
        <v>100</v>
      </c>
      <c r="B205" s="67" t="s">
        <v>101</v>
      </c>
      <c r="C205" s="271">
        <f>VLOOKUP($A$8:$A$1487,'[7]MFP''s'!A$8:C$1502,3,FALSE)</f>
        <v>1402</v>
      </c>
      <c r="D205" s="364">
        <v>664</v>
      </c>
      <c r="E205" s="274">
        <f t="shared" si="14"/>
        <v>0.52639087018544939</v>
      </c>
      <c r="F205" s="196">
        <f t="shared" si="15"/>
        <v>24.946480000000001</v>
      </c>
      <c r="G205" s="196">
        <f t="shared" si="16"/>
        <v>19.6876</v>
      </c>
      <c r="H205" s="199">
        <f t="shared" si="17"/>
        <v>16.61992</v>
      </c>
    </row>
    <row r="206" spans="1:29">
      <c r="A206" s="68" t="s">
        <v>104</v>
      </c>
      <c r="B206" s="67" t="s">
        <v>105</v>
      </c>
      <c r="C206" s="271">
        <f>VLOOKUP($A$8:$A$1487,'[7]MFP''s'!A$8:C$1502,3,FALSE)</f>
        <v>913</v>
      </c>
      <c r="D206" s="364">
        <v>433</v>
      </c>
      <c r="E206" s="274">
        <f t="shared" si="14"/>
        <v>0.52573932092004383</v>
      </c>
      <c r="F206" s="196">
        <f t="shared" si="15"/>
        <v>16.267810000000001</v>
      </c>
      <c r="G206" s="196">
        <f t="shared" si="16"/>
        <v>12.83845</v>
      </c>
      <c r="H206" s="199">
        <f t="shared" si="17"/>
        <v>10.83799</v>
      </c>
    </row>
    <row r="207" spans="1:29">
      <c r="A207" s="68" t="s">
        <v>102</v>
      </c>
      <c r="B207" s="70" t="s">
        <v>103</v>
      </c>
      <c r="C207" s="271">
        <f>VLOOKUP($A$8:$A$1487,'[7]MFP''s'!A$8:C$1502,3,FALSE)</f>
        <v>1191</v>
      </c>
      <c r="D207" s="364">
        <v>564</v>
      </c>
      <c r="E207" s="274">
        <f t="shared" si="14"/>
        <v>0.52644836272040307</v>
      </c>
      <c r="F207" s="196">
        <f t="shared" si="15"/>
        <v>21.18948</v>
      </c>
      <c r="G207" s="196">
        <f t="shared" si="16"/>
        <v>16.7226</v>
      </c>
      <c r="H207" s="199">
        <f t="shared" si="17"/>
        <v>14.11692</v>
      </c>
    </row>
    <row r="208" spans="1:29">
      <c r="A208" s="68" t="s">
        <v>382</v>
      </c>
      <c r="B208" s="67" t="s">
        <v>383</v>
      </c>
      <c r="C208" s="271">
        <f>VLOOKUP($A$8:$A$1487,'[7]MFP''s'!A$8:C$1502,3,FALSE)</f>
        <v>222</v>
      </c>
      <c r="D208" s="364">
        <v>106</v>
      </c>
      <c r="E208" s="274">
        <f t="shared" si="14"/>
        <v>0.52252252252252251</v>
      </c>
      <c r="F208" s="196">
        <f t="shared" si="15"/>
        <v>3.9824199999999998</v>
      </c>
      <c r="G208" s="196">
        <f t="shared" si="16"/>
        <v>3.1429</v>
      </c>
      <c r="H208" s="199">
        <f t="shared" si="17"/>
        <v>2.6531799999999999</v>
      </c>
    </row>
    <row r="209" spans="1:8">
      <c r="A209" s="66" t="s">
        <v>346</v>
      </c>
      <c r="B209" s="70"/>
      <c r="C209" s="271"/>
      <c r="D209" s="364"/>
      <c r="E209" s="274"/>
      <c r="F209" s="196"/>
      <c r="G209" s="196"/>
      <c r="H209" s="199"/>
    </row>
    <row r="210" spans="1:8">
      <c r="A210" s="81" t="s">
        <v>109</v>
      </c>
      <c r="B210" s="70" t="s">
        <v>110</v>
      </c>
      <c r="C210" s="271">
        <f>VLOOKUP($A$8:$A$1487,'[7]MFP''s'!A$8:C$1502,3,FALSE)</f>
        <v>1553</v>
      </c>
      <c r="D210" s="364">
        <v>736</v>
      </c>
      <c r="E210" s="274">
        <f t="shared" si="14"/>
        <v>0.5260785576303928</v>
      </c>
      <c r="F210" s="196">
        <f t="shared" si="15"/>
        <v>27.651519999999998</v>
      </c>
      <c r="G210" s="196">
        <f t="shared" si="16"/>
        <v>21.822399999999998</v>
      </c>
      <c r="H210" s="199">
        <f t="shared" si="17"/>
        <v>18.422080000000001</v>
      </c>
    </row>
    <row r="211" spans="1:8">
      <c r="A211" s="81" t="s">
        <v>107</v>
      </c>
      <c r="B211" s="70" t="s">
        <v>108</v>
      </c>
      <c r="C211" s="271">
        <f>VLOOKUP($A$8:$A$1487,'[7]MFP''s'!A$8:C$1502,3,FALSE)</f>
        <v>500</v>
      </c>
      <c r="D211" s="364">
        <v>237</v>
      </c>
      <c r="E211" s="274">
        <f t="shared" si="14"/>
        <v>0.52600000000000002</v>
      </c>
      <c r="F211" s="196">
        <f t="shared" si="15"/>
        <v>8.9040900000000001</v>
      </c>
      <c r="G211" s="196">
        <f t="shared" si="16"/>
        <v>7.02705</v>
      </c>
      <c r="H211" s="199">
        <f t="shared" si="17"/>
        <v>5.9321099999999998</v>
      </c>
    </row>
    <row r="212" spans="1:8" ht="30">
      <c r="A212" s="330" t="s">
        <v>748</v>
      </c>
      <c r="B212" s="70" t="s">
        <v>783</v>
      </c>
      <c r="C212" s="271">
        <v>1855</v>
      </c>
      <c r="D212" s="364">
        <v>879</v>
      </c>
      <c r="E212" s="274">
        <f t="shared" si="14"/>
        <v>0.52614555256064688</v>
      </c>
      <c r="F212" s="196">
        <f t="shared" si="15"/>
        <v>33.024029999999996</v>
      </c>
      <c r="G212" s="196">
        <f t="shared" si="16"/>
        <v>26.062349999999999</v>
      </c>
      <c r="H212" s="199">
        <f t="shared" si="17"/>
        <v>22.001370000000001</v>
      </c>
    </row>
    <row r="213" spans="1:8" ht="30">
      <c r="A213" s="330" t="s">
        <v>750</v>
      </c>
      <c r="B213" s="331" t="s">
        <v>784</v>
      </c>
      <c r="C213" s="332">
        <v>3305</v>
      </c>
      <c r="D213" s="364">
        <v>1566</v>
      </c>
      <c r="E213" s="274">
        <f t="shared" si="14"/>
        <v>0.52617246596066569</v>
      </c>
      <c r="F213" s="196">
        <f t="shared" si="15"/>
        <v>58.834620000000001</v>
      </c>
      <c r="G213" s="196">
        <f t="shared" si="16"/>
        <v>46.431899999999999</v>
      </c>
      <c r="H213" s="199">
        <f t="shared" si="17"/>
        <v>39.196980000000003</v>
      </c>
    </row>
    <row r="214" spans="1:8">
      <c r="A214" s="81" t="s">
        <v>113</v>
      </c>
      <c r="B214" s="70" t="s">
        <v>347</v>
      </c>
      <c r="C214" s="271">
        <f>VLOOKUP($A$8:$A$1487,'[7]MFP''s'!A$8:C$1502,3,FALSE)</f>
        <v>586</v>
      </c>
      <c r="D214" s="364">
        <v>278</v>
      </c>
      <c r="E214" s="274">
        <f t="shared" si="14"/>
        <v>0.52559726962457343</v>
      </c>
      <c r="F214" s="196">
        <f t="shared" si="15"/>
        <v>10.444459999999999</v>
      </c>
      <c r="G214" s="196">
        <f t="shared" si="16"/>
        <v>8.2426999999999992</v>
      </c>
      <c r="H214" s="199">
        <f t="shared" si="17"/>
        <v>6.9583399999999997</v>
      </c>
    </row>
    <row r="215" spans="1:8">
      <c r="A215" s="81" t="s">
        <v>111</v>
      </c>
      <c r="B215" s="70" t="s">
        <v>112</v>
      </c>
      <c r="C215" s="271">
        <f>VLOOKUP($A$8:$A$1487,'[7]MFP''s'!A$8:C$1502,3,FALSE)</f>
        <v>585</v>
      </c>
      <c r="D215" s="364">
        <v>278</v>
      </c>
      <c r="E215" s="274">
        <f t="shared" si="14"/>
        <v>0.52478632478632481</v>
      </c>
      <c r="F215" s="196">
        <f t="shared" si="15"/>
        <v>10.444459999999999</v>
      </c>
      <c r="G215" s="196">
        <f t="shared" si="16"/>
        <v>8.2426999999999992</v>
      </c>
      <c r="H215" s="199">
        <f t="shared" si="17"/>
        <v>6.9583399999999997</v>
      </c>
    </row>
    <row r="216" spans="1:8">
      <c r="A216" s="66" t="s">
        <v>348</v>
      </c>
      <c r="B216" s="70"/>
      <c r="C216" s="271"/>
      <c r="D216" s="364"/>
      <c r="E216" s="274"/>
      <c r="F216" s="196"/>
      <c r="G216" s="196"/>
      <c r="H216" s="199"/>
    </row>
    <row r="217" spans="1:8">
      <c r="A217" s="68">
        <v>4614506</v>
      </c>
      <c r="B217" s="70" t="s">
        <v>117</v>
      </c>
      <c r="C217" s="271">
        <f>VLOOKUP($A$8:$A$1487,'[7]MFP''s'!A$8:C$1502,3,FALSE)</f>
        <v>48</v>
      </c>
      <c r="D217" s="364">
        <v>23</v>
      </c>
      <c r="E217" s="274">
        <f t="shared" si="14"/>
        <v>0.52083333333333326</v>
      </c>
      <c r="F217" s="196">
        <f t="shared" si="15"/>
        <v>0.86410999999999993</v>
      </c>
      <c r="G217" s="196">
        <f t="shared" si="16"/>
        <v>0.68194999999999995</v>
      </c>
      <c r="H217" s="199">
        <f t="shared" si="17"/>
        <v>0.57569000000000004</v>
      </c>
    </row>
    <row r="218" spans="1:8">
      <c r="A218" s="68">
        <v>4614511</v>
      </c>
      <c r="B218" s="70" t="s">
        <v>349</v>
      </c>
      <c r="C218" s="271">
        <f>VLOOKUP($A$8:$A$1487,'[7]MFP''s'!A$8:C$1502,3,FALSE)</f>
        <v>27</v>
      </c>
      <c r="D218" s="364">
        <v>13</v>
      </c>
      <c r="E218" s="274">
        <f t="shared" si="14"/>
        <v>0.5185185185185186</v>
      </c>
      <c r="F218" s="196">
        <f t="shared" si="15"/>
        <v>0.48841000000000001</v>
      </c>
      <c r="G218" s="196">
        <f t="shared" si="16"/>
        <v>0.38545000000000001</v>
      </c>
      <c r="H218" s="199">
        <f t="shared" si="17"/>
        <v>0.32539000000000001</v>
      </c>
    </row>
    <row r="219" spans="1:8">
      <c r="A219" s="81" t="s">
        <v>121</v>
      </c>
      <c r="B219" s="70" t="s">
        <v>350</v>
      </c>
      <c r="C219" s="271">
        <f>VLOOKUP($A$8:$A$1487,'[7]MFP''s'!A$8:C$1502,3,FALSE)</f>
        <v>1068</v>
      </c>
      <c r="D219" s="364">
        <v>506</v>
      </c>
      <c r="E219" s="274">
        <f t="shared" si="14"/>
        <v>0.52621722846441954</v>
      </c>
      <c r="F219" s="196">
        <f t="shared" si="15"/>
        <v>19.01042</v>
      </c>
      <c r="G219" s="196">
        <f t="shared" si="16"/>
        <v>15.0029</v>
      </c>
      <c r="H219" s="199">
        <f t="shared" si="17"/>
        <v>12.665179999999999</v>
      </c>
    </row>
    <row r="220" spans="1:8">
      <c r="A220" s="81" t="s">
        <v>115</v>
      </c>
      <c r="B220" s="67" t="s">
        <v>116</v>
      </c>
      <c r="C220" s="271">
        <f>VLOOKUP($A$8:$A$1487,'[7]MFP''s'!A$8:C$1502,3,FALSE)</f>
        <v>1070</v>
      </c>
      <c r="D220" s="364">
        <v>507</v>
      </c>
      <c r="E220" s="274">
        <f t="shared" si="14"/>
        <v>0.5261682242990654</v>
      </c>
      <c r="F220" s="196">
        <f t="shared" si="15"/>
        <v>19.047989999999999</v>
      </c>
      <c r="G220" s="196">
        <f t="shared" si="16"/>
        <v>15.032549999999999</v>
      </c>
      <c r="H220" s="199">
        <f t="shared" si="17"/>
        <v>12.69021</v>
      </c>
    </row>
    <row r="221" spans="1:8">
      <c r="A221" s="81" t="s">
        <v>119</v>
      </c>
      <c r="B221" s="70" t="s">
        <v>351</v>
      </c>
      <c r="C221" s="271">
        <f>VLOOKUP($A$8:$A$1487,'[7]MFP''s'!A$8:C$1502,3,FALSE)</f>
        <v>120</v>
      </c>
      <c r="D221" s="364">
        <v>57</v>
      </c>
      <c r="E221" s="274">
        <f t="shared" si="14"/>
        <v>0.52500000000000002</v>
      </c>
      <c r="F221" s="196">
        <f t="shared" si="15"/>
        <v>2.1414900000000001</v>
      </c>
      <c r="G221" s="196">
        <f t="shared" si="16"/>
        <v>1.6900500000000001</v>
      </c>
      <c r="H221" s="199">
        <f t="shared" si="17"/>
        <v>1.4267099999999999</v>
      </c>
    </row>
    <row r="222" spans="1:8">
      <c r="A222" s="66" t="s">
        <v>352</v>
      </c>
      <c r="B222" s="70"/>
      <c r="C222" s="271"/>
      <c r="D222" s="364"/>
      <c r="E222" s="274"/>
      <c r="F222" s="196"/>
      <c r="G222" s="196"/>
      <c r="H222" s="199"/>
    </row>
    <row r="223" spans="1:8">
      <c r="A223" s="81">
        <v>7640005064</v>
      </c>
      <c r="B223" s="70" t="s">
        <v>67</v>
      </c>
      <c r="C223" s="271">
        <f>VLOOKUP($A$8:$A$1487,'[7]MFP''s'!A$8:C$1502,3,FALSE)</f>
        <v>423</v>
      </c>
      <c r="D223" s="364">
        <v>201</v>
      </c>
      <c r="E223" s="274">
        <f t="shared" si="14"/>
        <v>0.52482269503546097</v>
      </c>
      <c r="F223" s="196">
        <f t="shared" si="15"/>
        <v>7.5515699999999999</v>
      </c>
      <c r="G223" s="196">
        <f t="shared" si="16"/>
        <v>5.9596499999999999</v>
      </c>
      <c r="H223" s="199">
        <f t="shared" si="17"/>
        <v>5.0310300000000003</v>
      </c>
    </row>
    <row r="224" spans="1:8">
      <c r="A224" s="83">
        <v>7640005261</v>
      </c>
      <c r="B224" s="70" t="s">
        <v>353</v>
      </c>
      <c r="C224" s="271">
        <f>VLOOKUP($A$8:$A$1487,'[7]MFP''s'!A$8:C$1502,3,FALSE)</f>
        <v>69</v>
      </c>
      <c r="D224" s="364">
        <v>33</v>
      </c>
      <c r="E224" s="274">
        <f t="shared" si="14"/>
        <v>0.52173913043478259</v>
      </c>
      <c r="F224" s="196">
        <f t="shared" si="15"/>
        <v>1.2398100000000001</v>
      </c>
      <c r="G224" s="196">
        <f t="shared" si="16"/>
        <v>0.97844999999999993</v>
      </c>
      <c r="H224" s="199">
        <f t="shared" si="17"/>
        <v>0.82599</v>
      </c>
    </row>
    <row r="225" spans="1:8">
      <c r="A225" s="81">
        <v>7640008394</v>
      </c>
      <c r="B225" s="70" t="s">
        <v>354</v>
      </c>
      <c r="C225" s="271">
        <f>VLOOKUP($A$8:$A$1487,'[7]MFP''s'!A$8:C$1502,3,FALSE)</f>
        <v>476</v>
      </c>
      <c r="D225" s="364">
        <v>226</v>
      </c>
      <c r="E225" s="274">
        <f t="shared" si="14"/>
        <v>0.52521008403361347</v>
      </c>
      <c r="F225" s="196">
        <f t="shared" si="15"/>
        <v>8.4908199999999994</v>
      </c>
      <c r="G225" s="196">
        <f t="shared" si="16"/>
        <v>6.7008999999999999</v>
      </c>
      <c r="H225" s="199">
        <f t="shared" si="17"/>
        <v>5.6567800000000004</v>
      </c>
    </row>
    <row r="226" spans="1:8">
      <c r="A226" s="68">
        <v>7640013468</v>
      </c>
      <c r="B226" s="70" t="s">
        <v>146</v>
      </c>
      <c r="C226" s="271">
        <f>VLOOKUP($A$8:$A$1487,'[7]MFP''s'!A$8:C$1502,3,FALSE)</f>
        <v>423</v>
      </c>
      <c r="D226" s="364">
        <v>201</v>
      </c>
      <c r="E226" s="274">
        <f t="shared" si="14"/>
        <v>0.52482269503546097</v>
      </c>
      <c r="F226" s="196">
        <f t="shared" si="15"/>
        <v>7.5515699999999999</v>
      </c>
      <c r="G226" s="196">
        <f t="shared" si="16"/>
        <v>5.9596499999999999</v>
      </c>
      <c r="H226" s="199">
        <f t="shared" si="17"/>
        <v>5.0310300000000003</v>
      </c>
    </row>
    <row r="227" spans="1:8">
      <c r="A227" s="66" t="s">
        <v>355</v>
      </c>
      <c r="B227" s="70"/>
      <c r="C227" s="271"/>
      <c r="D227" s="364"/>
      <c r="E227" s="274"/>
      <c r="F227" s="196"/>
      <c r="G227" s="196"/>
      <c r="H227" s="199"/>
    </row>
    <row r="228" spans="1:8">
      <c r="A228" s="68">
        <v>7640006869</v>
      </c>
      <c r="B228" s="70" t="s">
        <v>155</v>
      </c>
      <c r="C228" s="271">
        <f>VLOOKUP($A$8:$A$1487,'[7]MFP''s'!A$8:C$1502,3,FALSE)</f>
        <v>223</v>
      </c>
      <c r="D228" s="364">
        <v>106</v>
      </c>
      <c r="E228" s="274">
        <f t="shared" si="14"/>
        <v>0.5246636771300448</v>
      </c>
      <c r="F228" s="196">
        <f t="shared" si="15"/>
        <v>3.9824199999999998</v>
      </c>
      <c r="G228" s="196">
        <f t="shared" si="16"/>
        <v>3.1429</v>
      </c>
      <c r="H228" s="199">
        <f t="shared" si="17"/>
        <v>2.6531799999999999</v>
      </c>
    </row>
    <row r="229" spans="1:8" ht="30">
      <c r="A229" s="81" t="s">
        <v>126</v>
      </c>
      <c r="B229" s="70" t="s">
        <v>356</v>
      </c>
      <c r="C229" s="271">
        <f>VLOOKUP($A$8:$A$1487,'[7]MFP''s'!A$8:C$1502,3,FALSE)</f>
        <v>1100</v>
      </c>
      <c r="D229" s="364">
        <v>521</v>
      </c>
      <c r="E229" s="274">
        <f t="shared" si="14"/>
        <v>0.52636363636363637</v>
      </c>
      <c r="F229" s="196">
        <f t="shared" si="15"/>
        <v>19.573969999999999</v>
      </c>
      <c r="G229" s="196">
        <f t="shared" si="16"/>
        <v>15.447649999999999</v>
      </c>
      <c r="H229" s="199">
        <f t="shared" si="17"/>
        <v>13.04063</v>
      </c>
    </row>
    <row r="230" spans="1:8">
      <c r="A230" s="81" t="s">
        <v>128</v>
      </c>
      <c r="B230" s="70" t="s">
        <v>357</v>
      </c>
      <c r="C230" s="271">
        <f>VLOOKUP($A$8:$A$1487,'[7]MFP''s'!A$8:C$1502,3,FALSE)</f>
        <v>785</v>
      </c>
      <c r="D230" s="364">
        <v>372</v>
      </c>
      <c r="E230" s="274">
        <f t="shared" si="14"/>
        <v>0.52611464968152866</v>
      </c>
      <c r="F230" s="196">
        <f t="shared" si="15"/>
        <v>13.976039999999999</v>
      </c>
      <c r="G230" s="196">
        <f t="shared" si="16"/>
        <v>11.0298</v>
      </c>
      <c r="H230" s="199">
        <f t="shared" si="17"/>
        <v>9.3111599999999992</v>
      </c>
    </row>
    <row r="231" spans="1:8">
      <c r="A231" s="81" t="s">
        <v>130</v>
      </c>
      <c r="B231" s="70" t="s">
        <v>358</v>
      </c>
      <c r="C231" s="271">
        <f>VLOOKUP($A$8:$A$1487,'[7]MFP''s'!A$8:C$1502,3,FALSE)</f>
        <v>668</v>
      </c>
      <c r="D231" s="364">
        <v>317</v>
      </c>
      <c r="E231" s="274">
        <f t="shared" si="14"/>
        <v>0.52544910179640714</v>
      </c>
      <c r="F231" s="196">
        <f t="shared" si="15"/>
        <v>11.909689999999999</v>
      </c>
      <c r="G231" s="196">
        <f t="shared" si="16"/>
        <v>9.399049999999999</v>
      </c>
      <c r="H231" s="199">
        <f t="shared" si="17"/>
        <v>7.9345100000000004</v>
      </c>
    </row>
    <row r="232" spans="1:8">
      <c r="A232" s="81" t="s">
        <v>132</v>
      </c>
      <c r="B232" s="70" t="s">
        <v>359</v>
      </c>
      <c r="C232" s="271">
        <f>VLOOKUP($A$8:$A$1487,'[7]MFP''s'!A$8:C$1502,3,FALSE)</f>
        <v>821</v>
      </c>
      <c r="D232" s="364">
        <v>389</v>
      </c>
      <c r="E232" s="274">
        <f t="shared" si="14"/>
        <v>0.52618757612667477</v>
      </c>
      <c r="F232" s="196">
        <f t="shared" si="15"/>
        <v>14.61473</v>
      </c>
      <c r="G232" s="196">
        <f t="shared" si="16"/>
        <v>11.533849999999999</v>
      </c>
      <c r="H232" s="199">
        <f t="shared" si="17"/>
        <v>9.7366700000000002</v>
      </c>
    </row>
    <row r="233" spans="1:8">
      <c r="A233" s="81" t="s">
        <v>134</v>
      </c>
      <c r="B233" s="70" t="s">
        <v>360</v>
      </c>
      <c r="C233" s="271">
        <f>VLOOKUP($A$8:$A$1487,'[7]MFP''s'!A$8:C$1502,3,FALSE)</f>
        <v>690</v>
      </c>
      <c r="D233" s="364">
        <v>327</v>
      </c>
      <c r="E233" s="274">
        <f t="shared" si="14"/>
        <v>0.5260869565217392</v>
      </c>
      <c r="F233" s="196">
        <f t="shared" si="15"/>
        <v>12.28539</v>
      </c>
      <c r="G233" s="196">
        <f t="shared" si="16"/>
        <v>9.695549999999999</v>
      </c>
      <c r="H233" s="199">
        <f t="shared" si="17"/>
        <v>8.1848100000000006</v>
      </c>
    </row>
    <row r="234" spans="1:8">
      <c r="A234" s="81" t="s">
        <v>136</v>
      </c>
      <c r="B234" s="70" t="s">
        <v>361</v>
      </c>
      <c r="C234" s="271">
        <f>VLOOKUP($A$8:$A$1487,'[7]MFP''s'!A$8:C$1502,3,FALSE)</f>
        <v>191</v>
      </c>
      <c r="D234" s="364">
        <v>91</v>
      </c>
      <c r="E234" s="274">
        <f t="shared" si="14"/>
        <v>0.52356020942408377</v>
      </c>
      <c r="F234" s="196">
        <f t="shared" si="15"/>
        <v>3.4188700000000001</v>
      </c>
      <c r="G234" s="196">
        <f t="shared" si="16"/>
        <v>2.69815</v>
      </c>
      <c r="H234" s="199">
        <f t="shared" si="17"/>
        <v>2.27773</v>
      </c>
    </row>
    <row r="235" spans="1:8">
      <c r="A235" s="81" t="s">
        <v>124</v>
      </c>
      <c r="B235" s="70" t="s">
        <v>362</v>
      </c>
      <c r="C235" s="271">
        <f>VLOOKUP($A$8:$A$1487,'[7]MFP''s'!A$8:C$1502,3,FALSE)</f>
        <v>53</v>
      </c>
      <c r="D235" s="364">
        <v>26</v>
      </c>
      <c r="E235" s="274">
        <f t="shared" si="14"/>
        <v>0.50943396226415094</v>
      </c>
      <c r="F235" s="196">
        <f t="shared" si="15"/>
        <v>0.97682000000000002</v>
      </c>
      <c r="G235" s="196">
        <f t="shared" si="16"/>
        <v>0.77090000000000003</v>
      </c>
      <c r="H235" s="199">
        <f t="shared" si="17"/>
        <v>0.65078000000000003</v>
      </c>
    </row>
    <row r="236" spans="1:8" ht="30">
      <c r="A236" s="81" t="s">
        <v>138</v>
      </c>
      <c r="B236" s="70" t="s">
        <v>363</v>
      </c>
      <c r="C236" s="271">
        <f>VLOOKUP($A$8:$A$1487,'[7]MFP''s'!A$8:C$1502,3,FALSE)</f>
        <v>1500</v>
      </c>
      <c r="D236" s="364">
        <v>711</v>
      </c>
      <c r="E236" s="274">
        <f t="shared" si="14"/>
        <v>0.52600000000000002</v>
      </c>
      <c r="F236" s="196">
        <f t="shared" si="15"/>
        <v>26.71227</v>
      </c>
      <c r="G236" s="196">
        <f t="shared" si="16"/>
        <v>21.081150000000001</v>
      </c>
      <c r="H236" s="199">
        <f t="shared" si="17"/>
        <v>17.796330000000001</v>
      </c>
    </row>
    <row r="237" spans="1:8">
      <c r="A237" s="81" t="s">
        <v>140</v>
      </c>
      <c r="B237" s="67" t="s">
        <v>364</v>
      </c>
      <c r="C237" s="271">
        <f>VLOOKUP($A$8:$A$1487,'[7]MFP''s'!A$8:C$1502,3,FALSE)</f>
        <v>250</v>
      </c>
      <c r="D237" s="364">
        <v>119</v>
      </c>
      <c r="E237" s="274">
        <f t="shared" si="14"/>
        <v>0.52400000000000002</v>
      </c>
      <c r="F237" s="196">
        <f t="shared" si="15"/>
        <v>4.4708300000000003</v>
      </c>
      <c r="G237" s="196">
        <f t="shared" si="16"/>
        <v>3.5283500000000001</v>
      </c>
      <c r="H237" s="199">
        <f t="shared" si="17"/>
        <v>2.9785699999999999</v>
      </c>
    </row>
    <row r="238" spans="1:8">
      <c r="A238" s="81" t="s">
        <v>142</v>
      </c>
      <c r="B238" s="70" t="s">
        <v>368</v>
      </c>
      <c r="C238" s="271">
        <f>VLOOKUP($A$8:$A$1487,'[7]MFP''s'!A$8:C$1502,3,FALSE)</f>
        <v>290</v>
      </c>
      <c r="D238" s="364">
        <v>138</v>
      </c>
      <c r="E238" s="274">
        <f t="shared" si="14"/>
        <v>0.5241379310344827</v>
      </c>
      <c r="F238" s="196">
        <f t="shared" si="15"/>
        <v>5.18466</v>
      </c>
      <c r="G238" s="196">
        <f t="shared" si="16"/>
        <v>4.0917000000000003</v>
      </c>
      <c r="H238" s="199">
        <f t="shared" si="17"/>
        <v>3.4541400000000002</v>
      </c>
    </row>
    <row r="239" spans="1:8">
      <c r="A239" s="81" t="s">
        <v>160</v>
      </c>
      <c r="B239" s="70" t="s">
        <v>365</v>
      </c>
      <c r="C239" s="271">
        <f>VLOOKUP($A$8:$A$1487,'[7]MFP''s'!A$8:C$1502,3,FALSE)</f>
        <v>112</v>
      </c>
      <c r="D239" s="364">
        <v>54</v>
      </c>
      <c r="E239" s="274">
        <f t="shared" si="14"/>
        <v>0.51785714285714279</v>
      </c>
      <c r="F239" s="196">
        <f t="shared" si="15"/>
        <v>2.0287799999999998</v>
      </c>
      <c r="G239" s="196">
        <f t="shared" si="16"/>
        <v>1.6011</v>
      </c>
      <c r="H239" s="199">
        <f t="shared" si="17"/>
        <v>1.35162</v>
      </c>
    </row>
    <row r="240" spans="1:8">
      <c r="A240" s="81" t="s">
        <v>144</v>
      </c>
      <c r="B240" s="70" t="s">
        <v>366</v>
      </c>
      <c r="C240" s="271">
        <f>VLOOKUP($A$8:$A$1487,'[7]MFP''s'!A$8:C$1502,3,FALSE)</f>
        <v>947</v>
      </c>
      <c r="D240" s="364">
        <v>430</v>
      </c>
      <c r="E240" s="274">
        <f t="shared" si="14"/>
        <v>0.5459345300950369</v>
      </c>
      <c r="F240" s="196">
        <f t="shared" si="15"/>
        <v>16.155100000000001</v>
      </c>
      <c r="G240" s="196">
        <f t="shared" si="16"/>
        <v>12.749499999999999</v>
      </c>
      <c r="H240" s="199">
        <f t="shared" si="17"/>
        <v>10.7629</v>
      </c>
    </row>
    <row r="241" spans="1:12" ht="30">
      <c r="A241" s="81" t="s">
        <v>166</v>
      </c>
      <c r="B241" s="70" t="s">
        <v>367</v>
      </c>
      <c r="C241" s="271">
        <f>VLOOKUP($A$8:$A$1487,'[7]MFP''s'!A$8:C$1502,3,FALSE)</f>
        <v>30</v>
      </c>
      <c r="D241" s="364">
        <v>15</v>
      </c>
      <c r="E241" s="274">
        <f t="shared" si="14"/>
        <v>0.5</v>
      </c>
      <c r="F241" s="196">
        <f t="shared" si="15"/>
        <v>0.56355</v>
      </c>
      <c r="G241" s="196">
        <f t="shared" si="16"/>
        <v>0.44474999999999998</v>
      </c>
      <c r="H241" s="199">
        <f t="shared" si="17"/>
        <v>0.37545000000000001</v>
      </c>
    </row>
    <row r="242" spans="1:12">
      <c r="A242" s="81" t="s">
        <v>151</v>
      </c>
      <c r="B242" s="70" t="s">
        <v>369</v>
      </c>
      <c r="C242" s="271">
        <f>VLOOKUP($A$8:$A$1487,'[7]MFP''s'!A$8:C$1502,3,FALSE)</f>
        <v>200</v>
      </c>
      <c r="D242" s="364">
        <v>95</v>
      </c>
      <c r="E242" s="274">
        <f t="shared" si="14"/>
        <v>0.52500000000000002</v>
      </c>
      <c r="F242" s="196">
        <f t="shared" si="15"/>
        <v>3.56915</v>
      </c>
      <c r="G242" s="196">
        <f t="shared" si="16"/>
        <v>2.8167499999999999</v>
      </c>
      <c r="H242" s="199">
        <f t="shared" si="17"/>
        <v>2.37785</v>
      </c>
    </row>
    <row r="243" spans="1:12" ht="30">
      <c r="A243" s="81" t="s">
        <v>153</v>
      </c>
      <c r="B243" s="70" t="s">
        <v>370</v>
      </c>
      <c r="C243" s="271">
        <f>VLOOKUP($A$8:$A$1487,'[7]MFP''s'!A$8:C$1502,3,FALSE)</f>
        <v>279</v>
      </c>
      <c r="D243" s="364">
        <v>133</v>
      </c>
      <c r="E243" s="274">
        <f t="shared" si="14"/>
        <v>0.52329749103942658</v>
      </c>
      <c r="F243" s="196">
        <f t="shared" si="15"/>
        <v>4.99681</v>
      </c>
      <c r="G243" s="196">
        <f t="shared" si="16"/>
        <v>3.9434499999999999</v>
      </c>
      <c r="H243" s="199">
        <f t="shared" si="17"/>
        <v>3.3289900000000001</v>
      </c>
    </row>
    <row r="244" spans="1:12">
      <c r="A244" s="81" t="s">
        <v>164</v>
      </c>
      <c r="B244" s="70" t="s">
        <v>371</v>
      </c>
      <c r="C244" s="271">
        <f>VLOOKUP($A$8:$A$1487,'[7]MFP''s'!A$8:C$1502,3,FALSE)</f>
        <v>1225</v>
      </c>
      <c r="D244" s="364">
        <v>581</v>
      </c>
      <c r="E244" s="274">
        <f t="shared" si="14"/>
        <v>0.52571428571428569</v>
      </c>
      <c r="F244" s="196">
        <f t="shared" si="15"/>
        <v>21.82817</v>
      </c>
      <c r="G244" s="196">
        <f t="shared" si="16"/>
        <v>17.226649999999999</v>
      </c>
      <c r="H244" s="199">
        <f t="shared" si="17"/>
        <v>14.54243</v>
      </c>
    </row>
    <row r="245" spans="1:12" ht="30">
      <c r="A245" s="81" t="s">
        <v>149</v>
      </c>
      <c r="B245" s="70" t="s">
        <v>372</v>
      </c>
      <c r="C245" s="271">
        <f>VLOOKUP($A$8:$A$1487,'[7]MFP''s'!A$8:C$1502,3,FALSE)</f>
        <v>60</v>
      </c>
      <c r="D245" s="364">
        <v>29</v>
      </c>
      <c r="E245" s="274">
        <f t="shared" si="14"/>
        <v>0.51666666666666661</v>
      </c>
      <c r="F245" s="196">
        <f t="shared" si="15"/>
        <v>1.0895299999999999</v>
      </c>
      <c r="G245" s="196">
        <f t="shared" si="16"/>
        <v>0.85985</v>
      </c>
      <c r="H245" s="199">
        <f t="shared" si="17"/>
        <v>0.72587000000000002</v>
      </c>
    </row>
    <row r="246" spans="1:12" s="173" customFormat="1">
      <c r="A246" s="194" t="s">
        <v>385</v>
      </c>
      <c r="B246" s="88" t="s">
        <v>386</v>
      </c>
      <c r="C246" s="271">
        <f>VLOOKUP($A$8:$A$1487,'[7]MFP''s'!A$8:C$1502,3,FALSE)</f>
        <v>275</v>
      </c>
      <c r="D246" s="364">
        <v>227</v>
      </c>
      <c r="E246" s="274">
        <f t="shared" si="14"/>
        <v>0.17454545454545456</v>
      </c>
      <c r="F246" s="196">
        <f t="shared" si="15"/>
        <v>8.5283899999999999</v>
      </c>
      <c r="G246" s="196">
        <f t="shared" si="16"/>
        <v>6.73055</v>
      </c>
      <c r="H246" s="199">
        <f t="shared" si="17"/>
        <v>5.6818100000000005</v>
      </c>
      <c r="J246" s="172"/>
      <c r="K246" s="172"/>
      <c r="L246" s="172"/>
    </row>
    <row r="247" spans="1:12">
      <c r="A247" s="81" t="s">
        <v>158</v>
      </c>
      <c r="B247" s="70" t="s">
        <v>373</v>
      </c>
      <c r="C247" s="271">
        <f>VLOOKUP($A$8:$A$1487,'[7]MFP''s'!A$8:C$1502,3,FALSE)</f>
        <v>123</v>
      </c>
      <c r="D247" s="364">
        <v>59</v>
      </c>
      <c r="E247" s="274">
        <f t="shared" si="14"/>
        <v>0.52032520325203246</v>
      </c>
      <c r="F247" s="196">
        <f t="shared" si="15"/>
        <v>2.2166299999999999</v>
      </c>
      <c r="G247" s="196">
        <f t="shared" si="16"/>
        <v>1.74935</v>
      </c>
      <c r="H247" s="199">
        <f t="shared" si="17"/>
        <v>1.4767699999999999</v>
      </c>
    </row>
    <row r="248" spans="1:12">
      <c r="A248" s="81" t="s">
        <v>156</v>
      </c>
      <c r="B248" s="70" t="s">
        <v>157</v>
      </c>
      <c r="C248" s="271">
        <f>VLOOKUP($A$8:$A$1487,'[7]MFP''s'!A$8:C$1502,3,FALSE)</f>
        <v>126</v>
      </c>
      <c r="D248" s="364">
        <v>60</v>
      </c>
      <c r="E248" s="274">
        <f t="shared" si="14"/>
        <v>0.52380952380952384</v>
      </c>
      <c r="F248" s="196">
        <f t="shared" si="15"/>
        <v>2.2542</v>
      </c>
      <c r="G248" s="196">
        <f t="shared" si="16"/>
        <v>1.7789999999999999</v>
      </c>
      <c r="H248" s="199">
        <f t="shared" si="17"/>
        <v>1.5018</v>
      </c>
    </row>
    <row r="249" spans="1:12">
      <c r="A249" s="81">
        <v>7640013463</v>
      </c>
      <c r="B249" s="70" t="s">
        <v>55</v>
      </c>
      <c r="C249" s="271">
        <f>VLOOKUP($A$8:$A$1487,'[7]MFP''s'!A$8:C$1502,3,FALSE)</f>
        <v>317</v>
      </c>
      <c r="D249" s="364">
        <v>151</v>
      </c>
      <c r="E249" s="274">
        <f t="shared" si="14"/>
        <v>0.52365930599369093</v>
      </c>
      <c r="F249" s="196">
        <f t="shared" si="15"/>
        <v>5.6730700000000001</v>
      </c>
      <c r="G249" s="196">
        <f t="shared" si="16"/>
        <v>4.47715</v>
      </c>
      <c r="H249" s="199">
        <f t="shared" si="17"/>
        <v>3.7795299999999998</v>
      </c>
    </row>
    <row r="250" spans="1:12">
      <c r="A250" s="81" t="s">
        <v>147</v>
      </c>
      <c r="B250" s="70" t="s">
        <v>148</v>
      </c>
      <c r="C250" s="271">
        <f>VLOOKUP($A$8:$A$1487,'[7]MFP''s'!A$8:C$1502,3,FALSE)</f>
        <v>846</v>
      </c>
      <c r="D250" s="364">
        <v>401</v>
      </c>
      <c r="E250" s="274">
        <f t="shared" si="14"/>
        <v>0.52600472813238763</v>
      </c>
      <c r="F250" s="196">
        <f t="shared" si="15"/>
        <v>15.065569999999999</v>
      </c>
      <c r="G250" s="196">
        <f t="shared" si="16"/>
        <v>11.88965</v>
      </c>
      <c r="H250" s="199">
        <f t="shared" si="17"/>
        <v>10.03703</v>
      </c>
    </row>
    <row r="251" spans="1:12">
      <c r="A251" s="64" t="s">
        <v>342</v>
      </c>
      <c r="B251" s="61"/>
      <c r="C251" s="271"/>
      <c r="D251" s="364"/>
      <c r="E251" s="274"/>
      <c r="F251" s="196"/>
      <c r="G251" s="196"/>
      <c r="H251" s="199"/>
    </row>
    <row r="252" spans="1:12">
      <c r="A252" s="71" t="s">
        <v>168</v>
      </c>
      <c r="B252" s="61" t="s">
        <v>169</v>
      </c>
      <c r="C252" s="271">
        <f>VLOOKUP($A$8:$A$1487,'[7]MFP''s'!A$8:C$1502,3,FALSE)</f>
        <v>250</v>
      </c>
      <c r="D252" s="364">
        <v>250</v>
      </c>
      <c r="E252" s="274">
        <f t="shared" ref="E252:E315" si="18">100%-(D252/C252)</f>
        <v>0</v>
      </c>
      <c r="F252" s="196">
        <f t="shared" si="15"/>
        <v>9.3925000000000001</v>
      </c>
      <c r="G252" s="196">
        <f t="shared" si="16"/>
        <v>7.4124999999999996</v>
      </c>
      <c r="H252" s="199">
        <f t="shared" si="17"/>
        <v>6.2575000000000003</v>
      </c>
    </row>
    <row r="253" spans="1:12">
      <c r="A253" s="212"/>
      <c r="B253" s="213"/>
      <c r="C253" s="214"/>
      <c r="D253" s="360"/>
      <c r="E253" s="215"/>
      <c r="F253" s="215"/>
      <c r="G253" s="215"/>
      <c r="H253" s="216"/>
    </row>
    <row r="254" spans="1:12" s="173" customFormat="1" ht="105">
      <c r="A254" s="218" t="s">
        <v>173</v>
      </c>
      <c r="B254" s="219" t="s">
        <v>679</v>
      </c>
      <c r="C254" s="271">
        <f>VLOOKUP($A$8:$A$1487,'[7]MFP''s'!A$8:C$1502,3,FALSE)</f>
        <v>12617</v>
      </c>
      <c r="D254" s="364">
        <v>5975</v>
      </c>
      <c r="E254" s="274">
        <f t="shared" si="18"/>
        <v>0.52643259094871997</v>
      </c>
      <c r="F254" s="196">
        <f t="shared" si="15"/>
        <v>224.48075</v>
      </c>
      <c r="G254" s="196">
        <f t="shared" si="16"/>
        <v>177.15875</v>
      </c>
      <c r="H254" s="199">
        <f t="shared" si="17"/>
        <v>149.55425</v>
      </c>
      <c r="J254" s="172"/>
      <c r="K254" s="172"/>
      <c r="L254" s="172"/>
    </row>
    <row r="255" spans="1:12">
      <c r="A255" s="195" t="s">
        <v>384</v>
      </c>
      <c r="B255" s="197"/>
      <c r="C255" s="271"/>
      <c r="D255" s="357"/>
      <c r="E255" s="274"/>
      <c r="F255" s="196"/>
      <c r="G255" s="196"/>
      <c r="H255" s="199"/>
    </row>
    <row r="256" spans="1:12">
      <c r="A256" s="66" t="s">
        <v>345</v>
      </c>
      <c r="B256" s="67"/>
      <c r="C256" s="271"/>
      <c r="D256" s="364"/>
      <c r="E256" s="274"/>
      <c r="F256" s="196"/>
      <c r="G256" s="196"/>
      <c r="H256" s="199"/>
    </row>
    <row r="257" spans="1:8">
      <c r="A257" s="68" t="s">
        <v>176</v>
      </c>
      <c r="B257" s="67" t="s">
        <v>177</v>
      </c>
      <c r="C257" s="271">
        <f>VLOOKUP($A$8:$A$1487,'[7]MFP''s'!A$8:C$1502,3,FALSE)</f>
        <v>1781</v>
      </c>
      <c r="D257" s="364">
        <v>844</v>
      </c>
      <c r="E257" s="274">
        <f t="shared" si="18"/>
        <v>0.52610892756878158</v>
      </c>
      <c r="F257" s="196">
        <f t="shared" ref="F257:F258" si="19">D257*$F$1</f>
        <v>31.70908</v>
      </c>
      <c r="G257" s="196">
        <f t="shared" ref="G257:G258" si="20">D257*$G$1</f>
        <v>25.0246</v>
      </c>
      <c r="H257" s="199">
        <f t="shared" ref="H257:H258" si="21">D257*$H$1</f>
        <v>21.125319999999999</v>
      </c>
    </row>
    <row r="258" spans="1:8">
      <c r="A258" s="68" t="s">
        <v>174</v>
      </c>
      <c r="B258" s="67" t="s">
        <v>175</v>
      </c>
      <c r="C258" s="271">
        <f>VLOOKUP($A$8:$A$1487,'[7]MFP''s'!A$8:C$1502,3,FALSE)</f>
        <v>3339</v>
      </c>
      <c r="D258" s="364">
        <v>1582</v>
      </c>
      <c r="E258" s="274">
        <f t="shared" si="18"/>
        <v>0.52620545073375258</v>
      </c>
      <c r="F258" s="196">
        <f t="shared" si="19"/>
        <v>59.435739999999996</v>
      </c>
      <c r="G258" s="196">
        <f t="shared" si="20"/>
        <v>46.906300000000002</v>
      </c>
      <c r="H258" s="199">
        <f t="shared" si="21"/>
        <v>39.597459999999998</v>
      </c>
    </row>
    <row r="259" spans="1:8">
      <c r="A259" s="68" t="s">
        <v>100</v>
      </c>
      <c r="B259" s="67" t="s">
        <v>101</v>
      </c>
      <c r="C259" s="271">
        <f>VLOOKUP($A$8:$A$1487,'[7]MFP''s'!A$8:C$1502,3,FALSE)</f>
        <v>1402</v>
      </c>
      <c r="D259" s="364">
        <v>664</v>
      </c>
      <c r="E259" s="274">
        <f t="shared" si="18"/>
        <v>0.52639087018544939</v>
      </c>
      <c r="F259" s="196">
        <f t="shared" ref="F259:F321" si="22">D259*$F$1</f>
        <v>24.946480000000001</v>
      </c>
      <c r="G259" s="196">
        <f t="shared" si="16"/>
        <v>19.6876</v>
      </c>
      <c r="H259" s="199">
        <f t="shared" si="17"/>
        <v>16.61992</v>
      </c>
    </row>
    <row r="260" spans="1:8">
      <c r="A260" s="68" t="s">
        <v>104</v>
      </c>
      <c r="B260" s="67" t="s">
        <v>105</v>
      </c>
      <c r="C260" s="271">
        <f>VLOOKUP($A$8:$A$1487,'[7]MFP''s'!A$8:C$1502,3,FALSE)</f>
        <v>913</v>
      </c>
      <c r="D260" s="364">
        <v>433</v>
      </c>
      <c r="E260" s="274">
        <f t="shared" si="18"/>
        <v>0.52573932092004383</v>
      </c>
      <c r="F260" s="196">
        <f t="shared" si="22"/>
        <v>16.267810000000001</v>
      </c>
      <c r="G260" s="196">
        <f t="shared" si="16"/>
        <v>12.83845</v>
      </c>
      <c r="H260" s="199">
        <f t="shared" si="17"/>
        <v>10.83799</v>
      </c>
    </row>
    <row r="261" spans="1:8">
      <c r="A261" s="68" t="s">
        <v>102</v>
      </c>
      <c r="B261" s="70" t="s">
        <v>103</v>
      </c>
      <c r="C261" s="271">
        <f>VLOOKUP($A$8:$A$1487,'[7]MFP''s'!A$8:C$1502,3,FALSE)</f>
        <v>1191</v>
      </c>
      <c r="D261" s="364">
        <v>564</v>
      </c>
      <c r="E261" s="274">
        <f t="shared" si="18"/>
        <v>0.52644836272040307</v>
      </c>
      <c r="F261" s="196">
        <f t="shared" si="22"/>
        <v>21.18948</v>
      </c>
      <c r="G261" s="196">
        <f t="shared" si="16"/>
        <v>16.7226</v>
      </c>
      <c r="H261" s="199">
        <f t="shared" si="17"/>
        <v>14.11692</v>
      </c>
    </row>
    <row r="262" spans="1:8">
      <c r="A262" s="68" t="s">
        <v>382</v>
      </c>
      <c r="B262" s="67" t="s">
        <v>383</v>
      </c>
      <c r="C262" s="271">
        <f>VLOOKUP($A$8:$A$1487,'[7]MFP''s'!A$8:C$1502,3,FALSE)</f>
        <v>222</v>
      </c>
      <c r="D262" s="364">
        <v>106</v>
      </c>
      <c r="E262" s="274">
        <f t="shared" si="18"/>
        <v>0.52252252252252251</v>
      </c>
      <c r="F262" s="196">
        <f t="shared" si="22"/>
        <v>3.9824199999999998</v>
      </c>
      <c r="G262" s="196">
        <f t="shared" si="16"/>
        <v>3.1429</v>
      </c>
      <c r="H262" s="199">
        <f t="shared" si="17"/>
        <v>2.6531799999999999</v>
      </c>
    </row>
    <row r="263" spans="1:8">
      <c r="A263" s="66" t="s">
        <v>346</v>
      </c>
      <c r="B263" s="70"/>
      <c r="C263" s="271"/>
      <c r="D263" s="364"/>
      <c r="E263" s="274"/>
      <c r="F263" s="196"/>
      <c r="G263" s="196"/>
      <c r="H263" s="199"/>
    </row>
    <row r="264" spans="1:8">
      <c r="A264" s="81" t="s">
        <v>109</v>
      </c>
      <c r="B264" s="70" t="s">
        <v>110</v>
      </c>
      <c r="C264" s="271">
        <f>VLOOKUP($A$8:$A$1487,'[7]MFP''s'!A$8:C$1502,3,FALSE)</f>
        <v>1553</v>
      </c>
      <c r="D264" s="364">
        <v>736</v>
      </c>
      <c r="E264" s="274">
        <f t="shared" si="18"/>
        <v>0.5260785576303928</v>
      </c>
      <c r="F264" s="196">
        <f t="shared" si="22"/>
        <v>27.651519999999998</v>
      </c>
      <c r="G264" s="196">
        <f t="shared" si="16"/>
        <v>21.822399999999998</v>
      </c>
      <c r="H264" s="199">
        <f t="shared" si="17"/>
        <v>18.422080000000001</v>
      </c>
    </row>
    <row r="265" spans="1:8">
      <c r="A265" s="81" t="s">
        <v>107</v>
      </c>
      <c r="B265" s="70" t="s">
        <v>108</v>
      </c>
      <c r="C265" s="271">
        <f>VLOOKUP($A$8:$A$1487,'[7]MFP''s'!A$8:C$1502,3,FALSE)</f>
        <v>500</v>
      </c>
      <c r="D265" s="364">
        <v>237</v>
      </c>
      <c r="E265" s="274">
        <f t="shared" si="18"/>
        <v>0.52600000000000002</v>
      </c>
      <c r="F265" s="196">
        <f t="shared" si="22"/>
        <v>8.9040900000000001</v>
      </c>
      <c r="G265" s="196">
        <f t="shared" si="16"/>
        <v>7.02705</v>
      </c>
      <c r="H265" s="199">
        <f t="shared" si="17"/>
        <v>5.9321099999999998</v>
      </c>
    </row>
    <row r="266" spans="1:8">
      <c r="A266" s="82" t="s">
        <v>180</v>
      </c>
      <c r="B266" s="67" t="s">
        <v>181</v>
      </c>
      <c r="C266" s="271">
        <f>VLOOKUP($A$8:$A$1487,'[7]MFP''s'!A$8:C$1502,3,FALSE)</f>
        <v>111</v>
      </c>
      <c r="D266" s="364">
        <v>53</v>
      </c>
      <c r="E266" s="274">
        <f t="shared" si="18"/>
        <v>0.52252252252252251</v>
      </c>
      <c r="F266" s="196">
        <f t="shared" si="22"/>
        <v>1.9912099999999999</v>
      </c>
      <c r="G266" s="196">
        <f t="shared" ref="G266:G329" si="23">D266*$G$1</f>
        <v>1.57145</v>
      </c>
      <c r="H266" s="199">
        <f t="shared" ref="H266:H329" si="24">D266*$H$1</f>
        <v>1.3265899999999999</v>
      </c>
    </row>
    <row r="267" spans="1:8" ht="30">
      <c r="A267" s="330" t="s">
        <v>748</v>
      </c>
      <c r="B267" s="70" t="s">
        <v>783</v>
      </c>
      <c r="C267" s="271">
        <v>1855</v>
      </c>
      <c r="D267" s="364">
        <v>879</v>
      </c>
      <c r="E267" s="274">
        <f t="shared" si="18"/>
        <v>0.52614555256064688</v>
      </c>
      <c r="F267" s="196">
        <f t="shared" si="22"/>
        <v>33.024029999999996</v>
      </c>
      <c r="G267" s="196">
        <f t="shared" si="23"/>
        <v>26.062349999999999</v>
      </c>
      <c r="H267" s="199">
        <f t="shared" si="24"/>
        <v>22.001370000000001</v>
      </c>
    </row>
    <row r="268" spans="1:8" ht="30">
      <c r="A268" s="330" t="s">
        <v>750</v>
      </c>
      <c r="B268" s="331" t="s">
        <v>784</v>
      </c>
      <c r="C268" s="332">
        <v>3305</v>
      </c>
      <c r="D268" s="364">
        <v>1566</v>
      </c>
      <c r="E268" s="274">
        <f t="shared" si="18"/>
        <v>0.52617246596066569</v>
      </c>
      <c r="F268" s="196">
        <f t="shared" si="22"/>
        <v>58.834620000000001</v>
      </c>
      <c r="G268" s="196">
        <f t="shared" si="23"/>
        <v>46.431899999999999</v>
      </c>
      <c r="H268" s="199">
        <f t="shared" si="24"/>
        <v>39.196980000000003</v>
      </c>
    </row>
    <row r="269" spans="1:8">
      <c r="A269" s="81" t="s">
        <v>113</v>
      </c>
      <c r="B269" s="70" t="s">
        <v>347</v>
      </c>
      <c r="C269" s="271">
        <f>VLOOKUP($A$8:$A$1487,'[7]MFP''s'!A$8:C$1502,3,FALSE)</f>
        <v>586</v>
      </c>
      <c r="D269" s="364">
        <v>278</v>
      </c>
      <c r="E269" s="274">
        <f t="shared" si="18"/>
        <v>0.52559726962457343</v>
      </c>
      <c r="F269" s="196">
        <f t="shared" si="22"/>
        <v>10.444459999999999</v>
      </c>
      <c r="G269" s="196">
        <f t="shared" si="23"/>
        <v>8.2426999999999992</v>
      </c>
      <c r="H269" s="199">
        <f t="shared" si="24"/>
        <v>6.9583399999999997</v>
      </c>
    </row>
    <row r="270" spans="1:8">
      <c r="A270" s="81" t="s">
        <v>111</v>
      </c>
      <c r="B270" s="70" t="s">
        <v>112</v>
      </c>
      <c r="C270" s="271">
        <f>VLOOKUP($A$8:$A$1487,'[7]MFP''s'!A$8:C$1502,3,FALSE)</f>
        <v>585</v>
      </c>
      <c r="D270" s="364">
        <v>278</v>
      </c>
      <c r="E270" s="274">
        <f t="shared" si="18"/>
        <v>0.52478632478632481</v>
      </c>
      <c r="F270" s="196">
        <f t="shared" si="22"/>
        <v>10.444459999999999</v>
      </c>
      <c r="G270" s="196">
        <f t="shared" si="23"/>
        <v>8.2426999999999992</v>
      </c>
      <c r="H270" s="199">
        <f t="shared" si="24"/>
        <v>6.9583399999999997</v>
      </c>
    </row>
    <row r="271" spans="1:8">
      <c r="A271" s="66" t="s">
        <v>348</v>
      </c>
      <c r="B271" s="70"/>
      <c r="C271" s="271"/>
      <c r="D271" s="364"/>
      <c r="E271" s="274"/>
      <c r="F271" s="196"/>
      <c r="G271" s="196"/>
      <c r="H271" s="199"/>
    </row>
    <row r="272" spans="1:8">
      <c r="A272" s="68">
        <v>4614506</v>
      </c>
      <c r="B272" s="70" t="s">
        <v>117</v>
      </c>
      <c r="C272" s="271">
        <f>VLOOKUP($A$8:$A$1487,'[7]MFP''s'!A$8:C$1502,3,FALSE)</f>
        <v>48</v>
      </c>
      <c r="D272" s="364">
        <v>23</v>
      </c>
      <c r="E272" s="274">
        <f t="shared" si="18"/>
        <v>0.52083333333333326</v>
      </c>
      <c r="F272" s="196">
        <f t="shared" si="22"/>
        <v>0.86410999999999993</v>
      </c>
      <c r="G272" s="196">
        <f t="shared" si="23"/>
        <v>0.68194999999999995</v>
      </c>
      <c r="H272" s="199">
        <f t="shared" si="24"/>
        <v>0.57569000000000004</v>
      </c>
    </row>
    <row r="273" spans="1:8">
      <c r="A273" s="68">
        <v>4614511</v>
      </c>
      <c r="B273" s="70" t="s">
        <v>349</v>
      </c>
      <c r="C273" s="271">
        <f>VLOOKUP($A$8:$A$1487,'[7]MFP''s'!A$8:C$1502,3,FALSE)</f>
        <v>27</v>
      </c>
      <c r="D273" s="364">
        <v>13</v>
      </c>
      <c r="E273" s="274">
        <f t="shared" si="18"/>
        <v>0.5185185185185186</v>
      </c>
      <c r="F273" s="196">
        <f t="shared" si="22"/>
        <v>0.48841000000000001</v>
      </c>
      <c r="G273" s="196">
        <f t="shared" si="23"/>
        <v>0.38545000000000001</v>
      </c>
      <c r="H273" s="199">
        <f t="shared" si="24"/>
        <v>0.32539000000000001</v>
      </c>
    </row>
    <row r="274" spans="1:8">
      <c r="A274" s="81" t="s">
        <v>121</v>
      </c>
      <c r="B274" s="70" t="s">
        <v>350</v>
      </c>
      <c r="C274" s="271">
        <f>VLOOKUP($A$8:$A$1487,'[7]MFP''s'!A$8:C$1502,3,FALSE)</f>
        <v>1068</v>
      </c>
      <c r="D274" s="364">
        <v>506</v>
      </c>
      <c r="E274" s="274">
        <f t="shared" si="18"/>
        <v>0.52621722846441954</v>
      </c>
      <c r="F274" s="196">
        <f t="shared" si="22"/>
        <v>19.01042</v>
      </c>
      <c r="G274" s="196">
        <f t="shared" si="23"/>
        <v>15.0029</v>
      </c>
      <c r="H274" s="199">
        <f t="shared" si="24"/>
        <v>12.665179999999999</v>
      </c>
    </row>
    <row r="275" spans="1:8">
      <c r="A275" s="81" t="s">
        <v>115</v>
      </c>
      <c r="B275" s="67" t="s">
        <v>116</v>
      </c>
      <c r="C275" s="271">
        <f>VLOOKUP($A$8:$A$1487,'[7]MFP''s'!A$8:C$1502,3,FALSE)</f>
        <v>1070</v>
      </c>
      <c r="D275" s="364">
        <v>507</v>
      </c>
      <c r="E275" s="274">
        <f t="shared" si="18"/>
        <v>0.5261682242990654</v>
      </c>
      <c r="F275" s="196">
        <f t="shared" si="22"/>
        <v>19.047989999999999</v>
      </c>
      <c r="G275" s="196">
        <f t="shared" si="23"/>
        <v>15.032549999999999</v>
      </c>
      <c r="H275" s="199">
        <f t="shared" si="24"/>
        <v>12.69021</v>
      </c>
    </row>
    <row r="276" spans="1:8">
      <c r="A276" s="81" t="s">
        <v>119</v>
      </c>
      <c r="B276" s="70" t="s">
        <v>351</v>
      </c>
      <c r="C276" s="271">
        <f>VLOOKUP($A$8:$A$1487,'[7]MFP''s'!A$8:C$1502,3,FALSE)</f>
        <v>120</v>
      </c>
      <c r="D276" s="364">
        <v>57</v>
      </c>
      <c r="E276" s="274">
        <f t="shared" si="18"/>
        <v>0.52500000000000002</v>
      </c>
      <c r="F276" s="196">
        <f t="shared" si="22"/>
        <v>2.1414900000000001</v>
      </c>
      <c r="G276" s="196">
        <f t="shared" si="23"/>
        <v>1.6900500000000001</v>
      </c>
      <c r="H276" s="199">
        <f t="shared" si="24"/>
        <v>1.4267099999999999</v>
      </c>
    </row>
    <row r="277" spans="1:8">
      <c r="A277" s="66" t="s">
        <v>352</v>
      </c>
      <c r="B277" s="70"/>
      <c r="C277" s="271"/>
      <c r="D277" s="364"/>
      <c r="E277" s="274"/>
      <c r="F277" s="196"/>
      <c r="G277" s="196"/>
      <c r="H277" s="199"/>
    </row>
    <row r="278" spans="1:8">
      <c r="A278" s="81">
        <v>7640005064</v>
      </c>
      <c r="B278" s="70" t="s">
        <v>67</v>
      </c>
      <c r="C278" s="271">
        <f>VLOOKUP($A$8:$A$1487,'[7]MFP''s'!A$8:C$1502,3,FALSE)</f>
        <v>423</v>
      </c>
      <c r="D278" s="364">
        <v>201</v>
      </c>
      <c r="E278" s="274">
        <f t="shared" si="18"/>
        <v>0.52482269503546097</v>
      </c>
      <c r="F278" s="196">
        <f t="shared" si="22"/>
        <v>7.5515699999999999</v>
      </c>
      <c r="G278" s="196">
        <f t="shared" si="23"/>
        <v>5.9596499999999999</v>
      </c>
      <c r="H278" s="199">
        <f t="shared" si="24"/>
        <v>5.0310300000000003</v>
      </c>
    </row>
    <row r="279" spans="1:8">
      <c r="A279" s="83">
        <v>7640005261</v>
      </c>
      <c r="B279" s="70" t="s">
        <v>353</v>
      </c>
      <c r="C279" s="271">
        <f>VLOOKUP($A$8:$A$1487,'[7]MFP''s'!A$8:C$1502,3,FALSE)</f>
        <v>69</v>
      </c>
      <c r="D279" s="364">
        <v>33</v>
      </c>
      <c r="E279" s="274">
        <f t="shared" si="18"/>
        <v>0.52173913043478259</v>
      </c>
      <c r="F279" s="196">
        <f t="shared" si="22"/>
        <v>1.2398100000000001</v>
      </c>
      <c r="G279" s="196">
        <f t="shared" si="23"/>
        <v>0.97844999999999993</v>
      </c>
      <c r="H279" s="199">
        <f t="shared" si="24"/>
        <v>0.82599</v>
      </c>
    </row>
    <row r="280" spans="1:8">
      <c r="A280" s="81">
        <v>7640008394</v>
      </c>
      <c r="B280" s="70" t="s">
        <v>354</v>
      </c>
      <c r="C280" s="271">
        <f>VLOOKUP($A$8:$A$1487,'[7]MFP''s'!A$8:C$1502,3,FALSE)</f>
        <v>476</v>
      </c>
      <c r="D280" s="364">
        <v>226</v>
      </c>
      <c r="E280" s="274">
        <f t="shared" si="18"/>
        <v>0.52521008403361347</v>
      </c>
      <c r="F280" s="196">
        <f t="shared" si="22"/>
        <v>8.4908199999999994</v>
      </c>
      <c r="G280" s="196">
        <f t="shared" si="23"/>
        <v>6.7008999999999999</v>
      </c>
      <c r="H280" s="199">
        <f t="shared" si="24"/>
        <v>5.6567800000000004</v>
      </c>
    </row>
    <row r="281" spans="1:8">
      <c r="A281" s="68">
        <v>7640013468</v>
      </c>
      <c r="B281" s="70" t="s">
        <v>146</v>
      </c>
      <c r="C281" s="271">
        <f>VLOOKUP($A$8:$A$1487,'[7]MFP''s'!A$8:C$1502,3,FALSE)</f>
        <v>423</v>
      </c>
      <c r="D281" s="364">
        <v>201</v>
      </c>
      <c r="E281" s="274">
        <f t="shared" si="18"/>
        <v>0.52482269503546097</v>
      </c>
      <c r="F281" s="196">
        <f t="shared" si="22"/>
        <v>7.5515699999999999</v>
      </c>
      <c r="G281" s="196">
        <f t="shared" si="23"/>
        <v>5.9596499999999999</v>
      </c>
      <c r="H281" s="199">
        <f t="shared" si="24"/>
        <v>5.0310300000000003</v>
      </c>
    </row>
    <row r="282" spans="1:8">
      <c r="A282" s="66" t="s">
        <v>355</v>
      </c>
      <c r="B282" s="70"/>
      <c r="C282" s="271"/>
      <c r="D282" s="364"/>
      <c r="E282" s="274"/>
      <c r="F282" s="196"/>
      <c r="G282" s="196"/>
      <c r="H282" s="199"/>
    </row>
    <row r="283" spans="1:8">
      <c r="A283" s="68">
        <v>7640006869</v>
      </c>
      <c r="B283" s="70" t="s">
        <v>155</v>
      </c>
      <c r="C283" s="271">
        <f>VLOOKUP($A$8:$A$1487,'[7]MFP''s'!A$8:C$1502,3,FALSE)</f>
        <v>223</v>
      </c>
      <c r="D283" s="364">
        <v>106</v>
      </c>
      <c r="E283" s="274">
        <f t="shared" si="18"/>
        <v>0.5246636771300448</v>
      </c>
      <c r="F283" s="196">
        <f t="shared" si="22"/>
        <v>3.9824199999999998</v>
      </c>
      <c r="G283" s="196">
        <f t="shared" si="23"/>
        <v>3.1429</v>
      </c>
      <c r="H283" s="199">
        <f t="shared" si="24"/>
        <v>2.6531799999999999</v>
      </c>
    </row>
    <row r="284" spans="1:8" ht="30">
      <c r="A284" s="81" t="s">
        <v>126</v>
      </c>
      <c r="B284" s="70" t="s">
        <v>356</v>
      </c>
      <c r="C284" s="271">
        <f>VLOOKUP($A$8:$A$1487,'[7]MFP''s'!A$8:C$1502,3,FALSE)</f>
        <v>1100</v>
      </c>
      <c r="D284" s="364">
        <v>521</v>
      </c>
      <c r="E284" s="274">
        <f t="shared" si="18"/>
        <v>0.52636363636363637</v>
      </c>
      <c r="F284" s="196">
        <f t="shared" si="22"/>
        <v>19.573969999999999</v>
      </c>
      <c r="G284" s="196">
        <f t="shared" si="23"/>
        <v>15.447649999999999</v>
      </c>
      <c r="H284" s="199">
        <f t="shared" si="24"/>
        <v>13.04063</v>
      </c>
    </row>
    <row r="285" spans="1:8">
      <c r="A285" s="81" t="s">
        <v>128</v>
      </c>
      <c r="B285" s="70" t="s">
        <v>357</v>
      </c>
      <c r="C285" s="271">
        <f>VLOOKUP($A$8:$A$1487,'[7]MFP''s'!A$8:C$1502,3,FALSE)</f>
        <v>785</v>
      </c>
      <c r="D285" s="364">
        <v>372</v>
      </c>
      <c r="E285" s="274">
        <f t="shared" si="18"/>
        <v>0.52611464968152866</v>
      </c>
      <c r="F285" s="196">
        <f t="shared" si="22"/>
        <v>13.976039999999999</v>
      </c>
      <c r="G285" s="196">
        <f t="shared" si="23"/>
        <v>11.0298</v>
      </c>
      <c r="H285" s="199">
        <f t="shared" si="24"/>
        <v>9.3111599999999992</v>
      </c>
    </row>
    <row r="286" spans="1:8">
      <c r="A286" s="81" t="s">
        <v>130</v>
      </c>
      <c r="B286" s="70" t="s">
        <v>358</v>
      </c>
      <c r="C286" s="271">
        <f>VLOOKUP($A$8:$A$1487,'[7]MFP''s'!A$8:C$1502,3,FALSE)</f>
        <v>668</v>
      </c>
      <c r="D286" s="364">
        <v>317</v>
      </c>
      <c r="E286" s="274">
        <f t="shared" si="18"/>
        <v>0.52544910179640714</v>
      </c>
      <c r="F286" s="196">
        <f t="shared" si="22"/>
        <v>11.909689999999999</v>
      </c>
      <c r="G286" s="196">
        <f t="shared" si="23"/>
        <v>9.399049999999999</v>
      </c>
      <c r="H286" s="199">
        <f t="shared" si="24"/>
        <v>7.9345100000000004</v>
      </c>
    </row>
    <row r="287" spans="1:8">
      <c r="A287" s="81" t="s">
        <v>132</v>
      </c>
      <c r="B287" s="70" t="s">
        <v>359</v>
      </c>
      <c r="C287" s="271">
        <f>VLOOKUP($A$8:$A$1487,'[7]MFP''s'!A$8:C$1502,3,FALSE)</f>
        <v>821</v>
      </c>
      <c r="D287" s="364">
        <v>389</v>
      </c>
      <c r="E287" s="274">
        <f t="shared" si="18"/>
        <v>0.52618757612667477</v>
      </c>
      <c r="F287" s="196">
        <f t="shared" si="22"/>
        <v>14.61473</v>
      </c>
      <c r="G287" s="196">
        <f t="shared" si="23"/>
        <v>11.533849999999999</v>
      </c>
      <c r="H287" s="199">
        <f t="shared" si="24"/>
        <v>9.7366700000000002</v>
      </c>
    </row>
    <row r="288" spans="1:8">
      <c r="A288" s="81" t="s">
        <v>134</v>
      </c>
      <c r="B288" s="70" t="s">
        <v>360</v>
      </c>
      <c r="C288" s="271">
        <f>VLOOKUP($A$8:$A$1487,'[7]MFP''s'!A$8:C$1502,3,FALSE)</f>
        <v>690</v>
      </c>
      <c r="D288" s="364">
        <v>327</v>
      </c>
      <c r="E288" s="274">
        <f t="shared" si="18"/>
        <v>0.5260869565217392</v>
      </c>
      <c r="F288" s="196">
        <f t="shared" si="22"/>
        <v>12.28539</v>
      </c>
      <c r="G288" s="196">
        <f t="shared" si="23"/>
        <v>9.695549999999999</v>
      </c>
      <c r="H288" s="199">
        <f t="shared" si="24"/>
        <v>8.1848100000000006</v>
      </c>
    </row>
    <row r="289" spans="1:12">
      <c r="A289" s="81" t="s">
        <v>136</v>
      </c>
      <c r="B289" s="70" t="s">
        <v>361</v>
      </c>
      <c r="C289" s="271">
        <f>VLOOKUP($A$8:$A$1487,'[7]MFP''s'!A$8:C$1502,3,FALSE)</f>
        <v>191</v>
      </c>
      <c r="D289" s="364">
        <v>91</v>
      </c>
      <c r="E289" s="274">
        <f t="shared" si="18"/>
        <v>0.52356020942408377</v>
      </c>
      <c r="F289" s="196">
        <f t="shared" si="22"/>
        <v>3.4188700000000001</v>
      </c>
      <c r="G289" s="196">
        <f t="shared" si="23"/>
        <v>2.69815</v>
      </c>
      <c r="H289" s="199">
        <f t="shared" si="24"/>
        <v>2.27773</v>
      </c>
    </row>
    <row r="290" spans="1:12">
      <c r="A290" s="81" t="s">
        <v>124</v>
      </c>
      <c r="B290" s="70" t="s">
        <v>362</v>
      </c>
      <c r="C290" s="271">
        <f>VLOOKUP($A$8:$A$1487,'[7]MFP''s'!A$8:C$1502,3,FALSE)</f>
        <v>53</v>
      </c>
      <c r="D290" s="364">
        <v>26</v>
      </c>
      <c r="E290" s="274">
        <f t="shared" si="18"/>
        <v>0.50943396226415094</v>
      </c>
      <c r="F290" s="196">
        <f t="shared" si="22"/>
        <v>0.97682000000000002</v>
      </c>
      <c r="G290" s="196">
        <f t="shared" si="23"/>
        <v>0.77090000000000003</v>
      </c>
      <c r="H290" s="199">
        <f t="shared" si="24"/>
        <v>0.65078000000000003</v>
      </c>
    </row>
    <row r="291" spans="1:12" ht="30">
      <c r="A291" s="81" t="s">
        <v>138</v>
      </c>
      <c r="B291" s="70" t="s">
        <v>363</v>
      </c>
      <c r="C291" s="271">
        <f>VLOOKUP($A$8:$A$1487,'[7]MFP''s'!A$8:C$1502,3,FALSE)</f>
        <v>1500</v>
      </c>
      <c r="D291" s="364">
        <v>711</v>
      </c>
      <c r="E291" s="274">
        <f t="shared" si="18"/>
        <v>0.52600000000000002</v>
      </c>
      <c r="F291" s="196">
        <f t="shared" si="22"/>
        <v>26.71227</v>
      </c>
      <c r="G291" s="196">
        <f t="shared" si="23"/>
        <v>21.081150000000001</v>
      </c>
      <c r="H291" s="199">
        <f t="shared" si="24"/>
        <v>17.796330000000001</v>
      </c>
    </row>
    <row r="292" spans="1:12">
      <c r="A292" s="81" t="s">
        <v>140</v>
      </c>
      <c r="B292" s="67" t="s">
        <v>364</v>
      </c>
      <c r="C292" s="271">
        <f>VLOOKUP($A$8:$A$1487,'[7]MFP''s'!A$8:C$1502,3,FALSE)</f>
        <v>250</v>
      </c>
      <c r="D292" s="364">
        <v>119</v>
      </c>
      <c r="E292" s="274">
        <f t="shared" si="18"/>
        <v>0.52400000000000002</v>
      </c>
      <c r="F292" s="196">
        <f t="shared" si="22"/>
        <v>4.4708300000000003</v>
      </c>
      <c r="G292" s="196">
        <f t="shared" si="23"/>
        <v>3.5283500000000001</v>
      </c>
      <c r="H292" s="199">
        <f t="shared" si="24"/>
        <v>2.9785699999999999</v>
      </c>
    </row>
    <row r="293" spans="1:12">
      <c r="A293" s="81" t="s">
        <v>142</v>
      </c>
      <c r="B293" s="70" t="s">
        <v>368</v>
      </c>
      <c r="C293" s="271">
        <f>VLOOKUP($A$8:$A$1487,'[7]MFP''s'!A$8:C$1502,3,FALSE)</f>
        <v>290</v>
      </c>
      <c r="D293" s="364">
        <v>138</v>
      </c>
      <c r="E293" s="274">
        <f t="shared" si="18"/>
        <v>0.5241379310344827</v>
      </c>
      <c r="F293" s="196">
        <f t="shared" si="22"/>
        <v>5.18466</v>
      </c>
      <c r="G293" s="196">
        <f t="shared" si="23"/>
        <v>4.0917000000000003</v>
      </c>
      <c r="H293" s="199">
        <f t="shared" si="24"/>
        <v>3.4541400000000002</v>
      </c>
    </row>
    <row r="294" spans="1:12">
      <c r="A294" s="81" t="s">
        <v>160</v>
      </c>
      <c r="B294" s="70" t="s">
        <v>365</v>
      </c>
      <c r="C294" s="271">
        <f>VLOOKUP($A$8:$A$1487,'[7]MFP''s'!A$8:C$1502,3,FALSE)</f>
        <v>112</v>
      </c>
      <c r="D294" s="364">
        <v>54</v>
      </c>
      <c r="E294" s="274">
        <f t="shared" si="18"/>
        <v>0.51785714285714279</v>
      </c>
      <c r="F294" s="196">
        <f t="shared" si="22"/>
        <v>2.0287799999999998</v>
      </c>
      <c r="G294" s="196">
        <f t="shared" si="23"/>
        <v>1.6011</v>
      </c>
      <c r="H294" s="199">
        <f t="shared" si="24"/>
        <v>1.35162</v>
      </c>
    </row>
    <row r="295" spans="1:12">
      <c r="A295" s="81" t="s">
        <v>144</v>
      </c>
      <c r="B295" s="70" t="s">
        <v>366</v>
      </c>
      <c r="C295" s="271">
        <f>VLOOKUP($A$8:$A$1487,'[7]MFP''s'!A$8:C$1502,3,FALSE)</f>
        <v>947</v>
      </c>
      <c r="D295" s="364">
        <v>430</v>
      </c>
      <c r="E295" s="274">
        <f t="shared" si="18"/>
        <v>0.5459345300950369</v>
      </c>
      <c r="F295" s="196">
        <f t="shared" si="22"/>
        <v>16.155100000000001</v>
      </c>
      <c r="G295" s="196">
        <f t="shared" si="23"/>
        <v>12.749499999999999</v>
      </c>
      <c r="H295" s="199">
        <f t="shared" si="24"/>
        <v>10.7629</v>
      </c>
    </row>
    <row r="296" spans="1:12" ht="30">
      <c r="A296" s="81" t="s">
        <v>166</v>
      </c>
      <c r="B296" s="70" t="s">
        <v>367</v>
      </c>
      <c r="C296" s="271">
        <f>VLOOKUP($A$8:$A$1487,'[7]MFP''s'!A$8:C$1502,3,FALSE)</f>
        <v>30</v>
      </c>
      <c r="D296" s="364">
        <v>15</v>
      </c>
      <c r="E296" s="274">
        <f t="shared" si="18"/>
        <v>0.5</v>
      </c>
      <c r="F296" s="196">
        <f t="shared" si="22"/>
        <v>0.56355</v>
      </c>
      <c r="G296" s="196">
        <f t="shared" si="23"/>
        <v>0.44474999999999998</v>
      </c>
      <c r="H296" s="199">
        <f t="shared" si="24"/>
        <v>0.37545000000000001</v>
      </c>
    </row>
    <row r="297" spans="1:12">
      <c r="A297" s="81" t="s">
        <v>151</v>
      </c>
      <c r="B297" s="70" t="s">
        <v>369</v>
      </c>
      <c r="C297" s="271">
        <f>VLOOKUP($A$8:$A$1487,'[7]MFP''s'!A$8:C$1502,3,FALSE)</f>
        <v>200</v>
      </c>
      <c r="D297" s="364">
        <v>95</v>
      </c>
      <c r="E297" s="274">
        <f t="shared" si="18"/>
        <v>0.52500000000000002</v>
      </c>
      <c r="F297" s="196">
        <f t="shared" si="22"/>
        <v>3.56915</v>
      </c>
      <c r="G297" s="196">
        <f t="shared" si="23"/>
        <v>2.8167499999999999</v>
      </c>
      <c r="H297" s="199">
        <f t="shared" si="24"/>
        <v>2.37785</v>
      </c>
    </row>
    <row r="298" spans="1:12" ht="30">
      <c r="A298" s="81" t="s">
        <v>153</v>
      </c>
      <c r="B298" s="70" t="s">
        <v>370</v>
      </c>
      <c r="C298" s="271">
        <f>VLOOKUP($A$8:$A$1487,'[7]MFP''s'!A$8:C$1502,3,FALSE)</f>
        <v>279</v>
      </c>
      <c r="D298" s="364">
        <v>133</v>
      </c>
      <c r="E298" s="274">
        <f t="shared" si="18"/>
        <v>0.52329749103942658</v>
      </c>
      <c r="F298" s="196">
        <f t="shared" si="22"/>
        <v>4.99681</v>
      </c>
      <c r="G298" s="196">
        <f t="shared" si="23"/>
        <v>3.9434499999999999</v>
      </c>
      <c r="H298" s="199">
        <f t="shared" si="24"/>
        <v>3.3289900000000001</v>
      </c>
    </row>
    <row r="299" spans="1:12">
      <c r="A299" s="81" t="s">
        <v>164</v>
      </c>
      <c r="B299" s="70" t="s">
        <v>371</v>
      </c>
      <c r="C299" s="271">
        <f>VLOOKUP($A$8:$A$1487,'[7]MFP''s'!A$8:C$1502,3,FALSE)</f>
        <v>1225</v>
      </c>
      <c r="D299" s="364">
        <v>581</v>
      </c>
      <c r="E299" s="274">
        <f t="shared" si="18"/>
        <v>0.52571428571428569</v>
      </c>
      <c r="F299" s="196">
        <f t="shared" si="22"/>
        <v>21.82817</v>
      </c>
      <c r="G299" s="196">
        <f t="shared" si="23"/>
        <v>17.226649999999999</v>
      </c>
      <c r="H299" s="199">
        <f t="shared" si="24"/>
        <v>14.54243</v>
      </c>
    </row>
    <row r="300" spans="1:12" ht="30">
      <c r="A300" s="81" t="s">
        <v>149</v>
      </c>
      <c r="B300" s="70" t="s">
        <v>372</v>
      </c>
      <c r="C300" s="271">
        <f>VLOOKUP($A$8:$A$1487,'[7]MFP''s'!A$8:C$1502,3,FALSE)</f>
        <v>60</v>
      </c>
      <c r="D300" s="364">
        <v>29</v>
      </c>
      <c r="E300" s="274">
        <f t="shared" si="18"/>
        <v>0.51666666666666661</v>
      </c>
      <c r="F300" s="196">
        <f t="shared" si="22"/>
        <v>1.0895299999999999</v>
      </c>
      <c r="G300" s="196">
        <f t="shared" si="23"/>
        <v>0.85985</v>
      </c>
      <c r="H300" s="199">
        <f t="shared" si="24"/>
        <v>0.72587000000000002</v>
      </c>
    </row>
    <row r="301" spans="1:12" s="173" customFormat="1">
      <c r="A301" s="62" t="s">
        <v>387</v>
      </c>
      <c r="B301" s="78" t="s">
        <v>388</v>
      </c>
      <c r="C301" s="271">
        <f>VLOOKUP($A$8:$A$1487,'[7]MFP''s'!A$8:C$1502,3,FALSE)</f>
        <v>307</v>
      </c>
      <c r="D301" s="364">
        <v>272</v>
      </c>
      <c r="E301" s="274">
        <f t="shared" si="18"/>
        <v>0.11400651465798051</v>
      </c>
      <c r="F301" s="196">
        <f t="shared" si="22"/>
        <v>10.21904</v>
      </c>
      <c r="G301" s="196">
        <f t="shared" si="23"/>
        <v>8.0648</v>
      </c>
      <c r="H301" s="199">
        <f t="shared" si="24"/>
        <v>6.80816</v>
      </c>
      <c r="J301" s="172"/>
      <c r="K301" s="172"/>
      <c r="L301" s="172"/>
    </row>
    <row r="302" spans="1:12">
      <c r="A302" s="81" t="s">
        <v>158</v>
      </c>
      <c r="B302" s="70" t="s">
        <v>373</v>
      </c>
      <c r="C302" s="271">
        <f>VLOOKUP($A$8:$A$1487,'[7]MFP''s'!A$8:C$1502,3,FALSE)</f>
        <v>123</v>
      </c>
      <c r="D302" s="364">
        <v>59</v>
      </c>
      <c r="E302" s="274">
        <f t="shared" si="18"/>
        <v>0.52032520325203246</v>
      </c>
      <c r="F302" s="196">
        <f t="shared" si="22"/>
        <v>2.2166299999999999</v>
      </c>
      <c r="G302" s="196">
        <f t="shared" si="23"/>
        <v>1.74935</v>
      </c>
      <c r="H302" s="199">
        <f t="shared" si="24"/>
        <v>1.4767699999999999</v>
      </c>
    </row>
    <row r="303" spans="1:12">
      <c r="A303" s="81" t="s">
        <v>156</v>
      </c>
      <c r="B303" s="70" t="s">
        <v>157</v>
      </c>
      <c r="C303" s="271">
        <f>VLOOKUP($A$8:$A$1487,'[7]MFP''s'!A$8:C$1502,3,FALSE)</f>
        <v>126</v>
      </c>
      <c r="D303" s="364">
        <v>60</v>
      </c>
      <c r="E303" s="274">
        <f t="shared" si="18"/>
        <v>0.52380952380952384</v>
      </c>
      <c r="F303" s="196">
        <f t="shared" si="22"/>
        <v>2.2542</v>
      </c>
      <c r="G303" s="196">
        <f t="shared" si="23"/>
        <v>1.7789999999999999</v>
      </c>
      <c r="H303" s="199">
        <f t="shared" si="24"/>
        <v>1.5018</v>
      </c>
    </row>
    <row r="304" spans="1:12">
      <c r="A304" s="81">
        <v>7640013463</v>
      </c>
      <c r="B304" s="70" t="s">
        <v>55</v>
      </c>
      <c r="C304" s="271">
        <f>VLOOKUP($A$8:$A$1487,'[7]MFP''s'!A$8:C$1502,3,FALSE)</f>
        <v>317</v>
      </c>
      <c r="D304" s="364">
        <v>151</v>
      </c>
      <c r="E304" s="274">
        <f t="shared" si="18"/>
        <v>0.52365930599369093</v>
      </c>
      <c r="F304" s="196">
        <f t="shared" si="22"/>
        <v>5.6730700000000001</v>
      </c>
      <c r="G304" s="196">
        <f t="shared" si="23"/>
        <v>4.47715</v>
      </c>
      <c r="H304" s="199">
        <f t="shared" si="24"/>
        <v>3.7795299999999998</v>
      </c>
    </row>
    <row r="305" spans="1:12">
      <c r="A305" s="81" t="s">
        <v>147</v>
      </c>
      <c r="B305" s="70" t="s">
        <v>148</v>
      </c>
      <c r="C305" s="271">
        <f>VLOOKUP($A$8:$A$1487,'[7]MFP''s'!A$8:C$1502,3,FALSE)</f>
        <v>846</v>
      </c>
      <c r="D305" s="364">
        <v>401</v>
      </c>
      <c r="E305" s="274">
        <f t="shared" si="18"/>
        <v>0.52600472813238763</v>
      </c>
      <c r="F305" s="196">
        <f t="shared" si="22"/>
        <v>15.065569999999999</v>
      </c>
      <c r="G305" s="196">
        <f t="shared" si="23"/>
        <v>11.88965</v>
      </c>
      <c r="H305" s="199">
        <f t="shared" si="24"/>
        <v>10.03703</v>
      </c>
    </row>
    <row r="306" spans="1:12">
      <c r="A306" s="64" t="s">
        <v>342</v>
      </c>
      <c r="B306" s="61"/>
      <c r="C306" s="271"/>
      <c r="D306" s="364"/>
      <c r="E306" s="274"/>
      <c r="F306" s="196"/>
      <c r="G306" s="196"/>
      <c r="H306" s="199"/>
    </row>
    <row r="307" spans="1:12">
      <c r="A307" s="71" t="s">
        <v>168</v>
      </c>
      <c r="B307" s="61" t="s">
        <v>169</v>
      </c>
      <c r="C307" s="271">
        <f>VLOOKUP($A$8:$A$1487,'[7]MFP''s'!A$8:C$1502,3,FALSE)</f>
        <v>250</v>
      </c>
      <c r="D307" s="364">
        <v>250</v>
      </c>
      <c r="E307" s="274">
        <f t="shared" si="18"/>
        <v>0</v>
      </c>
      <c r="F307" s="196">
        <f t="shared" si="22"/>
        <v>9.3925000000000001</v>
      </c>
      <c r="G307" s="196">
        <f t="shared" si="23"/>
        <v>7.4124999999999996</v>
      </c>
      <c r="H307" s="199">
        <f t="shared" si="24"/>
        <v>6.2575000000000003</v>
      </c>
    </row>
    <row r="308" spans="1:12">
      <c r="A308" s="212"/>
      <c r="B308" s="213"/>
      <c r="C308" s="214"/>
      <c r="D308" s="360"/>
      <c r="E308" s="215"/>
      <c r="F308" s="215"/>
      <c r="G308" s="215"/>
      <c r="H308" s="216"/>
    </row>
    <row r="309" spans="1:12" s="173" customFormat="1" ht="105">
      <c r="A309" s="220" t="s">
        <v>184</v>
      </c>
      <c r="B309" s="221" t="s">
        <v>680</v>
      </c>
      <c r="C309" s="271">
        <f>VLOOKUP($A$8:$A$1487,'[7]MFP''s'!A$8:C$1502,3,FALSE)</f>
        <v>22538</v>
      </c>
      <c r="D309" s="364">
        <v>12035</v>
      </c>
      <c r="E309" s="274">
        <f t="shared" si="18"/>
        <v>0.46601295589670777</v>
      </c>
      <c r="F309" s="196">
        <f t="shared" si="22"/>
        <v>452.15494999999999</v>
      </c>
      <c r="G309" s="196">
        <f t="shared" si="23"/>
        <v>356.83774999999997</v>
      </c>
      <c r="H309" s="199">
        <f t="shared" si="24"/>
        <v>301.23604999999998</v>
      </c>
      <c r="J309" s="172"/>
      <c r="K309" s="172"/>
      <c r="L309" s="172"/>
    </row>
    <row r="310" spans="1:12">
      <c r="A310" s="195" t="s">
        <v>384</v>
      </c>
      <c r="B310" s="197"/>
      <c r="C310" s="271"/>
      <c r="D310" s="357"/>
      <c r="E310" s="274"/>
      <c r="F310" s="196"/>
      <c r="G310" s="196"/>
      <c r="H310" s="199"/>
    </row>
    <row r="311" spans="1:12">
      <c r="A311" s="64" t="s">
        <v>374</v>
      </c>
      <c r="B311" s="65"/>
      <c r="C311" s="271"/>
      <c r="D311" s="364"/>
      <c r="E311" s="274"/>
      <c r="F311" s="196"/>
      <c r="G311" s="196"/>
      <c r="H311" s="199"/>
    </row>
    <row r="312" spans="1:12">
      <c r="A312" s="62" t="s">
        <v>100</v>
      </c>
      <c r="B312" s="61" t="s">
        <v>101</v>
      </c>
      <c r="C312" s="271">
        <f>VLOOKUP($A$8:$A$1487,'[7]MFP''s'!A$8:C$1502,3,FALSE)</f>
        <v>1402</v>
      </c>
      <c r="D312" s="364">
        <v>664</v>
      </c>
      <c r="E312" s="274">
        <f t="shared" si="18"/>
        <v>0.52639087018544939</v>
      </c>
      <c r="F312" s="196">
        <f t="shared" si="22"/>
        <v>24.946480000000001</v>
      </c>
      <c r="G312" s="196">
        <f t="shared" si="23"/>
        <v>19.6876</v>
      </c>
      <c r="H312" s="199">
        <f t="shared" si="24"/>
        <v>16.61992</v>
      </c>
    </row>
    <row r="313" spans="1:12">
      <c r="A313" s="62" t="s">
        <v>102</v>
      </c>
      <c r="B313" s="61" t="s">
        <v>103</v>
      </c>
      <c r="C313" s="271">
        <f>VLOOKUP($A$8:$A$1487,'[7]MFP''s'!A$8:C$1502,3,FALSE)</f>
        <v>1191</v>
      </c>
      <c r="D313" s="364">
        <v>564</v>
      </c>
      <c r="E313" s="274">
        <f t="shared" si="18"/>
        <v>0.52644836272040307</v>
      </c>
      <c r="F313" s="196">
        <f t="shared" si="22"/>
        <v>21.18948</v>
      </c>
      <c r="G313" s="196">
        <f t="shared" si="23"/>
        <v>16.7226</v>
      </c>
      <c r="H313" s="199">
        <f t="shared" si="24"/>
        <v>14.11692</v>
      </c>
    </row>
    <row r="314" spans="1:12">
      <c r="A314" s="62" t="s">
        <v>104</v>
      </c>
      <c r="B314" s="61" t="s">
        <v>105</v>
      </c>
      <c r="C314" s="271">
        <f>VLOOKUP($A$8:$A$1487,'[7]MFP''s'!A$8:C$1502,3,FALSE)</f>
        <v>913</v>
      </c>
      <c r="D314" s="364">
        <v>433</v>
      </c>
      <c r="E314" s="274">
        <f t="shared" si="18"/>
        <v>0.52573932092004383</v>
      </c>
      <c r="F314" s="196">
        <f t="shared" si="22"/>
        <v>16.267810000000001</v>
      </c>
      <c r="G314" s="196">
        <f t="shared" si="23"/>
        <v>12.83845</v>
      </c>
      <c r="H314" s="199">
        <f t="shared" si="24"/>
        <v>10.83799</v>
      </c>
    </row>
    <row r="315" spans="1:12">
      <c r="A315" s="68" t="s">
        <v>382</v>
      </c>
      <c r="B315" s="67" t="s">
        <v>383</v>
      </c>
      <c r="C315" s="271">
        <f>VLOOKUP($A$8:$A$1487,'[7]MFP''s'!A$8:C$1502,3,FALSE)</f>
        <v>222</v>
      </c>
      <c r="D315" s="364">
        <v>106</v>
      </c>
      <c r="E315" s="274">
        <f t="shared" si="18"/>
        <v>0.52252252252252251</v>
      </c>
      <c r="F315" s="196">
        <f t="shared" si="22"/>
        <v>3.9824199999999998</v>
      </c>
      <c r="G315" s="196">
        <f t="shared" si="23"/>
        <v>3.1429</v>
      </c>
      <c r="H315" s="199">
        <f t="shared" si="24"/>
        <v>2.6531799999999999</v>
      </c>
    </row>
    <row r="316" spans="1:12">
      <c r="A316" s="79" t="s">
        <v>174</v>
      </c>
      <c r="B316" s="61" t="s">
        <v>175</v>
      </c>
      <c r="C316" s="271">
        <f>VLOOKUP($A$8:$A$1487,'[7]MFP''s'!A$8:C$1502,3,FALSE)</f>
        <v>3339</v>
      </c>
      <c r="D316" s="364">
        <v>1582</v>
      </c>
      <c r="E316" s="274">
        <f t="shared" ref="E316:E379" si="25">100%-(D316/C316)</f>
        <v>0.52620545073375258</v>
      </c>
      <c r="F316" s="196">
        <f t="shared" si="22"/>
        <v>59.435739999999996</v>
      </c>
      <c r="G316" s="196">
        <f t="shared" si="23"/>
        <v>46.906300000000002</v>
      </c>
      <c r="H316" s="199">
        <f t="shared" si="24"/>
        <v>39.597459999999998</v>
      </c>
    </row>
    <row r="317" spans="1:12">
      <c r="A317" s="63" t="s">
        <v>176</v>
      </c>
      <c r="B317" s="61" t="s">
        <v>177</v>
      </c>
      <c r="C317" s="271">
        <f>VLOOKUP($A$8:$A$1487,'[7]MFP''s'!A$8:C$1502,3,FALSE)</f>
        <v>1781</v>
      </c>
      <c r="D317" s="364">
        <v>844</v>
      </c>
      <c r="E317" s="274">
        <f t="shared" si="25"/>
        <v>0.52610892756878158</v>
      </c>
      <c r="F317" s="196">
        <f t="shared" si="22"/>
        <v>31.70908</v>
      </c>
      <c r="G317" s="196">
        <f t="shared" si="23"/>
        <v>25.0246</v>
      </c>
      <c r="H317" s="199">
        <f t="shared" si="24"/>
        <v>21.125319999999999</v>
      </c>
    </row>
    <row r="318" spans="1:12">
      <c r="A318" s="64" t="s">
        <v>66</v>
      </c>
      <c r="B318" s="65"/>
      <c r="C318" s="271"/>
      <c r="D318" s="364"/>
      <c r="E318" s="274"/>
      <c r="F318" s="196"/>
      <c r="G318" s="196"/>
      <c r="H318" s="199"/>
    </row>
    <row r="319" spans="1:12">
      <c r="A319" s="79" t="s">
        <v>107</v>
      </c>
      <c r="B319" s="61" t="s">
        <v>108</v>
      </c>
      <c r="C319" s="271">
        <f>VLOOKUP($A$8:$A$1487,'[7]MFP''s'!A$8:C$1502,3,FALSE)</f>
        <v>500</v>
      </c>
      <c r="D319" s="364">
        <v>237</v>
      </c>
      <c r="E319" s="274">
        <f t="shared" si="25"/>
        <v>0.52600000000000002</v>
      </c>
      <c r="F319" s="196">
        <f t="shared" si="22"/>
        <v>8.9040900000000001</v>
      </c>
      <c r="G319" s="196">
        <f t="shared" si="23"/>
        <v>7.02705</v>
      </c>
      <c r="H319" s="199">
        <f t="shared" si="24"/>
        <v>5.9321099999999998</v>
      </c>
    </row>
    <row r="320" spans="1:12">
      <c r="A320" s="79" t="s">
        <v>178</v>
      </c>
      <c r="B320" s="61" t="s">
        <v>179</v>
      </c>
      <c r="C320" s="271">
        <f>VLOOKUP($A$8:$A$1487,'[7]MFP''s'!A$8:C$1502,3,FALSE)</f>
        <v>500</v>
      </c>
      <c r="D320" s="364">
        <v>237</v>
      </c>
      <c r="E320" s="274">
        <f t="shared" si="25"/>
        <v>0.52600000000000002</v>
      </c>
      <c r="F320" s="196">
        <f t="shared" si="22"/>
        <v>8.9040900000000001</v>
      </c>
      <c r="G320" s="196">
        <f t="shared" si="23"/>
        <v>7.02705</v>
      </c>
      <c r="H320" s="199">
        <f t="shared" si="24"/>
        <v>5.9321099999999998</v>
      </c>
    </row>
    <row r="321" spans="1:8">
      <c r="A321" s="79" t="s">
        <v>185</v>
      </c>
      <c r="B321" s="61" t="s">
        <v>186</v>
      </c>
      <c r="C321" s="271">
        <f>VLOOKUP($A$8:$A$1487,'[7]MFP''s'!A$8:C$1502,3,FALSE)</f>
        <v>1113</v>
      </c>
      <c r="D321" s="364">
        <v>528</v>
      </c>
      <c r="E321" s="274">
        <f t="shared" si="25"/>
        <v>0.52560646900269536</v>
      </c>
      <c r="F321" s="196">
        <f t="shared" si="22"/>
        <v>19.836960000000001</v>
      </c>
      <c r="G321" s="196">
        <f t="shared" si="23"/>
        <v>15.655199999999999</v>
      </c>
      <c r="H321" s="199">
        <f t="shared" si="24"/>
        <v>13.21584</v>
      </c>
    </row>
    <row r="322" spans="1:8" ht="30">
      <c r="A322" s="330" t="s">
        <v>748</v>
      </c>
      <c r="B322" s="70" t="s">
        <v>783</v>
      </c>
      <c r="C322" s="271">
        <v>1855</v>
      </c>
      <c r="D322" s="364">
        <v>879</v>
      </c>
      <c r="E322" s="274">
        <f t="shared" si="25"/>
        <v>0.52614555256064688</v>
      </c>
      <c r="F322" s="196">
        <f t="shared" ref="F322:F388" si="26">D322*$F$1</f>
        <v>33.024029999999996</v>
      </c>
      <c r="G322" s="196">
        <f t="shared" si="23"/>
        <v>26.062349999999999</v>
      </c>
      <c r="H322" s="199">
        <f t="shared" si="24"/>
        <v>22.001370000000001</v>
      </c>
    </row>
    <row r="323" spans="1:8">
      <c r="A323" s="79" t="s">
        <v>109</v>
      </c>
      <c r="B323" s="61" t="s">
        <v>110</v>
      </c>
      <c r="C323" s="271">
        <f>VLOOKUP($A$8:$A$1487,'[7]MFP''s'!A$8:C$1502,3,FALSE)</f>
        <v>1553</v>
      </c>
      <c r="D323" s="364">
        <v>736</v>
      </c>
      <c r="E323" s="274">
        <f t="shared" si="25"/>
        <v>0.5260785576303928</v>
      </c>
      <c r="F323" s="196">
        <f t="shared" si="26"/>
        <v>27.651519999999998</v>
      </c>
      <c r="G323" s="196">
        <f t="shared" si="23"/>
        <v>21.822399999999998</v>
      </c>
      <c r="H323" s="199">
        <f t="shared" si="24"/>
        <v>18.422080000000001</v>
      </c>
    </row>
    <row r="324" spans="1:8">
      <c r="A324" s="79" t="s">
        <v>187</v>
      </c>
      <c r="B324" s="61" t="s">
        <v>188</v>
      </c>
      <c r="C324" s="271">
        <f>VLOOKUP($A$8:$A$1487,'[7]MFP''s'!A$8:C$1502,3,FALSE)</f>
        <v>3020</v>
      </c>
      <c r="D324" s="364">
        <v>1431</v>
      </c>
      <c r="E324" s="274">
        <f t="shared" si="25"/>
        <v>0.526158940397351</v>
      </c>
      <c r="F324" s="196">
        <f t="shared" si="26"/>
        <v>53.76267</v>
      </c>
      <c r="G324" s="196">
        <f t="shared" si="23"/>
        <v>42.42915</v>
      </c>
      <c r="H324" s="199">
        <f t="shared" si="24"/>
        <v>35.817929999999997</v>
      </c>
    </row>
    <row r="325" spans="1:8" ht="30">
      <c r="A325" s="330" t="s">
        <v>750</v>
      </c>
      <c r="B325" s="331" t="s">
        <v>784</v>
      </c>
      <c r="C325" s="332">
        <v>3305</v>
      </c>
      <c r="D325" s="364">
        <v>1566</v>
      </c>
      <c r="E325" s="274">
        <f t="shared" si="25"/>
        <v>0.52617246596066569</v>
      </c>
      <c r="F325" s="196">
        <f t="shared" si="26"/>
        <v>58.834620000000001</v>
      </c>
      <c r="G325" s="196">
        <f t="shared" si="23"/>
        <v>46.431899999999999</v>
      </c>
      <c r="H325" s="199">
        <f t="shared" si="24"/>
        <v>39.196980000000003</v>
      </c>
    </row>
    <row r="326" spans="1:8">
      <c r="A326" s="79" t="s">
        <v>111</v>
      </c>
      <c r="B326" s="61" t="s">
        <v>112</v>
      </c>
      <c r="C326" s="271">
        <f>VLOOKUP($A$8:$A$1487,'[7]MFP''s'!A$8:C$1502,3,FALSE)</f>
        <v>585</v>
      </c>
      <c r="D326" s="364">
        <v>278</v>
      </c>
      <c r="E326" s="274">
        <f t="shared" si="25"/>
        <v>0.52478632478632481</v>
      </c>
      <c r="F326" s="196">
        <f t="shared" si="26"/>
        <v>10.444459999999999</v>
      </c>
      <c r="G326" s="196">
        <f t="shared" si="23"/>
        <v>8.2426999999999992</v>
      </c>
      <c r="H326" s="199">
        <f t="shared" si="24"/>
        <v>6.9583399999999997</v>
      </c>
    </row>
    <row r="327" spans="1:8">
      <c r="A327" s="79" t="s">
        <v>113</v>
      </c>
      <c r="B327" s="61" t="s">
        <v>114</v>
      </c>
      <c r="C327" s="271">
        <f>VLOOKUP($A$8:$A$1487,'[7]MFP''s'!A$8:C$1502,3,FALSE)</f>
        <v>586</v>
      </c>
      <c r="D327" s="364">
        <v>278</v>
      </c>
      <c r="E327" s="274">
        <f t="shared" si="25"/>
        <v>0.52559726962457343</v>
      </c>
      <c r="F327" s="196">
        <f t="shared" si="26"/>
        <v>10.444459999999999</v>
      </c>
      <c r="G327" s="196">
        <f t="shared" si="23"/>
        <v>8.2426999999999992</v>
      </c>
      <c r="H327" s="199">
        <f t="shared" si="24"/>
        <v>6.9583399999999997</v>
      </c>
    </row>
    <row r="328" spans="1:8">
      <c r="A328" s="79" t="s">
        <v>189</v>
      </c>
      <c r="B328" s="61" t="s">
        <v>190</v>
      </c>
      <c r="C328" s="271">
        <f>VLOOKUP($A$8:$A$1487,'[7]MFP''s'!A$8:C$1502,3,FALSE)</f>
        <v>863</v>
      </c>
      <c r="D328" s="364">
        <v>409</v>
      </c>
      <c r="E328" s="274">
        <f t="shared" si="25"/>
        <v>0.526071842410197</v>
      </c>
      <c r="F328" s="196">
        <f t="shared" si="26"/>
        <v>15.36613</v>
      </c>
      <c r="G328" s="196">
        <f t="shared" si="23"/>
        <v>12.126849999999999</v>
      </c>
      <c r="H328" s="199">
        <f t="shared" si="24"/>
        <v>10.237270000000001</v>
      </c>
    </row>
    <row r="329" spans="1:8">
      <c r="A329" s="79" t="s">
        <v>182</v>
      </c>
      <c r="B329" s="61" t="s">
        <v>183</v>
      </c>
      <c r="C329" s="271">
        <f>VLOOKUP($A$8:$A$1487,'[7]MFP''s'!A$8:C$1502,3,FALSE)</f>
        <v>1670</v>
      </c>
      <c r="D329" s="364">
        <v>791</v>
      </c>
      <c r="E329" s="274">
        <f t="shared" si="25"/>
        <v>0.52634730538922159</v>
      </c>
      <c r="F329" s="196">
        <f t="shared" si="26"/>
        <v>29.717869999999998</v>
      </c>
      <c r="G329" s="196">
        <f t="shared" si="23"/>
        <v>23.453150000000001</v>
      </c>
      <c r="H329" s="199">
        <f t="shared" si="24"/>
        <v>19.798729999999999</v>
      </c>
    </row>
    <row r="330" spans="1:8">
      <c r="A330" s="79" t="s">
        <v>191</v>
      </c>
      <c r="B330" s="61" t="s">
        <v>192</v>
      </c>
      <c r="C330" s="271">
        <f>VLOOKUP($A$8:$A$1487,'[7]MFP''s'!A$8:C$1502,3,FALSE)</f>
        <v>5510</v>
      </c>
      <c r="D330" s="364">
        <v>2610</v>
      </c>
      <c r="E330" s="274">
        <f t="shared" si="25"/>
        <v>0.52631578947368429</v>
      </c>
      <c r="F330" s="196">
        <f t="shared" si="26"/>
        <v>98.057699999999997</v>
      </c>
      <c r="G330" s="196">
        <f t="shared" ref="G330:G398" si="27">D330*$G$1</f>
        <v>77.386499999999998</v>
      </c>
      <c r="H330" s="199">
        <f t="shared" ref="H330:H398" si="28">D330*$H$1</f>
        <v>65.328299999999999</v>
      </c>
    </row>
    <row r="331" spans="1:8">
      <c r="A331" s="79" t="s">
        <v>180</v>
      </c>
      <c r="B331" s="61" t="s">
        <v>181</v>
      </c>
      <c r="C331" s="271">
        <f>VLOOKUP($A$8:$A$1487,'[7]MFP''s'!A$8:C$1502,3,FALSE)</f>
        <v>111</v>
      </c>
      <c r="D331" s="364">
        <v>53</v>
      </c>
      <c r="E331" s="274">
        <f t="shared" si="25"/>
        <v>0.52252252252252251</v>
      </c>
      <c r="F331" s="196">
        <f t="shared" ref="F331" si="29">D331*$F$1</f>
        <v>1.9912099999999999</v>
      </c>
      <c r="G331" s="196">
        <f t="shared" ref="G331" si="30">D331*$G$1</f>
        <v>1.57145</v>
      </c>
      <c r="H331" s="199">
        <f t="shared" ref="H331" si="31">D331*$H$1</f>
        <v>1.3265899999999999</v>
      </c>
    </row>
    <row r="332" spans="1:8">
      <c r="A332" s="64" t="s">
        <v>69</v>
      </c>
      <c r="B332" s="65"/>
      <c r="C332" s="271"/>
      <c r="D332" s="364"/>
      <c r="E332" s="274"/>
      <c r="F332" s="196"/>
      <c r="G332" s="196"/>
      <c r="H332" s="199"/>
    </row>
    <row r="333" spans="1:8">
      <c r="A333" s="79" t="s">
        <v>115</v>
      </c>
      <c r="B333" s="61" t="s">
        <v>116</v>
      </c>
      <c r="C333" s="271">
        <f>VLOOKUP($A$8:$A$1487,'[7]MFP''s'!A$8:C$1502,3,FALSE)</f>
        <v>1070</v>
      </c>
      <c r="D333" s="364">
        <v>507</v>
      </c>
      <c r="E333" s="274">
        <f t="shared" si="25"/>
        <v>0.5261682242990654</v>
      </c>
      <c r="F333" s="196">
        <f t="shared" si="26"/>
        <v>19.047989999999999</v>
      </c>
      <c r="G333" s="196">
        <f t="shared" si="27"/>
        <v>15.032549999999999</v>
      </c>
      <c r="H333" s="199">
        <f t="shared" si="28"/>
        <v>12.69021</v>
      </c>
    </row>
    <row r="334" spans="1:8">
      <c r="A334" s="79">
        <v>4614506</v>
      </c>
      <c r="B334" s="61" t="s">
        <v>117</v>
      </c>
      <c r="C334" s="271">
        <f>VLOOKUP($A$8:$A$1487,'[7]MFP''s'!A$8:C$1502,3,FALSE)</f>
        <v>48</v>
      </c>
      <c r="D334" s="364">
        <v>23</v>
      </c>
      <c r="E334" s="274">
        <f t="shared" si="25"/>
        <v>0.52083333333333326</v>
      </c>
      <c r="F334" s="196">
        <f t="shared" si="26"/>
        <v>0.86410999999999993</v>
      </c>
      <c r="G334" s="196">
        <f t="shared" si="27"/>
        <v>0.68194999999999995</v>
      </c>
      <c r="H334" s="199">
        <f t="shared" si="28"/>
        <v>0.57569000000000004</v>
      </c>
    </row>
    <row r="335" spans="1:8">
      <c r="A335" s="79">
        <v>4614511</v>
      </c>
      <c r="B335" s="61" t="s">
        <v>118</v>
      </c>
      <c r="C335" s="271">
        <f>VLOOKUP($A$8:$A$1487,'[7]MFP''s'!A$8:C$1502,3,FALSE)</f>
        <v>27</v>
      </c>
      <c r="D335" s="364">
        <v>13</v>
      </c>
      <c r="E335" s="274">
        <f t="shared" si="25"/>
        <v>0.5185185185185186</v>
      </c>
      <c r="F335" s="196">
        <f t="shared" si="26"/>
        <v>0.48841000000000001</v>
      </c>
      <c r="G335" s="196">
        <f t="shared" si="27"/>
        <v>0.38545000000000001</v>
      </c>
      <c r="H335" s="199">
        <f t="shared" si="28"/>
        <v>0.32539000000000001</v>
      </c>
    </row>
    <row r="336" spans="1:8">
      <c r="A336" s="79" t="s">
        <v>119</v>
      </c>
      <c r="B336" s="61" t="s">
        <v>120</v>
      </c>
      <c r="C336" s="271">
        <f>VLOOKUP($A$8:$A$1487,'[7]MFP''s'!A$8:C$1502,3,FALSE)</f>
        <v>120</v>
      </c>
      <c r="D336" s="364">
        <v>57</v>
      </c>
      <c r="E336" s="274">
        <f t="shared" si="25"/>
        <v>0.52500000000000002</v>
      </c>
      <c r="F336" s="196">
        <f t="shared" si="26"/>
        <v>2.1414900000000001</v>
      </c>
      <c r="G336" s="196">
        <f t="shared" si="27"/>
        <v>1.6900500000000001</v>
      </c>
      <c r="H336" s="199">
        <f t="shared" si="28"/>
        <v>1.4267099999999999</v>
      </c>
    </row>
    <row r="337" spans="1:8">
      <c r="A337" s="79" t="s">
        <v>121</v>
      </c>
      <c r="B337" s="61" t="s">
        <v>122</v>
      </c>
      <c r="C337" s="271">
        <f>VLOOKUP($A$8:$A$1487,'[7]MFP''s'!A$8:C$1502,3,FALSE)</f>
        <v>1068</v>
      </c>
      <c r="D337" s="364">
        <v>506</v>
      </c>
      <c r="E337" s="274">
        <f t="shared" si="25"/>
        <v>0.52621722846441954</v>
      </c>
      <c r="F337" s="196">
        <f t="shared" si="26"/>
        <v>19.01042</v>
      </c>
      <c r="G337" s="196">
        <f t="shared" si="27"/>
        <v>15.0029</v>
      </c>
      <c r="H337" s="199">
        <f t="shared" si="28"/>
        <v>12.665179999999999</v>
      </c>
    </row>
    <row r="338" spans="1:8">
      <c r="A338" s="64" t="s">
        <v>123</v>
      </c>
      <c r="B338" s="65"/>
      <c r="C338" s="271"/>
      <c r="D338" s="364"/>
      <c r="E338" s="274"/>
      <c r="F338" s="196"/>
      <c r="G338" s="196"/>
      <c r="H338" s="199"/>
    </row>
    <row r="339" spans="1:8">
      <c r="A339" s="79" t="s">
        <v>124</v>
      </c>
      <c r="B339" s="61" t="s">
        <v>125</v>
      </c>
      <c r="C339" s="271">
        <f>VLOOKUP($A$8:$A$1487,'[7]MFP''s'!A$8:C$1502,3,FALSE)</f>
        <v>53</v>
      </c>
      <c r="D339" s="364">
        <v>26</v>
      </c>
      <c r="E339" s="274">
        <f t="shared" si="25"/>
        <v>0.50943396226415094</v>
      </c>
      <c r="F339" s="196">
        <f t="shared" si="26"/>
        <v>0.97682000000000002</v>
      </c>
      <c r="G339" s="196">
        <f t="shared" si="27"/>
        <v>0.77090000000000003</v>
      </c>
      <c r="H339" s="199">
        <f t="shared" si="28"/>
        <v>0.65078000000000003</v>
      </c>
    </row>
    <row r="340" spans="1:8" ht="30">
      <c r="A340" s="79" t="s">
        <v>126</v>
      </c>
      <c r="B340" s="61" t="s">
        <v>127</v>
      </c>
      <c r="C340" s="271">
        <f>VLOOKUP($A$8:$A$1487,'[7]MFP''s'!A$8:C$1502,3,FALSE)</f>
        <v>1100</v>
      </c>
      <c r="D340" s="364">
        <v>521</v>
      </c>
      <c r="E340" s="274">
        <f t="shared" si="25"/>
        <v>0.52636363636363637</v>
      </c>
      <c r="F340" s="196">
        <f t="shared" si="26"/>
        <v>19.573969999999999</v>
      </c>
      <c r="G340" s="196">
        <f t="shared" si="27"/>
        <v>15.447649999999999</v>
      </c>
      <c r="H340" s="199">
        <f t="shared" si="28"/>
        <v>13.04063</v>
      </c>
    </row>
    <row r="341" spans="1:8">
      <c r="A341" s="79" t="s">
        <v>128</v>
      </c>
      <c r="B341" s="61" t="s">
        <v>129</v>
      </c>
      <c r="C341" s="271">
        <f>VLOOKUP($A$8:$A$1487,'[7]MFP''s'!A$8:C$1502,3,FALSE)</f>
        <v>785</v>
      </c>
      <c r="D341" s="364">
        <v>372</v>
      </c>
      <c r="E341" s="274">
        <f t="shared" si="25"/>
        <v>0.52611464968152866</v>
      </c>
      <c r="F341" s="196">
        <f t="shared" si="26"/>
        <v>13.976039999999999</v>
      </c>
      <c r="G341" s="196">
        <f t="shared" si="27"/>
        <v>11.0298</v>
      </c>
      <c r="H341" s="199">
        <f t="shared" si="28"/>
        <v>9.3111599999999992</v>
      </c>
    </row>
    <row r="342" spans="1:8">
      <c r="A342" s="79" t="s">
        <v>130</v>
      </c>
      <c r="B342" s="61" t="s">
        <v>131</v>
      </c>
      <c r="C342" s="271">
        <f>VLOOKUP($A$8:$A$1487,'[7]MFP''s'!A$8:C$1502,3,FALSE)</f>
        <v>668</v>
      </c>
      <c r="D342" s="364">
        <v>317</v>
      </c>
      <c r="E342" s="274">
        <f t="shared" si="25"/>
        <v>0.52544910179640714</v>
      </c>
      <c r="F342" s="196">
        <f t="shared" si="26"/>
        <v>11.909689999999999</v>
      </c>
      <c r="G342" s="196">
        <f t="shared" si="27"/>
        <v>9.399049999999999</v>
      </c>
      <c r="H342" s="199">
        <f t="shared" si="28"/>
        <v>7.9345100000000004</v>
      </c>
    </row>
    <row r="343" spans="1:8">
      <c r="A343" s="79" t="s">
        <v>132</v>
      </c>
      <c r="B343" s="61" t="s">
        <v>133</v>
      </c>
      <c r="C343" s="271">
        <f>VLOOKUP($A$8:$A$1487,'[7]MFP''s'!A$8:C$1502,3,FALSE)</f>
        <v>821</v>
      </c>
      <c r="D343" s="364">
        <v>389</v>
      </c>
      <c r="E343" s="274">
        <f t="shared" si="25"/>
        <v>0.52618757612667477</v>
      </c>
      <c r="F343" s="196">
        <f t="shared" si="26"/>
        <v>14.61473</v>
      </c>
      <c r="G343" s="196">
        <f t="shared" si="27"/>
        <v>11.533849999999999</v>
      </c>
      <c r="H343" s="199">
        <f t="shared" si="28"/>
        <v>9.7366700000000002</v>
      </c>
    </row>
    <row r="344" spans="1:8">
      <c r="A344" s="79" t="s">
        <v>134</v>
      </c>
      <c r="B344" s="61" t="s">
        <v>135</v>
      </c>
      <c r="C344" s="271">
        <f>VLOOKUP($A$8:$A$1487,'[7]MFP''s'!A$8:C$1502,3,FALSE)</f>
        <v>690</v>
      </c>
      <c r="D344" s="364">
        <v>327</v>
      </c>
      <c r="E344" s="274">
        <f t="shared" si="25"/>
        <v>0.5260869565217392</v>
      </c>
      <c r="F344" s="196">
        <f t="shared" si="26"/>
        <v>12.28539</v>
      </c>
      <c r="G344" s="196">
        <f t="shared" si="27"/>
        <v>9.695549999999999</v>
      </c>
      <c r="H344" s="199">
        <f t="shared" si="28"/>
        <v>8.1848100000000006</v>
      </c>
    </row>
    <row r="345" spans="1:8">
      <c r="A345" s="79" t="s">
        <v>136</v>
      </c>
      <c r="B345" s="61" t="s">
        <v>137</v>
      </c>
      <c r="C345" s="271">
        <f>VLOOKUP($A$8:$A$1487,'[7]MFP''s'!A$8:C$1502,3,FALSE)</f>
        <v>191</v>
      </c>
      <c r="D345" s="364">
        <v>91</v>
      </c>
      <c r="E345" s="274">
        <f t="shared" si="25"/>
        <v>0.52356020942408377</v>
      </c>
      <c r="F345" s="196">
        <f t="shared" si="26"/>
        <v>3.4188700000000001</v>
      </c>
      <c r="G345" s="196">
        <f t="shared" si="27"/>
        <v>2.69815</v>
      </c>
      <c r="H345" s="199">
        <f t="shared" si="28"/>
        <v>2.27773</v>
      </c>
    </row>
    <row r="346" spans="1:8" ht="30">
      <c r="A346" s="79" t="s">
        <v>138</v>
      </c>
      <c r="B346" s="61" t="s">
        <v>139</v>
      </c>
      <c r="C346" s="271">
        <f>VLOOKUP($A$8:$A$1487,'[7]MFP''s'!A$8:C$1502,3,FALSE)</f>
        <v>1500</v>
      </c>
      <c r="D346" s="364">
        <v>711</v>
      </c>
      <c r="E346" s="274">
        <f t="shared" si="25"/>
        <v>0.52600000000000002</v>
      </c>
      <c r="F346" s="196">
        <f t="shared" si="26"/>
        <v>26.71227</v>
      </c>
      <c r="G346" s="196">
        <f t="shared" si="27"/>
        <v>21.081150000000001</v>
      </c>
      <c r="H346" s="199">
        <f t="shared" si="28"/>
        <v>17.796330000000001</v>
      </c>
    </row>
    <row r="347" spans="1:8">
      <c r="A347" s="79" t="s">
        <v>140</v>
      </c>
      <c r="B347" s="61" t="s">
        <v>141</v>
      </c>
      <c r="C347" s="271">
        <f>VLOOKUP($A$8:$A$1487,'[7]MFP''s'!A$8:C$1502,3,FALSE)</f>
        <v>250</v>
      </c>
      <c r="D347" s="364">
        <v>119</v>
      </c>
      <c r="E347" s="274">
        <f t="shared" si="25"/>
        <v>0.52400000000000002</v>
      </c>
      <c r="F347" s="196">
        <f t="shared" si="26"/>
        <v>4.4708300000000003</v>
      </c>
      <c r="G347" s="196">
        <f t="shared" si="27"/>
        <v>3.5283500000000001</v>
      </c>
      <c r="H347" s="199">
        <f t="shared" si="28"/>
        <v>2.9785699999999999</v>
      </c>
    </row>
    <row r="348" spans="1:8">
      <c r="A348" s="79" t="s">
        <v>142</v>
      </c>
      <c r="B348" s="61" t="s">
        <v>143</v>
      </c>
      <c r="C348" s="271">
        <f>VLOOKUP($A$8:$A$1487,'[7]MFP''s'!A$8:C$1502,3,FALSE)</f>
        <v>290</v>
      </c>
      <c r="D348" s="364">
        <v>138</v>
      </c>
      <c r="E348" s="274">
        <f t="shared" si="25"/>
        <v>0.5241379310344827</v>
      </c>
      <c r="F348" s="196">
        <f t="shared" si="26"/>
        <v>5.18466</v>
      </c>
      <c r="G348" s="196">
        <f t="shared" si="27"/>
        <v>4.0917000000000003</v>
      </c>
      <c r="H348" s="199">
        <f t="shared" si="28"/>
        <v>3.4541400000000002</v>
      </c>
    </row>
    <row r="349" spans="1:8">
      <c r="A349" s="64" t="s">
        <v>47</v>
      </c>
      <c r="B349" s="65"/>
      <c r="C349" s="271"/>
      <c r="D349" s="364"/>
      <c r="E349" s="274"/>
      <c r="F349" s="196"/>
      <c r="G349" s="196"/>
      <c r="H349" s="199"/>
    </row>
    <row r="350" spans="1:8">
      <c r="A350" s="79" t="s">
        <v>144</v>
      </c>
      <c r="B350" s="61" t="s">
        <v>145</v>
      </c>
      <c r="C350" s="271">
        <f>VLOOKUP($A$8:$A$1487,'[7]MFP''s'!A$8:C$1502,3,FALSE)</f>
        <v>947</v>
      </c>
      <c r="D350" s="364">
        <v>430</v>
      </c>
      <c r="E350" s="274">
        <f t="shared" si="25"/>
        <v>0.5459345300950369</v>
      </c>
      <c r="F350" s="196">
        <f t="shared" si="26"/>
        <v>16.155100000000001</v>
      </c>
      <c r="G350" s="196">
        <f t="shared" si="27"/>
        <v>12.749499999999999</v>
      </c>
      <c r="H350" s="199">
        <f t="shared" si="28"/>
        <v>10.7629</v>
      </c>
    </row>
    <row r="351" spans="1:8">
      <c r="A351" s="79">
        <v>7640005064</v>
      </c>
      <c r="B351" s="61" t="s">
        <v>67</v>
      </c>
      <c r="C351" s="271">
        <f>VLOOKUP($A$8:$A$1487,'[7]MFP''s'!A$8:C$1502,3,FALSE)</f>
        <v>423</v>
      </c>
      <c r="D351" s="364">
        <v>201</v>
      </c>
      <c r="E351" s="274">
        <f t="shared" si="25"/>
        <v>0.52482269503546097</v>
      </c>
      <c r="F351" s="196">
        <f t="shared" si="26"/>
        <v>7.5515699999999999</v>
      </c>
      <c r="G351" s="196">
        <f t="shared" si="27"/>
        <v>5.9596499999999999</v>
      </c>
      <c r="H351" s="199">
        <f t="shared" si="28"/>
        <v>5.0310300000000003</v>
      </c>
    </row>
    <row r="352" spans="1:8">
      <c r="A352" s="79">
        <v>7640008394</v>
      </c>
      <c r="B352" s="61" t="s">
        <v>68</v>
      </c>
      <c r="C352" s="271">
        <f>VLOOKUP($A$8:$A$1487,'[7]MFP''s'!A$8:C$1502,3,FALSE)</f>
        <v>476</v>
      </c>
      <c r="D352" s="364">
        <v>226</v>
      </c>
      <c r="E352" s="274">
        <f t="shared" si="25"/>
        <v>0.52521008403361347</v>
      </c>
      <c r="F352" s="196">
        <f t="shared" si="26"/>
        <v>8.4908199999999994</v>
      </c>
      <c r="G352" s="196">
        <f t="shared" si="27"/>
        <v>6.7008999999999999</v>
      </c>
      <c r="H352" s="199">
        <f t="shared" si="28"/>
        <v>5.6567800000000004</v>
      </c>
    </row>
    <row r="353" spans="1:12">
      <c r="A353" s="79">
        <v>7640013468</v>
      </c>
      <c r="B353" s="61" t="s">
        <v>146</v>
      </c>
      <c r="C353" s="271">
        <f>VLOOKUP($A$8:$A$1487,'[7]MFP''s'!A$8:C$1502,3,FALSE)</f>
        <v>423</v>
      </c>
      <c r="D353" s="364">
        <v>201</v>
      </c>
      <c r="E353" s="274">
        <f t="shared" si="25"/>
        <v>0.52482269503546097</v>
      </c>
      <c r="F353" s="196">
        <f t="shared" si="26"/>
        <v>7.5515699999999999</v>
      </c>
      <c r="G353" s="196">
        <f t="shared" si="27"/>
        <v>5.9596499999999999</v>
      </c>
      <c r="H353" s="199">
        <f t="shared" si="28"/>
        <v>5.0310300000000003</v>
      </c>
    </row>
    <row r="354" spans="1:12">
      <c r="A354" s="79" t="s">
        <v>147</v>
      </c>
      <c r="B354" s="61" t="s">
        <v>375</v>
      </c>
      <c r="C354" s="271">
        <f>VLOOKUP($A$8:$A$1487,'[7]MFP''s'!A$8:C$1502,3,FALSE)</f>
        <v>846</v>
      </c>
      <c r="D354" s="364">
        <v>401</v>
      </c>
      <c r="E354" s="274">
        <f t="shared" si="25"/>
        <v>0.52600472813238763</v>
      </c>
      <c r="F354" s="196">
        <f t="shared" si="26"/>
        <v>15.065569999999999</v>
      </c>
      <c r="G354" s="196">
        <f t="shared" si="27"/>
        <v>11.88965</v>
      </c>
      <c r="H354" s="199">
        <f t="shared" si="28"/>
        <v>10.03703</v>
      </c>
    </row>
    <row r="355" spans="1:12">
      <c r="A355" s="79" t="s">
        <v>149</v>
      </c>
      <c r="B355" s="61" t="s">
        <v>150</v>
      </c>
      <c r="C355" s="271">
        <f>VLOOKUP($A$8:$A$1487,'[7]MFP''s'!A$8:C$1502,3,FALSE)</f>
        <v>60</v>
      </c>
      <c r="D355" s="364">
        <v>29</v>
      </c>
      <c r="E355" s="274">
        <f t="shared" si="25"/>
        <v>0.51666666666666661</v>
      </c>
      <c r="F355" s="196">
        <f t="shared" si="26"/>
        <v>1.0895299999999999</v>
      </c>
      <c r="G355" s="196">
        <f t="shared" si="27"/>
        <v>0.85985</v>
      </c>
      <c r="H355" s="199">
        <f t="shared" si="28"/>
        <v>0.72587000000000002</v>
      </c>
    </row>
    <row r="356" spans="1:12">
      <c r="A356" s="79" t="s">
        <v>151</v>
      </c>
      <c r="B356" s="61" t="s">
        <v>152</v>
      </c>
      <c r="C356" s="271">
        <f>VLOOKUP($A$8:$A$1487,'[7]MFP''s'!A$8:C$1502,3,FALSE)</f>
        <v>200</v>
      </c>
      <c r="D356" s="364">
        <v>95</v>
      </c>
      <c r="E356" s="274">
        <f t="shared" si="25"/>
        <v>0.52500000000000002</v>
      </c>
      <c r="F356" s="196">
        <f t="shared" si="26"/>
        <v>3.56915</v>
      </c>
      <c r="G356" s="196">
        <f t="shared" si="27"/>
        <v>2.8167499999999999</v>
      </c>
      <c r="H356" s="199">
        <f t="shared" si="28"/>
        <v>2.37785</v>
      </c>
    </row>
    <row r="357" spans="1:12">
      <c r="A357" s="79" t="s">
        <v>153</v>
      </c>
      <c r="B357" s="61" t="s">
        <v>154</v>
      </c>
      <c r="C357" s="271">
        <f>VLOOKUP($A$8:$A$1487,'[7]MFP''s'!A$8:C$1502,3,FALSE)</f>
        <v>279</v>
      </c>
      <c r="D357" s="364">
        <v>133</v>
      </c>
      <c r="E357" s="274">
        <f t="shared" si="25"/>
        <v>0.52329749103942658</v>
      </c>
      <c r="F357" s="196">
        <f t="shared" si="26"/>
        <v>4.99681</v>
      </c>
      <c r="G357" s="196">
        <f t="shared" si="27"/>
        <v>3.9434499999999999</v>
      </c>
      <c r="H357" s="199">
        <f t="shared" si="28"/>
        <v>3.3289900000000001</v>
      </c>
    </row>
    <row r="358" spans="1:12">
      <c r="A358" s="84">
        <v>7640006869</v>
      </c>
      <c r="B358" s="61" t="s">
        <v>155</v>
      </c>
      <c r="C358" s="271">
        <f>VLOOKUP($A$8:$A$1487,'[7]MFP''s'!A$8:C$1502,3,FALSE)</f>
        <v>223</v>
      </c>
      <c r="D358" s="364">
        <v>106</v>
      </c>
      <c r="E358" s="274">
        <f t="shared" si="25"/>
        <v>0.5246636771300448</v>
      </c>
      <c r="F358" s="196">
        <f t="shared" si="26"/>
        <v>3.9824199999999998</v>
      </c>
      <c r="G358" s="196">
        <f t="shared" si="27"/>
        <v>3.1429</v>
      </c>
      <c r="H358" s="199">
        <f t="shared" si="28"/>
        <v>2.6531799999999999</v>
      </c>
    </row>
    <row r="359" spans="1:12">
      <c r="A359" s="84" t="s">
        <v>160</v>
      </c>
      <c r="B359" s="61" t="s">
        <v>161</v>
      </c>
      <c r="C359" s="271">
        <f>VLOOKUP($A$8:$A$1487,'[7]MFP''s'!A$8:C$1502,3,FALSE)</f>
        <v>112</v>
      </c>
      <c r="D359" s="364">
        <v>54</v>
      </c>
      <c r="E359" s="274">
        <f t="shared" si="25"/>
        <v>0.51785714285714279</v>
      </c>
      <c r="F359" s="196">
        <f t="shared" ref="F359" si="32">D359*$F$1</f>
        <v>2.0287799999999998</v>
      </c>
      <c r="G359" s="196">
        <f t="shared" ref="G359" si="33">D359*$G$1</f>
        <v>1.6011</v>
      </c>
      <c r="H359" s="199">
        <f t="shared" ref="H359" si="34">D359*$H$1</f>
        <v>1.35162</v>
      </c>
    </row>
    <row r="360" spans="1:12">
      <c r="A360" s="79" t="s">
        <v>156</v>
      </c>
      <c r="B360" s="61" t="s">
        <v>157</v>
      </c>
      <c r="C360" s="271">
        <f>VLOOKUP($A$8:$A$1487,'[7]MFP''s'!A$8:C$1502,3,FALSE)</f>
        <v>126</v>
      </c>
      <c r="D360" s="364">
        <v>60</v>
      </c>
      <c r="E360" s="274">
        <f t="shared" si="25"/>
        <v>0.52380952380952384</v>
      </c>
      <c r="F360" s="196">
        <f t="shared" si="26"/>
        <v>2.2542</v>
      </c>
      <c r="G360" s="196">
        <f t="shared" si="27"/>
        <v>1.7789999999999999</v>
      </c>
      <c r="H360" s="199">
        <f t="shared" si="28"/>
        <v>1.5018</v>
      </c>
    </row>
    <row r="361" spans="1:12">
      <c r="A361" s="79" t="s">
        <v>158</v>
      </c>
      <c r="B361" s="61" t="s">
        <v>159</v>
      </c>
      <c r="C361" s="271">
        <f>VLOOKUP($A$8:$A$1487,'[7]MFP''s'!A$8:C$1502,3,FALSE)</f>
        <v>123</v>
      </c>
      <c r="D361" s="364">
        <v>59</v>
      </c>
      <c r="E361" s="274">
        <f t="shared" si="25"/>
        <v>0.52032520325203246</v>
      </c>
      <c r="F361" s="196">
        <f t="shared" si="26"/>
        <v>2.2166299999999999</v>
      </c>
      <c r="G361" s="196">
        <f t="shared" si="27"/>
        <v>1.74935</v>
      </c>
      <c r="H361" s="199">
        <f t="shared" si="28"/>
        <v>1.4767699999999999</v>
      </c>
    </row>
    <row r="362" spans="1:12">
      <c r="A362" s="79" t="s">
        <v>160</v>
      </c>
      <c r="B362" s="61" t="s">
        <v>161</v>
      </c>
      <c r="C362" s="271">
        <f>VLOOKUP($A$8:$A$1487,'[7]MFP''s'!A$8:C$1502,3,FALSE)</f>
        <v>112</v>
      </c>
      <c r="D362" s="364">
        <v>54</v>
      </c>
      <c r="E362" s="274">
        <f t="shared" si="25"/>
        <v>0.51785714285714279</v>
      </c>
      <c r="F362" s="196">
        <f t="shared" si="26"/>
        <v>2.0287799999999998</v>
      </c>
      <c r="G362" s="196">
        <f t="shared" si="27"/>
        <v>1.6011</v>
      </c>
      <c r="H362" s="199">
        <f t="shared" si="28"/>
        <v>1.35162</v>
      </c>
    </row>
    <row r="363" spans="1:12">
      <c r="A363" s="84">
        <v>7640005261</v>
      </c>
      <c r="B363" s="61" t="s">
        <v>163</v>
      </c>
      <c r="C363" s="271">
        <f>VLOOKUP($A$8:$A$1487,'[7]MFP''s'!A$8:C$1502,3,FALSE)</f>
        <v>69</v>
      </c>
      <c r="D363" s="364">
        <v>33</v>
      </c>
      <c r="E363" s="274">
        <f t="shared" si="25"/>
        <v>0.52173913043478259</v>
      </c>
      <c r="F363" s="196">
        <f t="shared" si="26"/>
        <v>1.2398100000000001</v>
      </c>
      <c r="G363" s="196">
        <f t="shared" si="27"/>
        <v>0.97844999999999993</v>
      </c>
      <c r="H363" s="199">
        <f t="shared" si="28"/>
        <v>0.82599</v>
      </c>
    </row>
    <row r="364" spans="1:12">
      <c r="A364" s="79" t="s">
        <v>164</v>
      </c>
      <c r="B364" s="61" t="s">
        <v>165</v>
      </c>
      <c r="C364" s="271">
        <f>VLOOKUP($A$8:$A$1487,'[7]MFP''s'!A$8:C$1502,3,FALSE)</f>
        <v>1225</v>
      </c>
      <c r="D364" s="364">
        <v>581</v>
      </c>
      <c r="E364" s="274">
        <f t="shared" si="25"/>
        <v>0.52571428571428569</v>
      </c>
      <c r="F364" s="196">
        <f t="shared" si="26"/>
        <v>21.82817</v>
      </c>
      <c r="G364" s="196">
        <f t="shared" si="27"/>
        <v>17.226649999999999</v>
      </c>
      <c r="H364" s="199">
        <f t="shared" si="28"/>
        <v>14.54243</v>
      </c>
    </row>
    <row r="365" spans="1:12" s="173" customFormat="1">
      <c r="A365" s="62" t="s">
        <v>387</v>
      </c>
      <c r="B365" s="78" t="s">
        <v>388</v>
      </c>
      <c r="C365" s="271">
        <f>VLOOKUP($A$8:$A$1487,'[7]MFP''s'!A$8:C$1502,3,FALSE)</f>
        <v>307</v>
      </c>
      <c r="D365" s="364">
        <v>272</v>
      </c>
      <c r="E365" s="274">
        <f t="shared" si="25"/>
        <v>0.11400651465798051</v>
      </c>
      <c r="F365" s="196">
        <f t="shared" si="26"/>
        <v>10.21904</v>
      </c>
      <c r="G365" s="196">
        <f t="shared" si="27"/>
        <v>8.0648</v>
      </c>
      <c r="H365" s="199">
        <f t="shared" si="28"/>
        <v>6.80816</v>
      </c>
      <c r="J365" s="172"/>
      <c r="K365" s="172"/>
      <c r="L365" s="172"/>
    </row>
    <row r="366" spans="1:12">
      <c r="A366" s="93">
        <v>7640013463</v>
      </c>
      <c r="B366" s="61" t="s">
        <v>55</v>
      </c>
      <c r="C366" s="271">
        <f>VLOOKUP($A$8:$A$1487,'[7]MFP''s'!A$8:C$1502,3,FALSE)</f>
        <v>317</v>
      </c>
      <c r="D366" s="364">
        <v>151</v>
      </c>
      <c r="E366" s="274">
        <f t="shared" si="25"/>
        <v>0.52365930599369093</v>
      </c>
      <c r="F366" s="196">
        <f t="shared" si="26"/>
        <v>5.6730700000000001</v>
      </c>
      <c r="G366" s="196">
        <f t="shared" si="27"/>
        <v>4.47715</v>
      </c>
      <c r="H366" s="199">
        <f t="shared" si="28"/>
        <v>3.7795299999999998</v>
      </c>
    </row>
    <row r="367" spans="1:12">
      <c r="A367" s="63" t="s">
        <v>166</v>
      </c>
      <c r="B367" s="61" t="s">
        <v>167</v>
      </c>
      <c r="C367" s="271">
        <f>VLOOKUP($A$8:$A$1487,'[7]MFP''s'!A$8:C$1502,3,FALSE)</f>
        <v>30</v>
      </c>
      <c r="D367" s="364">
        <v>15</v>
      </c>
      <c r="E367" s="274">
        <f t="shared" si="25"/>
        <v>0.5</v>
      </c>
      <c r="F367" s="196">
        <f t="shared" si="26"/>
        <v>0.56355</v>
      </c>
      <c r="G367" s="196">
        <f t="shared" si="27"/>
        <v>0.44474999999999998</v>
      </c>
      <c r="H367" s="199">
        <f t="shared" si="28"/>
        <v>0.37545000000000001</v>
      </c>
    </row>
    <row r="368" spans="1:12">
      <c r="A368" s="64" t="s">
        <v>342</v>
      </c>
      <c r="B368" s="61"/>
      <c r="C368" s="271"/>
      <c r="D368" s="364"/>
      <c r="E368" s="274"/>
      <c r="F368" s="196"/>
      <c r="G368" s="196"/>
      <c r="H368" s="199"/>
    </row>
    <row r="369" spans="1:8">
      <c r="A369" s="71" t="s">
        <v>168</v>
      </c>
      <c r="B369" s="61" t="s">
        <v>169</v>
      </c>
      <c r="C369" s="271">
        <f>VLOOKUP($A$8:$A$1487,'[7]MFP''s'!A$8:C$1502,3,FALSE)</f>
        <v>250</v>
      </c>
      <c r="D369" s="364">
        <v>250</v>
      </c>
      <c r="E369" s="274">
        <f t="shared" si="25"/>
        <v>0</v>
      </c>
      <c r="F369" s="196">
        <f t="shared" si="26"/>
        <v>9.3925000000000001</v>
      </c>
      <c r="G369" s="196">
        <f t="shared" si="27"/>
        <v>7.4124999999999996</v>
      </c>
      <c r="H369" s="199">
        <f t="shared" si="28"/>
        <v>6.2575000000000003</v>
      </c>
    </row>
    <row r="370" spans="1:8">
      <c r="A370" s="212"/>
      <c r="B370" s="213"/>
      <c r="C370" s="214"/>
      <c r="D370" s="360"/>
      <c r="E370" s="215"/>
      <c r="F370" s="215"/>
      <c r="G370" s="215"/>
      <c r="H370" s="216"/>
    </row>
    <row r="371" spans="1:8" ht="120">
      <c r="A371" s="220" t="s">
        <v>193</v>
      </c>
      <c r="B371" s="222" t="s">
        <v>681</v>
      </c>
      <c r="C371" s="271">
        <f>VLOOKUP($A$8:$A$1487,'[7]MFP''s'!A$8:C$1502,3,FALSE)</f>
        <v>32550</v>
      </c>
      <c r="D371" s="364">
        <v>15414</v>
      </c>
      <c r="E371" s="274">
        <f t="shared" si="25"/>
        <v>0.52645161290322573</v>
      </c>
      <c r="F371" s="196">
        <f t="shared" si="26"/>
        <v>579.10397999999998</v>
      </c>
      <c r="G371" s="196">
        <f t="shared" si="27"/>
        <v>457.02510000000001</v>
      </c>
      <c r="H371" s="199">
        <f t="shared" si="28"/>
        <v>385.81241999999997</v>
      </c>
    </row>
    <row r="372" spans="1:8">
      <c r="A372" s="195" t="s">
        <v>384</v>
      </c>
      <c r="B372" s="197"/>
      <c r="C372" s="271"/>
      <c r="D372" s="357"/>
      <c r="E372" s="274"/>
      <c r="F372" s="196"/>
      <c r="G372" s="196"/>
      <c r="H372" s="199"/>
    </row>
    <row r="373" spans="1:8">
      <c r="A373" s="64" t="s">
        <v>75</v>
      </c>
      <c r="B373" s="65"/>
      <c r="C373" s="271"/>
      <c r="D373" s="364"/>
      <c r="E373" s="274"/>
      <c r="F373" s="196"/>
      <c r="G373" s="196"/>
      <c r="H373" s="199"/>
    </row>
    <row r="374" spans="1:8">
      <c r="A374" s="62" t="s">
        <v>174</v>
      </c>
      <c r="B374" s="61" t="s">
        <v>175</v>
      </c>
      <c r="C374" s="271">
        <f>VLOOKUP($A$8:$A$1487,'[7]MFP''s'!A$8:C$1502,3,FALSE)</f>
        <v>3339</v>
      </c>
      <c r="D374" s="364">
        <v>1582</v>
      </c>
      <c r="E374" s="274">
        <f t="shared" si="25"/>
        <v>0.52620545073375258</v>
      </c>
      <c r="F374" s="196">
        <f t="shared" si="26"/>
        <v>59.435739999999996</v>
      </c>
      <c r="G374" s="196">
        <f t="shared" si="27"/>
        <v>46.906300000000002</v>
      </c>
      <c r="H374" s="199">
        <f t="shared" si="28"/>
        <v>39.597459999999998</v>
      </c>
    </row>
    <row r="375" spans="1:8">
      <c r="A375" s="62" t="s">
        <v>176</v>
      </c>
      <c r="B375" s="61" t="s">
        <v>177</v>
      </c>
      <c r="C375" s="271">
        <f>VLOOKUP($A$8:$A$1487,'[7]MFP''s'!A$8:C$1502,3,FALSE)</f>
        <v>1781</v>
      </c>
      <c r="D375" s="364">
        <v>844</v>
      </c>
      <c r="E375" s="274">
        <f t="shared" si="25"/>
        <v>0.52610892756878158</v>
      </c>
      <c r="F375" s="196">
        <f t="shared" si="26"/>
        <v>31.70908</v>
      </c>
      <c r="G375" s="196">
        <f t="shared" si="27"/>
        <v>25.0246</v>
      </c>
      <c r="H375" s="199">
        <f t="shared" si="28"/>
        <v>21.125319999999999</v>
      </c>
    </row>
    <row r="376" spans="1:8">
      <c r="A376" s="60" t="s">
        <v>66</v>
      </c>
      <c r="B376" s="61"/>
      <c r="C376" s="271"/>
      <c r="D376" s="364"/>
      <c r="E376" s="274"/>
      <c r="F376" s="196"/>
      <c r="G376" s="196"/>
      <c r="H376" s="199"/>
    </row>
    <row r="377" spans="1:8">
      <c r="A377" s="62" t="s">
        <v>187</v>
      </c>
      <c r="B377" s="61" t="s">
        <v>188</v>
      </c>
      <c r="C377" s="271">
        <f>VLOOKUP($A$8:$A$1487,'[7]MFP''s'!A$8:C$1502,3,FALSE)</f>
        <v>3020</v>
      </c>
      <c r="D377" s="364">
        <v>1431</v>
      </c>
      <c r="E377" s="274">
        <f t="shared" si="25"/>
        <v>0.526158940397351</v>
      </c>
      <c r="F377" s="196">
        <f t="shared" si="26"/>
        <v>53.76267</v>
      </c>
      <c r="G377" s="196">
        <f t="shared" si="27"/>
        <v>42.42915</v>
      </c>
      <c r="H377" s="199">
        <f t="shared" si="28"/>
        <v>35.817929999999997</v>
      </c>
    </row>
    <row r="378" spans="1:8">
      <c r="A378" s="62" t="s">
        <v>182</v>
      </c>
      <c r="B378" s="61" t="s">
        <v>183</v>
      </c>
      <c r="C378" s="271">
        <f>VLOOKUP($A$8:$A$1487,'[7]MFP''s'!A$8:C$1502,3,FALSE)</f>
        <v>1670</v>
      </c>
      <c r="D378" s="364">
        <v>791</v>
      </c>
      <c r="E378" s="274">
        <f t="shared" si="25"/>
        <v>0.52634730538922159</v>
      </c>
      <c r="F378" s="196">
        <f t="shared" si="26"/>
        <v>29.717869999999998</v>
      </c>
      <c r="G378" s="196">
        <f t="shared" si="27"/>
        <v>23.453150000000001</v>
      </c>
      <c r="H378" s="199">
        <f t="shared" si="28"/>
        <v>19.798729999999999</v>
      </c>
    </row>
    <row r="379" spans="1:8">
      <c r="A379" s="62" t="s">
        <v>189</v>
      </c>
      <c r="B379" s="61" t="s">
        <v>190</v>
      </c>
      <c r="C379" s="271">
        <f>VLOOKUP($A$8:$A$1487,'[7]MFP''s'!A$8:C$1502,3,FALSE)</f>
        <v>863</v>
      </c>
      <c r="D379" s="364">
        <v>409</v>
      </c>
      <c r="E379" s="274">
        <f t="shared" si="25"/>
        <v>0.526071842410197</v>
      </c>
      <c r="F379" s="196">
        <f t="shared" si="26"/>
        <v>15.36613</v>
      </c>
      <c r="G379" s="196">
        <f t="shared" si="27"/>
        <v>12.126849999999999</v>
      </c>
      <c r="H379" s="199">
        <f t="shared" si="28"/>
        <v>10.237270000000001</v>
      </c>
    </row>
    <row r="380" spans="1:8">
      <c r="A380" s="62" t="s">
        <v>194</v>
      </c>
      <c r="B380" s="61" t="s">
        <v>195</v>
      </c>
      <c r="C380" s="271">
        <f>VLOOKUP($A$8:$A$1487,'[7]MFP''s'!A$8:C$1502,3,FALSE)</f>
        <v>112</v>
      </c>
      <c r="D380" s="364">
        <v>52</v>
      </c>
      <c r="E380" s="274">
        <f t="shared" ref="E380:E443" si="35">100%-(D380/C380)</f>
        <v>0.5357142857142857</v>
      </c>
      <c r="F380" s="196">
        <f t="shared" si="26"/>
        <v>1.95364</v>
      </c>
      <c r="G380" s="196">
        <f t="shared" si="27"/>
        <v>1.5418000000000001</v>
      </c>
      <c r="H380" s="199">
        <f t="shared" si="28"/>
        <v>1.3015600000000001</v>
      </c>
    </row>
    <row r="381" spans="1:8">
      <c r="A381" s="62" t="s">
        <v>178</v>
      </c>
      <c r="B381" s="61" t="s">
        <v>179</v>
      </c>
      <c r="C381" s="271">
        <f>VLOOKUP($A$8:$A$1487,'[7]MFP''s'!A$8:C$1502,3,FALSE)</f>
        <v>500</v>
      </c>
      <c r="D381" s="364">
        <v>237</v>
      </c>
      <c r="E381" s="274">
        <f t="shared" si="35"/>
        <v>0.52600000000000002</v>
      </c>
      <c r="F381" s="196">
        <f t="shared" si="26"/>
        <v>8.9040900000000001</v>
      </c>
      <c r="G381" s="196">
        <f t="shared" si="27"/>
        <v>7.02705</v>
      </c>
      <c r="H381" s="199">
        <f t="shared" si="28"/>
        <v>5.9321099999999998</v>
      </c>
    </row>
    <row r="382" spans="1:8">
      <c r="A382" s="62" t="s">
        <v>191</v>
      </c>
      <c r="B382" s="61" t="s">
        <v>192</v>
      </c>
      <c r="C382" s="271">
        <f>VLOOKUP($A$8:$A$1487,'[7]MFP''s'!A$8:C$1502,3,FALSE)</f>
        <v>5510</v>
      </c>
      <c r="D382" s="364">
        <v>2610</v>
      </c>
      <c r="E382" s="274">
        <f t="shared" si="35"/>
        <v>0.52631578947368429</v>
      </c>
      <c r="F382" s="196">
        <f t="shared" si="26"/>
        <v>98.057699999999997</v>
      </c>
      <c r="G382" s="196">
        <f t="shared" si="27"/>
        <v>77.386499999999998</v>
      </c>
      <c r="H382" s="199">
        <f t="shared" si="28"/>
        <v>65.328299999999999</v>
      </c>
    </row>
    <row r="383" spans="1:8">
      <c r="A383" s="62" t="s">
        <v>185</v>
      </c>
      <c r="B383" s="61" t="s">
        <v>186</v>
      </c>
      <c r="C383" s="271">
        <f>VLOOKUP($A$8:$A$1487,'[7]MFP''s'!A$8:C$1502,3,FALSE)</f>
        <v>1113</v>
      </c>
      <c r="D383" s="364">
        <v>528</v>
      </c>
      <c r="E383" s="274">
        <f t="shared" si="35"/>
        <v>0.52560646900269536</v>
      </c>
      <c r="F383" s="196">
        <f t="shared" si="26"/>
        <v>19.836960000000001</v>
      </c>
      <c r="G383" s="196">
        <f t="shared" si="27"/>
        <v>15.655199999999999</v>
      </c>
      <c r="H383" s="199">
        <f t="shared" si="28"/>
        <v>13.21584</v>
      </c>
    </row>
    <row r="384" spans="1:8" ht="30">
      <c r="A384" s="330" t="s">
        <v>748</v>
      </c>
      <c r="B384" s="70" t="s">
        <v>783</v>
      </c>
      <c r="C384" s="271">
        <v>1855</v>
      </c>
      <c r="D384" s="364">
        <v>879</v>
      </c>
      <c r="E384" s="274">
        <f t="shared" si="35"/>
        <v>0.52614555256064688</v>
      </c>
      <c r="F384" s="196">
        <f t="shared" si="26"/>
        <v>33.024029999999996</v>
      </c>
      <c r="G384" s="196">
        <f t="shared" si="27"/>
        <v>26.062349999999999</v>
      </c>
      <c r="H384" s="199">
        <f t="shared" si="28"/>
        <v>22.001370000000001</v>
      </c>
    </row>
    <row r="385" spans="1:8" ht="30">
      <c r="A385" s="330" t="s">
        <v>750</v>
      </c>
      <c r="B385" s="331" t="s">
        <v>784</v>
      </c>
      <c r="C385" s="332">
        <v>3305</v>
      </c>
      <c r="D385" s="364">
        <v>1566</v>
      </c>
      <c r="E385" s="274">
        <f t="shared" si="35"/>
        <v>0.52617246596066569</v>
      </c>
      <c r="F385" s="196">
        <f t="shared" si="26"/>
        <v>58.834620000000001</v>
      </c>
      <c r="G385" s="196">
        <f t="shared" si="27"/>
        <v>46.431899999999999</v>
      </c>
      <c r="H385" s="199">
        <f t="shared" si="28"/>
        <v>39.196980000000003</v>
      </c>
    </row>
    <row r="386" spans="1:8">
      <c r="A386" s="62" t="s">
        <v>113</v>
      </c>
      <c r="B386" s="61" t="s">
        <v>114</v>
      </c>
      <c r="C386" s="271">
        <f>VLOOKUP($A$8:$A$1487,'[7]MFP''s'!A$8:C$1502,3,FALSE)</f>
        <v>586</v>
      </c>
      <c r="D386" s="364">
        <v>278</v>
      </c>
      <c r="E386" s="274">
        <f t="shared" si="35"/>
        <v>0.52559726962457343</v>
      </c>
      <c r="F386" s="196">
        <f t="shared" si="26"/>
        <v>10.444459999999999</v>
      </c>
      <c r="G386" s="196">
        <f t="shared" si="27"/>
        <v>8.2426999999999992</v>
      </c>
      <c r="H386" s="199">
        <f t="shared" si="28"/>
        <v>6.9583399999999997</v>
      </c>
    </row>
    <row r="387" spans="1:8">
      <c r="A387" s="60" t="s">
        <v>196</v>
      </c>
      <c r="B387" s="61"/>
      <c r="C387" s="271"/>
      <c r="D387" s="364"/>
      <c r="E387" s="274"/>
      <c r="F387" s="196"/>
      <c r="G387" s="196"/>
      <c r="H387" s="199"/>
    </row>
    <row r="388" spans="1:8">
      <c r="A388" s="62" t="s">
        <v>115</v>
      </c>
      <c r="B388" s="61" t="s">
        <v>116</v>
      </c>
      <c r="C388" s="271">
        <f>VLOOKUP($A$8:$A$1487,'[7]MFP''s'!A$8:C$1502,3,FALSE)</f>
        <v>1070</v>
      </c>
      <c r="D388" s="364">
        <v>507</v>
      </c>
      <c r="E388" s="274">
        <f t="shared" si="35"/>
        <v>0.5261682242990654</v>
      </c>
      <c r="F388" s="196">
        <f t="shared" si="26"/>
        <v>19.047989999999999</v>
      </c>
      <c r="G388" s="196">
        <f t="shared" si="27"/>
        <v>15.032549999999999</v>
      </c>
      <c r="H388" s="199">
        <f t="shared" si="28"/>
        <v>12.69021</v>
      </c>
    </row>
    <row r="389" spans="1:8">
      <c r="A389" s="62">
        <v>4614506</v>
      </c>
      <c r="B389" s="61" t="s">
        <v>117</v>
      </c>
      <c r="C389" s="271">
        <f>VLOOKUP($A$8:$A$1487,'[7]MFP''s'!A$8:C$1502,3,FALSE)</f>
        <v>48</v>
      </c>
      <c r="D389" s="364">
        <v>23</v>
      </c>
      <c r="E389" s="274">
        <f t="shared" si="35"/>
        <v>0.52083333333333326</v>
      </c>
      <c r="F389" s="196">
        <f t="shared" ref="F389:F456" si="36">D389*$F$1</f>
        <v>0.86410999999999993</v>
      </c>
      <c r="G389" s="196">
        <f t="shared" si="27"/>
        <v>0.68194999999999995</v>
      </c>
      <c r="H389" s="199">
        <f t="shared" si="28"/>
        <v>0.57569000000000004</v>
      </c>
    </row>
    <row r="390" spans="1:8">
      <c r="A390" s="62">
        <v>4614511</v>
      </c>
      <c r="B390" s="61" t="s">
        <v>118</v>
      </c>
      <c r="C390" s="271">
        <f>VLOOKUP($A$8:$A$1487,'[7]MFP''s'!A$8:C$1502,3,FALSE)</f>
        <v>27</v>
      </c>
      <c r="D390" s="364">
        <v>13</v>
      </c>
      <c r="E390" s="274">
        <f t="shared" si="35"/>
        <v>0.5185185185185186</v>
      </c>
      <c r="F390" s="196">
        <f t="shared" si="36"/>
        <v>0.48841000000000001</v>
      </c>
      <c r="G390" s="196">
        <f t="shared" si="27"/>
        <v>0.38545000000000001</v>
      </c>
      <c r="H390" s="199">
        <f t="shared" si="28"/>
        <v>0.32539000000000001</v>
      </c>
    </row>
    <row r="391" spans="1:8">
      <c r="A391" s="62" t="s">
        <v>119</v>
      </c>
      <c r="B391" s="61" t="s">
        <v>120</v>
      </c>
      <c r="C391" s="271">
        <f>VLOOKUP($A$8:$A$1487,'[7]MFP''s'!A$8:C$1502,3,FALSE)</f>
        <v>120</v>
      </c>
      <c r="D391" s="364">
        <v>57</v>
      </c>
      <c r="E391" s="274">
        <f t="shared" si="35"/>
        <v>0.52500000000000002</v>
      </c>
      <c r="F391" s="196">
        <f t="shared" ref="F391:F392" si="37">D391*$F$1</f>
        <v>2.1414900000000001</v>
      </c>
      <c r="G391" s="196">
        <f t="shared" ref="G391:G392" si="38">D391*$G$1</f>
        <v>1.6900500000000001</v>
      </c>
      <c r="H391" s="199">
        <f t="shared" ref="H391:H392" si="39">D391*$H$1</f>
        <v>1.4267099999999999</v>
      </c>
    </row>
    <row r="392" spans="1:8">
      <c r="A392" s="62" t="s">
        <v>121</v>
      </c>
      <c r="B392" s="61" t="s">
        <v>122</v>
      </c>
      <c r="C392" s="271">
        <f>VLOOKUP($A$8:$A$1487,'[7]MFP''s'!A$8:C$1502,3,FALSE)</f>
        <v>1068</v>
      </c>
      <c r="D392" s="364">
        <v>506</v>
      </c>
      <c r="E392" s="274">
        <f t="shared" si="35"/>
        <v>0.52621722846441954</v>
      </c>
      <c r="F392" s="196">
        <f t="shared" si="37"/>
        <v>19.01042</v>
      </c>
      <c r="G392" s="196">
        <f t="shared" si="38"/>
        <v>15.0029</v>
      </c>
      <c r="H392" s="199">
        <f t="shared" si="39"/>
        <v>12.665179999999999</v>
      </c>
    </row>
    <row r="393" spans="1:8">
      <c r="A393" s="60" t="s">
        <v>376</v>
      </c>
      <c r="B393" s="61"/>
      <c r="C393" s="271"/>
      <c r="D393" s="364"/>
      <c r="E393" s="274"/>
      <c r="F393" s="196"/>
      <c r="G393" s="196"/>
      <c r="H393" s="199"/>
    </row>
    <row r="394" spans="1:8" ht="30">
      <c r="A394" s="62" t="s">
        <v>126</v>
      </c>
      <c r="B394" s="61" t="s">
        <v>127</v>
      </c>
      <c r="C394" s="271">
        <f>VLOOKUP($A$8:$A$1487,'[7]MFP''s'!A$8:C$1502,3,FALSE)</f>
        <v>1100</v>
      </c>
      <c r="D394" s="364">
        <v>521</v>
      </c>
      <c r="E394" s="274">
        <f t="shared" si="35"/>
        <v>0.52636363636363637</v>
      </c>
      <c r="F394" s="196">
        <f t="shared" si="36"/>
        <v>19.573969999999999</v>
      </c>
      <c r="G394" s="196">
        <f t="shared" si="27"/>
        <v>15.447649999999999</v>
      </c>
      <c r="H394" s="199">
        <f t="shared" si="28"/>
        <v>13.04063</v>
      </c>
    </row>
    <row r="395" spans="1:8">
      <c r="A395" s="62" t="s">
        <v>124</v>
      </c>
      <c r="B395" s="61" t="s">
        <v>125</v>
      </c>
      <c r="C395" s="271">
        <f>VLOOKUP($A$8:$A$1487,'[7]MFP''s'!A$8:C$1502,3,FALSE)</f>
        <v>53</v>
      </c>
      <c r="D395" s="364">
        <v>26</v>
      </c>
      <c r="E395" s="274">
        <f t="shared" si="35"/>
        <v>0.50943396226415094</v>
      </c>
      <c r="F395" s="196">
        <f t="shared" si="36"/>
        <v>0.97682000000000002</v>
      </c>
      <c r="G395" s="196">
        <f t="shared" si="27"/>
        <v>0.77090000000000003</v>
      </c>
      <c r="H395" s="199">
        <f t="shared" si="28"/>
        <v>0.65078000000000003</v>
      </c>
    </row>
    <row r="396" spans="1:8">
      <c r="A396" s="62" t="s">
        <v>128</v>
      </c>
      <c r="B396" s="61" t="s">
        <v>129</v>
      </c>
      <c r="C396" s="271">
        <f>VLOOKUP($A$8:$A$1487,'[7]MFP''s'!A$8:C$1502,3,FALSE)</f>
        <v>785</v>
      </c>
      <c r="D396" s="364">
        <v>372</v>
      </c>
      <c r="E396" s="274">
        <f t="shared" si="35"/>
        <v>0.52611464968152866</v>
      </c>
      <c r="F396" s="196">
        <f t="shared" si="36"/>
        <v>13.976039999999999</v>
      </c>
      <c r="G396" s="196">
        <f t="shared" si="27"/>
        <v>11.0298</v>
      </c>
      <c r="H396" s="199">
        <f t="shared" si="28"/>
        <v>9.3111599999999992</v>
      </c>
    </row>
    <row r="397" spans="1:8">
      <c r="A397" s="62" t="s">
        <v>130</v>
      </c>
      <c r="B397" s="61" t="s">
        <v>131</v>
      </c>
      <c r="C397" s="271">
        <f>VLOOKUP($A$8:$A$1487,'[7]MFP''s'!A$8:C$1502,3,FALSE)</f>
        <v>668</v>
      </c>
      <c r="D397" s="364">
        <v>317</v>
      </c>
      <c r="E397" s="274">
        <f t="shared" si="35"/>
        <v>0.52544910179640714</v>
      </c>
      <c r="F397" s="196">
        <f t="shared" si="36"/>
        <v>11.909689999999999</v>
      </c>
      <c r="G397" s="196">
        <f t="shared" si="27"/>
        <v>9.399049999999999</v>
      </c>
      <c r="H397" s="199">
        <f t="shared" si="28"/>
        <v>7.9345100000000004</v>
      </c>
    </row>
    <row r="398" spans="1:8">
      <c r="A398" s="62" t="s">
        <v>132</v>
      </c>
      <c r="B398" s="61" t="s">
        <v>133</v>
      </c>
      <c r="C398" s="271">
        <f>VLOOKUP($A$8:$A$1487,'[7]MFP''s'!A$8:C$1502,3,FALSE)</f>
        <v>821</v>
      </c>
      <c r="D398" s="364">
        <v>389</v>
      </c>
      <c r="E398" s="274">
        <f t="shared" si="35"/>
        <v>0.52618757612667477</v>
      </c>
      <c r="F398" s="196">
        <f t="shared" si="36"/>
        <v>14.61473</v>
      </c>
      <c r="G398" s="196">
        <f t="shared" si="27"/>
        <v>11.533849999999999</v>
      </c>
      <c r="H398" s="199">
        <f t="shared" si="28"/>
        <v>9.7366700000000002</v>
      </c>
    </row>
    <row r="399" spans="1:8">
      <c r="A399" s="62" t="s">
        <v>134</v>
      </c>
      <c r="B399" s="61" t="s">
        <v>135</v>
      </c>
      <c r="C399" s="271">
        <f>VLOOKUP($A$8:$A$1487,'[7]MFP''s'!A$8:C$1502,3,FALSE)</f>
        <v>690</v>
      </c>
      <c r="D399" s="364">
        <v>327</v>
      </c>
      <c r="E399" s="274">
        <f t="shared" si="35"/>
        <v>0.5260869565217392</v>
      </c>
      <c r="F399" s="196">
        <f t="shared" si="36"/>
        <v>12.28539</v>
      </c>
      <c r="G399" s="196">
        <f t="shared" ref="G399:G464" si="40">D399*$G$1</f>
        <v>9.695549999999999</v>
      </c>
      <c r="H399" s="199">
        <f t="shared" ref="H399:H464" si="41">D399*$H$1</f>
        <v>8.1848100000000006</v>
      </c>
    </row>
    <row r="400" spans="1:8">
      <c r="A400" s="62" t="s">
        <v>136</v>
      </c>
      <c r="B400" s="61" t="s">
        <v>137</v>
      </c>
      <c r="C400" s="271">
        <f>VLOOKUP($A$8:$A$1487,'[7]MFP''s'!A$8:C$1502,3,FALSE)</f>
        <v>191</v>
      </c>
      <c r="D400" s="364">
        <v>91</v>
      </c>
      <c r="E400" s="274">
        <f t="shared" si="35"/>
        <v>0.52356020942408377</v>
      </c>
      <c r="F400" s="196">
        <f t="shared" si="36"/>
        <v>3.4188700000000001</v>
      </c>
      <c r="G400" s="196">
        <f t="shared" si="40"/>
        <v>2.69815</v>
      </c>
      <c r="H400" s="199">
        <f t="shared" si="41"/>
        <v>2.27773</v>
      </c>
    </row>
    <row r="401" spans="1:8" ht="30">
      <c r="A401" s="63" t="s">
        <v>138</v>
      </c>
      <c r="B401" s="61" t="s">
        <v>139</v>
      </c>
      <c r="C401" s="271">
        <f>VLOOKUP($A$8:$A$1487,'[7]MFP''s'!A$8:C$1502,3,FALSE)</f>
        <v>1500</v>
      </c>
      <c r="D401" s="364">
        <v>711</v>
      </c>
      <c r="E401" s="274">
        <f t="shared" si="35"/>
        <v>0.52600000000000002</v>
      </c>
      <c r="F401" s="196">
        <f t="shared" si="36"/>
        <v>26.71227</v>
      </c>
      <c r="G401" s="196">
        <f t="shared" si="40"/>
        <v>21.081150000000001</v>
      </c>
      <c r="H401" s="199">
        <f t="shared" si="41"/>
        <v>17.796330000000001</v>
      </c>
    </row>
    <row r="402" spans="1:8">
      <c r="A402" s="62" t="s">
        <v>140</v>
      </c>
      <c r="B402" s="61" t="s">
        <v>141</v>
      </c>
      <c r="C402" s="271">
        <f>VLOOKUP($A$8:$A$1487,'[7]MFP''s'!A$8:C$1502,3,FALSE)</f>
        <v>250</v>
      </c>
      <c r="D402" s="364">
        <v>119</v>
      </c>
      <c r="E402" s="274">
        <f t="shared" si="35"/>
        <v>0.52400000000000002</v>
      </c>
      <c r="F402" s="196">
        <f t="shared" si="36"/>
        <v>4.4708300000000003</v>
      </c>
      <c r="G402" s="196">
        <f t="shared" si="40"/>
        <v>3.5283500000000001</v>
      </c>
      <c r="H402" s="199">
        <f t="shared" si="41"/>
        <v>2.9785699999999999</v>
      </c>
    </row>
    <row r="403" spans="1:8">
      <c r="A403" s="63" t="s">
        <v>142</v>
      </c>
      <c r="B403" s="61" t="s">
        <v>143</v>
      </c>
      <c r="C403" s="271">
        <f>VLOOKUP($A$8:$A$1487,'[7]MFP''s'!A$8:C$1502,3,FALSE)</f>
        <v>290</v>
      </c>
      <c r="D403" s="364">
        <v>138</v>
      </c>
      <c r="E403" s="274">
        <f t="shared" si="35"/>
        <v>0.5241379310344827</v>
      </c>
      <c r="F403" s="196">
        <f t="shared" si="36"/>
        <v>5.18466</v>
      </c>
      <c r="G403" s="196">
        <f t="shared" si="40"/>
        <v>4.0917000000000003</v>
      </c>
      <c r="H403" s="199">
        <f t="shared" si="41"/>
        <v>3.4541400000000002</v>
      </c>
    </row>
    <row r="404" spans="1:8">
      <c r="A404" s="60" t="s">
        <v>47</v>
      </c>
      <c r="B404" s="61"/>
      <c r="C404" s="271"/>
      <c r="D404" s="364"/>
      <c r="E404" s="274"/>
      <c r="F404" s="196"/>
      <c r="G404" s="196"/>
      <c r="H404" s="199"/>
    </row>
    <row r="405" spans="1:8">
      <c r="A405" s="62" t="s">
        <v>144</v>
      </c>
      <c r="B405" s="61" t="s">
        <v>145</v>
      </c>
      <c r="C405" s="271">
        <f>VLOOKUP($A$8:$A$1487,'[7]MFP''s'!A$8:C$1502,3,FALSE)</f>
        <v>947</v>
      </c>
      <c r="D405" s="364">
        <v>430</v>
      </c>
      <c r="E405" s="274">
        <f t="shared" si="35"/>
        <v>0.5459345300950369</v>
      </c>
      <c r="F405" s="196">
        <f t="shared" si="36"/>
        <v>16.155100000000001</v>
      </c>
      <c r="G405" s="196">
        <f t="shared" si="40"/>
        <v>12.749499999999999</v>
      </c>
      <c r="H405" s="199">
        <f t="shared" si="41"/>
        <v>10.7629</v>
      </c>
    </row>
    <row r="406" spans="1:8">
      <c r="A406" s="62">
        <v>7640005064</v>
      </c>
      <c r="B406" s="61" t="s">
        <v>67</v>
      </c>
      <c r="C406" s="271">
        <f>VLOOKUP($A$8:$A$1487,'[7]MFP''s'!A$8:C$1502,3,FALSE)</f>
        <v>423</v>
      </c>
      <c r="D406" s="364">
        <v>201</v>
      </c>
      <c r="E406" s="274">
        <f t="shared" si="35"/>
        <v>0.52482269503546097</v>
      </c>
      <c r="F406" s="196">
        <f t="shared" si="36"/>
        <v>7.5515699999999999</v>
      </c>
      <c r="G406" s="196">
        <f t="shared" si="40"/>
        <v>5.9596499999999999</v>
      </c>
      <c r="H406" s="199">
        <f t="shared" si="41"/>
        <v>5.0310300000000003</v>
      </c>
    </row>
    <row r="407" spans="1:8">
      <c r="A407" s="62">
        <v>7640008394</v>
      </c>
      <c r="B407" s="61" t="s">
        <v>68</v>
      </c>
      <c r="C407" s="271">
        <f>VLOOKUP($A$8:$A$1487,'[7]MFP''s'!A$8:C$1502,3,FALSE)</f>
        <v>476</v>
      </c>
      <c r="D407" s="364">
        <v>226</v>
      </c>
      <c r="E407" s="274">
        <f t="shared" si="35"/>
        <v>0.52521008403361347</v>
      </c>
      <c r="F407" s="196">
        <f t="shared" si="36"/>
        <v>8.4908199999999994</v>
      </c>
      <c r="G407" s="196">
        <f t="shared" si="40"/>
        <v>6.7008999999999999</v>
      </c>
      <c r="H407" s="199">
        <f t="shared" si="41"/>
        <v>5.6567800000000004</v>
      </c>
    </row>
    <row r="408" spans="1:8">
      <c r="A408" s="62" t="s">
        <v>149</v>
      </c>
      <c r="B408" s="61" t="s">
        <v>150</v>
      </c>
      <c r="C408" s="271">
        <f>VLOOKUP($A$8:$A$1487,'[7]MFP''s'!A$8:C$1502,3,FALSE)</f>
        <v>60</v>
      </c>
      <c r="D408" s="364">
        <v>29</v>
      </c>
      <c r="E408" s="274">
        <f t="shared" si="35"/>
        <v>0.51666666666666661</v>
      </c>
      <c r="F408" s="196">
        <f t="shared" si="36"/>
        <v>1.0895299999999999</v>
      </c>
      <c r="G408" s="196">
        <f t="shared" si="40"/>
        <v>0.85985</v>
      </c>
      <c r="H408" s="199">
        <f t="shared" si="41"/>
        <v>0.72587000000000002</v>
      </c>
    </row>
    <row r="409" spans="1:8" ht="30">
      <c r="A409" s="62" t="s">
        <v>197</v>
      </c>
      <c r="B409" s="61" t="s">
        <v>198</v>
      </c>
      <c r="C409" s="271">
        <f>VLOOKUP($A$8:$A$1487,'[7]MFP''s'!A$8:C$1502,3,FALSE)</f>
        <v>279</v>
      </c>
      <c r="D409" s="364">
        <v>133</v>
      </c>
      <c r="E409" s="274">
        <f t="shared" si="35"/>
        <v>0.52329749103942658</v>
      </c>
      <c r="F409" s="196">
        <f t="shared" si="36"/>
        <v>4.99681</v>
      </c>
      <c r="G409" s="196">
        <f t="shared" si="40"/>
        <v>3.9434499999999999</v>
      </c>
      <c r="H409" s="199">
        <f t="shared" si="41"/>
        <v>3.3289900000000001</v>
      </c>
    </row>
    <row r="410" spans="1:8">
      <c r="A410" s="62" t="s">
        <v>199</v>
      </c>
      <c r="B410" s="61" t="s">
        <v>200</v>
      </c>
      <c r="C410" s="271">
        <f>VLOOKUP($A$8:$A$1487,'[7]MFP''s'!A$8:C$1502,3,FALSE)</f>
        <v>200</v>
      </c>
      <c r="D410" s="364">
        <v>95</v>
      </c>
      <c r="E410" s="274">
        <f t="shared" si="35"/>
        <v>0.52500000000000002</v>
      </c>
      <c r="F410" s="196">
        <f t="shared" si="36"/>
        <v>3.56915</v>
      </c>
      <c r="G410" s="196">
        <f t="shared" si="40"/>
        <v>2.8167499999999999</v>
      </c>
      <c r="H410" s="199">
        <f t="shared" si="41"/>
        <v>2.37785</v>
      </c>
    </row>
    <row r="411" spans="1:8">
      <c r="A411" s="63">
        <v>7640006869</v>
      </c>
      <c r="B411" s="61" t="s">
        <v>155</v>
      </c>
      <c r="C411" s="271">
        <f>VLOOKUP($A$8:$A$1487,'[7]MFP''s'!A$8:C$1502,3,FALSE)</f>
        <v>223</v>
      </c>
      <c r="D411" s="364">
        <v>106</v>
      </c>
      <c r="E411" s="274">
        <f t="shared" si="35"/>
        <v>0.5246636771300448</v>
      </c>
      <c r="F411" s="196">
        <f t="shared" si="36"/>
        <v>3.9824199999999998</v>
      </c>
      <c r="G411" s="196">
        <f t="shared" si="40"/>
        <v>3.1429</v>
      </c>
      <c r="H411" s="199">
        <f t="shared" si="41"/>
        <v>2.6531799999999999</v>
      </c>
    </row>
    <row r="412" spans="1:8">
      <c r="A412" s="63">
        <v>7640013468</v>
      </c>
      <c r="B412" s="61" t="s">
        <v>146</v>
      </c>
      <c r="C412" s="271">
        <f>VLOOKUP($A$8:$A$1487,'[7]MFP''s'!A$8:C$1502,3,FALSE)</f>
        <v>423</v>
      </c>
      <c r="D412" s="364">
        <v>201</v>
      </c>
      <c r="E412" s="274">
        <f t="shared" si="35"/>
        <v>0.52482269503546097</v>
      </c>
      <c r="F412" s="196">
        <f t="shared" si="36"/>
        <v>7.5515699999999999</v>
      </c>
      <c r="G412" s="196">
        <f t="shared" si="40"/>
        <v>5.9596499999999999</v>
      </c>
      <c r="H412" s="199">
        <f t="shared" si="41"/>
        <v>5.0310300000000003</v>
      </c>
    </row>
    <row r="413" spans="1:8">
      <c r="A413" s="71" t="s">
        <v>158</v>
      </c>
      <c r="B413" s="61" t="s">
        <v>159</v>
      </c>
      <c r="C413" s="271">
        <f>VLOOKUP($A$8:$A$1487,'[7]MFP''s'!A$8:C$1502,3,FALSE)</f>
        <v>123</v>
      </c>
      <c r="D413" s="364">
        <v>59</v>
      </c>
      <c r="E413" s="274">
        <f t="shared" si="35"/>
        <v>0.52032520325203246</v>
      </c>
      <c r="F413" s="196">
        <f t="shared" si="36"/>
        <v>2.2166299999999999</v>
      </c>
      <c r="G413" s="196">
        <f t="shared" si="40"/>
        <v>1.74935</v>
      </c>
      <c r="H413" s="199">
        <f t="shared" si="41"/>
        <v>1.4767699999999999</v>
      </c>
    </row>
    <row r="414" spans="1:8">
      <c r="A414" s="71" t="s">
        <v>156</v>
      </c>
      <c r="B414" s="61" t="s">
        <v>157</v>
      </c>
      <c r="C414" s="271">
        <f>VLOOKUP($A$8:$A$1487,'[7]MFP''s'!A$8:C$1502,3,FALSE)</f>
        <v>126</v>
      </c>
      <c r="D414" s="364">
        <v>60</v>
      </c>
      <c r="E414" s="274">
        <f t="shared" si="35"/>
        <v>0.52380952380952384</v>
      </c>
      <c r="F414" s="196">
        <f t="shared" si="36"/>
        <v>2.2542</v>
      </c>
      <c r="G414" s="196">
        <f t="shared" si="40"/>
        <v>1.7789999999999999</v>
      </c>
      <c r="H414" s="199">
        <f t="shared" si="41"/>
        <v>1.5018</v>
      </c>
    </row>
    <row r="415" spans="1:8" ht="30">
      <c r="A415" s="93">
        <v>4623474</v>
      </c>
      <c r="B415" s="61" t="s">
        <v>162</v>
      </c>
      <c r="C415" s="271">
        <f>VLOOKUP($A$8:$A$1487,'[7]MFP''s'!A$8:C$1502,3,FALSE)</f>
        <v>86</v>
      </c>
      <c r="D415" s="364">
        <v>41</v>
      </c>
      <c r="E415" s="274">
        <f t="shared" si="35"/>
        <v>0.52325581395348841</v>
      </c>
      <c r="F415" s="196">
        <f t="shared" si="36"/>
        <v>1.54037</v>
      </c>
      <c r="G415" s="196">
        <f t="shared" si="40"/>
        <v>1.2156499999999999</v>
      </c>
      <c r="H415" s="199">
        <f t="shared" si="41"/>
        <v>1.02623</v>
      </c>
    </row>
    <row r="416" spans="1:8">
      <c r="A416" s="71" t="s">
        <v>160</v>
      </c>
      <c r="B416" s="61" t="s">
        <v>161</v>
      </c>
      <c r="C416" s="271">
        <f>VLOOKUP($A$8:$A$1487,'[7]MFP''s'!A$8:C$1502,3,FALSE)</f>
        <v>112</v>
      </c>
      <c r="D416" s="364">
        <v>54</v>
      </c>
      <c r="E416" s="274">
        <f t="shared" si="35"/>
        <v>0.51785714285714279</v>
      </c>
      <c r="F416" s="196">
        <f t="shared" si="36"/>
        <v>2.0287799999999998</v>
      </c>
      <c r="G416" s="196">
        <f t="shared" si="40"/>
        <v>1.6011</v>
      </c>
      <c r="H416" s="199">
        <f t="shared" si="41"/>
        <v>1.35162</v>
      </c>
    </row>
    <row r="417" spans="1:12">
      <c r="A417" s="93">
        <v>7640005261</v>
      </c>
      <c r="B417" s="61" t="s">
        <v>163</v>
      </c>
      <c r="C417" s="271">
        <f>VLOOKUP($A$8:$A$1487,'[7]MFP''s'!A$8:C$1502,3,FALSE)</f>
        <v>69</v>
      </c>
      <c r="D417" s="364">
        <v>33</v>
      </c>
      <c r="E417" s="274">
        <f t="shared" si="35"/>
        <v>0.52173913043478259</v>
      </c>
      <c r="F417" s="196">
        <f t="shared" si="36"/>
        <v>1.2398100000000001</v>
      </c>
      <c r="G417" s="196">
        <f t="shared" si="40"/>
        <v>0.97844999999999993</v>
      </c>
      <c r="H417" s="199">
        <f t="shared" si="41"/>
        <v>0.82599</v>
      </c>
    </row>
    <row r="418" spans="1:12">
      <c r="A418" s="71" t="s">
        <v>164</v>
      </c>
      <c r="B418" s="61" t="s">
        <v>165</v>
      </c>
      <c r="C418" s="271">
        <f>VLOOKUP($A$8:$A$1487,'[7]MFP''s'!A$8:C$1502,3,FALSE)</f>
        <v>1225</v>
      </c>
      <c r="D418" s="364">
        <v>581</v>
      </c>
      <c r="E418" s="274">
        <f t="shared" si="35"/>
        <v>0.52571428571428569</v>
      </c>
      <c r="F418" s="196">
        <f t="shared" si="36"/>
        <v>21.82817</v>
      </c>
      <c r="G418" s="196">
        <f t="shared" si="40"/>
        <v>17.226649999999999</v>
      </c>
      <c r="H418" s="199">
        <f t="shared" si="41"/>
        <v>14.54243</v>
      </c>
    </row>
    <row r="419" spans="1:12" s="173" customFormat="1">
      <c r="A419" s="62" t="s">
        <v>387</v>
      </c>
      <c r="B419" s="78" t="s">
        <v>388</v>
      </c>
      <c r="C419" s="271">
        <f>VLOOKUP($A$8:$A$1487,'[7]MFP''s'!A$8:C$1502,3,FALSE)</f>
        <v>307</v>
      </c>
      <c r="D419" s="364">
        <v>272</v>
      </c>
      <c r="E419" s="274">
        <f t="shared" si="35"/>
        <v>0.11400651465798051</v>
      </c>
      <c r="F419" s="196">
        <f t="shared" si="36"/>
        <v>10.21904</v>
      </c>
      <c r="G419" s="196">
        <f t="shared" si="40"/>
        <v>8.0648</v>
      </c>
      <c r="H419" s="199">
        <f t="shared" si="41"/>
        <v>6.80816</v>
      </c>
      <c r="J419" s="172"/>
      <c r="K419" s="172"/>
      <c r="L419" s="172"/>
    </row>
    <row r="420" spans="1:12">
      <c r="A420" s="93">
        <v>7640013463</v>
      </c>
      <c r="B420" s="61" t="s">
        <v>55</v>
      </c>
      <c r="C420" s="271">
        <f>VLOOKUP($A$8:$A$1487,'[7]MFP''s'!A$8:C$1502,3,FALSE)</f>
        <v>317</v>
      </c>
      <c r="D420" s="364">
        <v>151</v>
      </c>
      <c r="E420" s="274">
        <f t="shared" si="35"/>
        <v>0.52365930599369093</v>
      </c>
      <c r="F420" s="196">
        <f t="shared" si="36"/>
        <v>5.6730700000000001</v>
      </c>
      <c r="G420" s="196">
        <f t="shared" si="40"/>
        <v>4.47715</v>
      </c>
      <c r="H420" s="199">
        <f t="shared" si="41"/>
        <v>3.7795299999999998</v>
      </c>
    </row>
    <row r="421" spans="1:12">
      <c r="A421" s="71" t="s">
        <v>166</v>
      </c>
      <c r="B421" s="61" t="s">
        <v>167</v>
      </c>
      <c r="C421" s="271">
        <f>VLOOKUP($A$8:$A$1487,'[7]MFP''s'!A$8:C$1502,3,FALSE)</f>
        <v>30</v>
      </c>
      <c r="D421" s="364">
        <v>15</v>
      </c>
      <c r="E421" s="274">
        <f t="shared" si="35"/>
        <v>0.5</v>
      </c>
      <c r="F421" s="196">
        <f t="shared" si="36"/>
        <v>0.56355</v>
      </c>
      <c r="G421" s="196">
        <f t="shared" si="40"/>
        <v>0.44474999999999998</v>
      </c>
      <c r="H421" s="199">
        <f t="shared" si="41"/>
        <v>0.37545000000000001</v>
      </c>
    </row>
    <row r="422" spans="1:12">
      <c r="A422" s="64" t="s">
        <v>377</v>
      </c>
      <c r="B422" s="61"/>
      <c r="C422" s="271"/>
      <c r="D422" s="364"/>
      <c r="E422" s="274"/>
      <c r="F422" s="196"/>
      <c r="G422" s="196"/>
      <c r="H422" s="199"/>
    </row>
    <row r="423" spans="1:12">
      <c r="A423" s="71" t="s">
        <v>168</v>
      </c>
      <c r="B423" s="61" t="s">
        <v>169</v>
      </c>
      <c r="C423" s="271">
        <f>VLOOKUP($A$8:$A$1487,'[7]MFP''s'!A$8:C$1502,3,FALSE)</f>
        <v>250</v>
      </c>
      <c r="D423" s="364">
        <v>250</v>
      </c>
      <c r="E423" s="274">
        <f t="shared" si="35"/>
        <v>0</v>
      </c>
      <c r="F423" s="196">
        <f t="shared" si="36"/>
        <v>9.3925000000000001</v>
      </c>
      <c r="G423" s="196">
        <f t="shared" si="40"/>
        <v>7.4124999999999996</v>
      </c>
      <c r="H423" s="199">
        <f t="shared" si="41"/>
        <v>6.2575000000000003</v>
      </c>
    </row>
    <row r="424" spans="1:12">
      <c r="A424" s="212"/>
      <c r="B424" s="213"/>
      <c r="C424" s="214"/>
      <c r="D424" s="360"/>
      <c r="E424" s="215"/>
      <c r="F424" s="215"/>
      <c r="G424" s="215"/>
      <c r="H424" s="216"/>
    </row>
    <row r="425" spans="1:12" ht="120">
      <c r="A425" s="220" t="s">
        <v>201</v>
      </c>
      <c r="B425" s="222" t="s">
        <v>682</v>
      </c>
      <c r="C425" s="271">
        <f>VLOOKUP($A$8:$A$1487,'[7]MFP''s'!A$8:C$1502,3,FALSE)</f>
        <v>35280</v>
      </c>
      <c r="D425" s="364">
        <v>16351</v>
      </c>
      <c r="E425" s="274">
        <f t="shared" si="35"/>
        <v>0.53653628117913832</v>
      </c>
      <c r="F425" s="196">
        <f t="shared" si="36"/>
        <v>614.30706999999995</v>
      </c>
      <c r="G425" s="196">
        <f t="shared" si="40"/>
        <v>484.80714999999998</v>
      </c>
      <c r="H425" s="199">
        <f t="shared" si="41"/>
        <v>409.26553000000001</v>
      </c>
    </row>
    <row r="426" spans="1:12">
      <c r="A426" s="195" t="s">
        <v>384</v>
      </c>
      <c r="B426" s="197"/>
      <c r="C426" s="271"/>
      <c r="D426" s="357"/>
      <c r="E426" s="274"/>
      <c r="F426" s="196"/>
      <c r="G426" s="196"/>
      <c r="H426" s="199"/>
    </row>
    <row r="427" spans="1:12">
      <c r="A427" s="64" t="s">
        <v>75</v>
      </c>
      <c r="B427" s="65"/>
      <c r="C427" s="271"/>
      <c r="D427" s="364"/>
      <c r="E427" s="274"/>
      <c r="F427" s="196"/>
      <c r="G427" s="196"/>
      <c r="H427" s="199"/>
    </row>
    <row r="428" spans="1:12">
      <c r="A428" s="79" t="s">
        <v>174</v>
      </c>
      <c r="B428" s="61" t="s">
        <v>175</v>
      </c>
      <c r="C428" s="271">
        <f>VLOOKUP($A$8:$A$1487,'[7]MFP''s'!A$8:C$1502,3,FALSE)</f>
        <v>3339</v>
      </c>
      <c r="D428" s="364">
        <v>1582</v>
      </c>
      <c r="E428" s="274">
        <f t="shared" si="35"/>
        <v>0.52620545073375258</v>
      </c>
      <c r="F428" s="196">
        <f t="shared" si="36"/>
        <v>59.435739999999996</v>
      </c>
      <c r="G428" s="196">
        <f t="shared" si="40"/>
        <v>46.906300000000002</v>
      </c>
      <c r="H428" s="199">
        <f t="shared" si="41"/>
        <v>39.597459999999998</v>
      </c>
    </row>
    <row r="429" spans="1:12">
      <c r="A429" s="79" t="s">
        <v>176</v>
      </c>
      <c r="B429" s="61" t="s">
        <v>177</v>
      </c>
      <c r="C429" s="271">
        <f>VLOOKUP($A$8:$A$1487,'[7]MFP''s'!A$8:C$1502,3,FALSE)</f>
        <v>1781</v>
      </c>
      <c r="D429" s="364">
        <v>844</v>
      </c>
      <c r="E429" s="274">
        <f t="shared" si="35"/>
        <v>0.52610892756878158</v>
      </c>
      <c r="F429" s="196">
        <f t="shared" si="36"/>
        <v>31.70908</v>
      </c>
      <c r="G429" s="196">
        <f t="shared" si="40"/>
        <v>25.0246</v>
      </c>
      <c r="H429" s="199">
        <f t="shared" si="41"/>
        <v>21.125319999999999</v>
      </c>
    </row>
    <row r="430" spans="1:12">
      <c r="A430" s="80" t="s">
        <v>66</v>
      </c>
      <c r="B430" s="61"/>
      <c r="C430" s="271"/>
      <c r="D430" s="364"/>
      <c r="E430" s="274"/>
      <c r="F430" s="196"/>
      <c r="G430" s="196"/>
      <c r="H430" s="199"/>
    </row>
    <row r="431" spans="1:12">
      <c r="A431" s="79" t="s">
        <v>187</v>
      </c>
      <c r="B431" s="61" t="s">
        <v>188</v>
      </c>
      <c r="C431" s="271">
        <f>VLOOKUP($A$8:$A$1487,'[7]MFP''s'!A$8:C$1502,3,FALSE)</f>
        <v>3020</v>
      </c>
      <c r="D431" s="364">
        <v>1431</v>
      </c>
      <c r="E431" s="274">
        <f t="shared" si="35"/>
        <v>0.526158940397351</v>
      </c>
      <c r="F431" s="196">
        <f t="shared" si="36"/>
        <v>53.76267</v>
      </c>
      <c r="G431" s="196">
        <f t="shared" si="40"/>
        <v>42.42915</v>
      </c>
      <c r="H431" s="199">
        <f t="shared" si="41"/>
        <v>35.817929999999997</v>
      </c>
    </row>
    <row r="432" spans="1:12">
      <c r="A432" s="79" t="s">
        <v>182</v>
      </c>
      <c r="B432" s="61" t="s">
        <v>183</v>
      </c>
      <c r="C432" s="271">
        <f>VLOOKUP($A$8:$A$1487,'[7]MFP''s'!A$8:C$1502,3,FALSE)</f>
        <v>1670</v>
      </c>
      <c r="D432" s="364">
        <v>791</v>
      </c>
      <c r="E432" s="274">
        <f t="shared" si="35"/>
        <v>0.52634730538922159</v>
      </c>
      <c r="F432" s="196">
        <f t="shared" si="36"/>
        <v>29.717869999999998</v>
      </c>
      <c r="G432" s="196">
        <f t="shared" si="40"/>
        <v>23.453150000000001</v>
      </c>
      <c r="H432" s="199">
        <f t="shared" si="41"/>
        <v>19.798729999999999</v>
      </c>
    </row>
    <row r="433" spans="1:8">
      <c r="A433" s="79" t="s">
        <v>189</v>
      </c>
      <c r="B433" s="61" t="s">
        <v>190</v>
      </c>
      <c r="C433" s="271">
        <f>VLOOKUP($A$8:$A$1487,'[7]MFP''s'!A$8:C$1502,3,FALSE)</f>
        <v>863</v>
      </c>
      <c r="D433" s="364">
        <v>409</v>
      </c>
      <c r="E433" s="274">
        <f t="shared" si="35"/>
        <v>0.526071842410197</v>
      </c>
      <c r="F433" s="196">
        <f t="shared" si="36"/>
        <v>15.36613</v>
      </c>
      <c r="G433" s="196">
        <f t="shared" si="40"/>
        <v>12.126849999999999</v>
      </c>
      <c r="H433" s="199">
        <f t="shared" si="41"/>
        <v>10.237270000000001</v>
      </c>
    </row>
    <row r="434" spans="1:8">
      <c r="A434" s="79" t="s">
        <v>194</v>
      </c>
      <c r="B434" s="61" t="s">
        <v>195</v>
      </c>
      <c r="C434" s="271">
        <f>VLOOKUP($A$8:$A$1487,'[7]MFP''s'!A$8:C$1502,3,FALSE)</f>
        <v>112</v>
      </c>
      <c r="D434" s="364">
        <v>52</v>
      </c>
      <c r="E434" s="274">
        <f t="shared" si="35"/>
        <v>0.5357142857142857</v>
      </c>
      <c r="F434" s="196">
        <f t="shared" si="36"/>
        <v>1.95364</v>
      </c>
      <c r="G434" s="196">
        <f t="shared" si="40"/>
        <v>1.5418000000000001</v>
      </c>
      <c r="H434" s="199">
        <f t="shared" si="41"/>
        <v>1.3015600000000001</v>
      </c>
    </row>
    <row r="435" spans="1:8">
      <c r="A435" s="79" t="s">
        <v>178</v>
      </c>
      <c r="B435" s="61" t="s">
        <v>179</v>
      </c>
      <c r="C435" s="271">
        <f>VLOOKUP($A$8:$A$1487,'[7]MFP''s'!A$8:C$1502,3,FALSE)</f>
        <v>500</v>
      </c>
      <c r="D435" s="364">
        <v>237</v>
      </c>
      <c r="E435" s="274">
        <f t="shared" si="35"/>
        <v>0.52600000000000002</v>
      </c>
      <c r="F435" s="196">
        <f t="shared" si="36"/>
        <v>8.9040900000000001</v>
      </c>
      <c r="G435" s="196">
        <f t="shared" si="40"/>
        <v>7.02705</v>
      </c>
      <c r="H435" s="199">
        <f t="shared" si="41"/>
        <v>5.9321099999999998</v>
      </c>
    </row>
    <row r="436" spans="1:8">
      <c r="A436" s="79" t="s">
        <v>191</v>
      </c>
      <c r="B436" s="61" t="s">
        <v>192</v>
      </c>
      <c r="C436" s="271">
        <f>VLOOKUP($A$8:$A$1487,'[7]MFP''s'!A$8:C$1502,3,FALSE)</f>
        <v>5510</v>
      </c>
      <c r="D436" s="364">
        <v>2610</v>
      </c>
      <c r="E436" s="274">
        <f t="shared" si="35"/>
        <v>0.52631578947368429</v>
      </c>
      <c r="F436" s="196">
        <f t="shared" si="36"/>
        <v>98.057699999999997</v>
      </c>
      <c r="G436" s="196">
        <f t="shared" si="40"/>
        <v>77.386499999999998</v>
      </c>
      <c r="H436" s="199">
        <f t="shared" si="41"/>
        <v>65.328299999999999</v>
      </c>
    </row>
    <row r="437" spans="1:8">
      <c r="A437" s="79" t="s">
        <v>185</v>
      </c>
      <c r="B437" s="61" t="s">
        <v>186</v>
      </c>
      <c r="C437" s="271">
        <f>VLOOKUP($A$8:$A$1487,'[7]MFP''s'!A$8:C$1502,3,FALSE)</f>
        <v>1113</v>
      </c>
      <c r="D437" s="364">
        <v>528</v>
      </c>
      <c r="E437" s="274">
        <f t="shared" si="35"/>
        <v>0.52560646900269536</v>
      </c>
      <c r="F437" s="196">
        <f t="shared" si="36"/>
        <v>19.836960000000001</v>
      </c>
      <c r="G437" s="196">
        <f t="shared" si="40"/>
        <v>15.655199999999999</v>
      </c>
      <c r="H437" s="199">
        <f t="shared" si="41"/>
        <v>13.21584</v>
      </c>
    </row>
    <row r="438" spans="1:8" ht="30">
      <c r="A438" s="330" t="s">
        <v>748</v>
      </c>
      <c r="B438" s="70" t="s">
        <v>783</v>
      </c>
      <c r="C438" s="271">
        <v>1855</v>
      </c>
      <c r="D438" s="364">
        <v>879</v>
      </c>
      <c r="E438" s="274">
        <f t="shared" si="35"/>
        <v>0.52614555256064688</v>
      </c>
      <c r="F438" s="196">
        <f t="shared" si="36"/>
        <v>33.024029999999996</v>
      </c>
      <c r="G438" s="196">
        <f t="shared" si="40"/>
        <v>26.062349999999999</v>
      </c>
      <c r="H438" s="199">
        <f t="shared" si="41"/>
        <v>22.001370000000001</v>
      </c>
    </row>
    <row r="439" spans="1:8" ht="30">
      <c r="A439" s="330" t="s">
        <v>750</v>
      </c>
      <c r="B439" s="331" t="s">
        <v>784</v>
      </c>
      <c r="C439" s="332">
        <v>3305</v>
      </c>
      <c r="D439" s="364">
        <v>1566</v>
      </c>
      <c r="E439" s="274">
        <f t="shared" si="35"/>
        <v>0.52617246596066569</v>
      </c>
      <c r="F439" s="196">
        <f t="shared" si="36"/>
        <v>58.834620000000001</v>
      </c>
      <c r="G439" s="196">
        <f t="shared" si="40"/>
        <v>46.431899999999999</v>
      </c>
      <c r="H439" s="199">
        <f t="shared" si="41"/>
        <v>39.196980000000003</v>
      </c>
    </row>
    <row r="440" spans="1:8">
      <c r="A440" s="62" t="s">
        <v>113</v>
      </c>
      <c r="B440" s="61" t="s">
        <v>114</v>
      </c>
      <c r="C440" s="271">
        <f>VLOOKUP($A$8:$A$1487,'[7]MFP''s'!A$8:C$1502,3,FALSE)</f>
        <v>586</v>
      </c>
      <c r="D440" s="364">
        <v>278</v>
      </c>
      <c r="E440" s="274">
        <f t="shared" si="35"/>
        <v>0.52559726962457343</v>
      </c>
      <c r="F440" s="196">
        <f t="shared" si="36"/>
        <v>10.444459999999999</v>
      </c>
      <c r="G440" s="196">
        <f t="shared" si="40"/>
        <v>8.2426999999999992</v>
      </c>
      <c r="H440" s="199">
        <f t="shared" si="41"/>
        <v>6.9583399999999997</v>
      </c>
    </row>
    <row r="441" spans="1:8">
      <c r="A441" s="60" t="s">
        <v>196</v>
      </c>
      <c r="B441" s="61"/>
      <c r="C441" s="271"/>
      <c r="D441" s="364"/>
      <c r="E441" s="274"/>
      <c r="F441" s="196"/>
      <c r="G441" s="196"/>
      <c r="H441" s="199"/>
    </row>
    <row r="442" spans="1:8">
      <c r="A442" s="79" t="s">
        <v>115</v>
      </c>
      <c r="B442" s="61" t="s">
        <v>116</v>
      </c>
      <c r="C442" s="271">
        <f>VLOOKUP($A$8:$A$1487,'[7]MFP''s'!A$8:C$1502,3,FALSE)</f>
        <v>1070</v>
      </c>
      <c r="D442" s="364">
        <v>507</v>
      </c>
      <c r="E442" s="274">
        <f t="shared" si="35"/>
        <v>0.5261682242990654</v>
      </c>
      <c r="F442" s="196">
        <f t="shared" si="36"/>
        <v>19.047989999999999</v>
      </c>
      <c r="G442" s="196">
        <f t="shared" si="40"/>
        <v>15.032549999999999</v>
      </c>
      <c r="H442" s="199">
        <f t="shared" si="41"/>
        <v>12.69021</v>
      </c>
    </row>
    <row r="443" spans="1:8">
      <c r="A443" s="79">
        <v>4614506</v>
      </c>
      <c r="B443" s="61" t="s">
        <v>117</v>
      </c>
      <c r="C443" s="271">
        <f>VLOOKUP($A$8:$A$1487,'[7]MFP''s'!A$8:C$1502,3,FALSE)</f>
        <v>48</v>
      </c>
      <c r="D443" s="364">
        <v>23</v>
      </c>
      <c r="E443" s="274">
        <f t="shared" si="35"/>
        <v>0.52083333333333326</v>
      </c>
      <c r="F443" s="196">
        <f t="shared" si="36"/>
        <v>0.86410999999999993</v>
      </c>
      <c r="G443" s="196">
        <f t="shared" si="40"/>
        <v>0.68194999999999995</v>
      </c>
      <c r="H443" s="199">
        <f t="shared" si="41"/>
        <v>0.57569000000000004</v>
      </c>
    </row>
    <row r="444" spans="1:8">
      <c r="A444" s="79">
        <v>4614511</v>
      </c>
      <c r="B444" s="61" t="s">
        <v>118</v>
      </c>
      <c r="C444" s="271">
        <f>VLOOKUP($A$8:$A$1487,'[7]MFP''s'!A$8:C$1502,3,FALSE)</f>
        <v>27</v>
      </c>
      <c r="D444" s="364">
        <v>13</v>
      </c>
      <c r="E444" s="274">
        <f t="shared" ref="E444:E507" si="42">100%-(D444/C444)</f>
        <v>0.5185185185185186</v>
      </c>
      <c r="F444" s="196">
        <f t="shared" si="36"/>
        <v>0.48841000000000001</v>
      </c>
      <c r="G444" s="196">
        <f t="shared" si="40"/>
        <v>0.38545000000000001</v>
      </c>
      <c r="H444" s="199">
        <f t="shared" si="41"/>
        <v>0.32539000000000001</v>
      </c>
    </row>
    <row r="445" spans="1:8">
      <c r="A445" s="79" t="s">
        <v>119</v>
      </c>
      <c r="B445" s="61" t="s">
        <v>120</v>
      </c>
      <c r="C445" s="271">
        <f>VLOOKUP($A$8:$A$1487,'[7]MFP''s'!A$8:C$1502,3,FALSE)</f>
        <v>120</v>
      </c>
      <c r="D445" s="364">
        <v>57</v>
      </c>
      <c r="E445" s="274">
        <f t="shared" si="42"/>
        <v>0.52500000000000002</v>
      </c>
      <c r="F445" s="196">
        <f t="shared" ref="F445:F446" si="43">D445*$F$1</f>
        <v>2.1414900000000001</v>
      </c>
      <c r="G445" s="196">
        <f t="shared" ref="G445:G446" si="44">D445*$G$1</f>
        <v>1.6900500000000001</v>
      </c>
      <c r="H445" s="199">
        <f t="shared" ref="H445:H446" si="45">D445*$H$1</f>
        <v>1.4267099999999999</v>
      </c>
    </row>
    <row r="446" spans="1:8">
      <c r="A446" s="79" t="s">
        <v>121</v>
      </c>
      <c r="B446" s="61" t="s">
        <v>122</v>
      </c>
      <c r="C446" s="271">
        <f>VLOOKUP($A$8:$A$1487,'[7]MFP''s'!A$8:C$1502,3,FALSE)</f>
        <v>1068</v>
      </c>
      <c r="D446" s="364">
        <v>506</v>
      </c>
      <c r="E446" s="274">
        <f t="shared" si="42"/>
        <v>0.52621722846441954</v>
      </c>
      <c r="F446" s="196">
        <f t="shared" si="43"/>
        <v>19.01042</v>
      </c>
      <c r="G446" s="196">
        <f t="shared" si="44"/>
        <v>15.0029</v>
      </c>
      <c r="H446" s="199">
        <f t="shared" si="45"/>
        <v>12.665179999999999</v>
      </c>
    </row>
    <row r="447" spans="1:8">
      <c r="A447" s="60" t="s">
        <v>376</v>
      </c>
      <c r="B447" s="61"/>
      <c r="C447" s="271"/>
      <c r="D447" s="364"/>
      <c r="E447" s="274"/>
      <c r="F447" s="196"/>
      <c r="G447" s="196"/>
      <c r="H447" s="199"/>
    </row>
    <row r="448" spans="1:8" ht="30">
      <c r="A448" s="79" t="s">
        <v>126</v>
      </c>
      <c r="B448" s="61" t="s">
        <v>127</v>
      </c>
      <c r="C448" s="271">
        <f>VLOOKUP($A$8:$A$1487,'[7]MFP''s'!A$8:C$1502,3,FALSE)</f>
        <v>1100</v>
      </c>
      <c r="D448" s="364">
        <v>521</v>
      </c>
      <c r="E448" s="274">
        <f t="shared" si="42"/>
        <v>0.52636363636363637</v>
      </c>
      <c r="F448" s="196">
        <f t="shared" si="36"/>
        <v>19.573969999999999</v>
      </c>
      <c r="G448" s="196">
        <f t="shared" si="40"/>
        <v>15.447649999999999</v>
      </c>
      <c r="H448" s="199">
        <f t="shared" si="41"/>
        <v>13.04063</v>
      </c>
    </row>
    <row r="449" spans="1:8">
      <c r="A449" s="79" t="s">
        <v>124</v>
      </c>
      <c r="B449" s="61" t="s">
        <v>125</v>
      </c>
      <c r="C449" s="271">
        <f>VLOOKUP($A$8:$A$1487,'[7]MFP''s'!A$8:C$1502,3,FALSE)</f>
        <v>53</v>
      </c>
      <c r="D449" s="364">
        <v>26</v>
      </c>
      <c r="E449" s="274">
        <f t="shared" si="42"/>
        <v>0.50943396226415094</v>
      </c>
      <c r="F449" s="196">
        <f t="shared" si="36"/>
        <v>0.97682000000000002</v>
      </c>
      <c r="G449" s="196">
        <f t="shared" si="40"/>
        <v>0.77090000000000003</v>
      </c>
      <c r="H449" s="199">
        <f t="shared" si="41"/>
        <v>0.65078000000000003</v>
      </c>
    </row>
    <row r="450" spans="1:8">
      <c r="A450" s="79" t="s">
        <v>128</v>
      </c>
      <c r="B450" s="61" t="s">
        <v>129</v>
      </c>
      <c r="C450" s="271">
        <f>VLOOKUP($A$8:$A$1487,'[7]MFP''s'!A$8:C$1502,3,FALSE)</f>
        <v>785</v>
      </c>
      <c r="D450" s="364">
        <v>372</v>
      </c>
      <c r="E450" s="274">
        <f t="shared" si="42"/>
        <v>0.52611464968152866</v>
      </c>
      <c r="F450" s="196">
        <f t="shared" si="36"/>
        <v>13.976039999999999</v>
      </c>
      <c r="G450" s="196">
        <f t="shared" si="40"/>
        <v>11.0298</v>
      </c>
      <c r="H450" s="199">
        <f t="shared" si="41"/>
        <v>9.3111599999999992</v>
      </c>
    </row>
    <row r="451" spans="1:8">
      <c r="A451" s="79" t="s">
        <v>130</v>
      </c>
      <c r="B451" s="61" t="s">
        <v>131</v>
      </c>
      <c r="C451" s="271">
        <f>VLOOKUP($A$8:$A$1487,'[7]MFP''s'!A$8:C$1502,3,FALSE)</f>
        <v>668</v>
      </c>
      <c r="D451" s="364">
        <v>317</v>
      </c>
      <c r="E451" s="274">
        <f t="shared" si="42"/>
        <v>0.52544910179640714</v>
      </c>
      <c r="F451" s="196">
        <f t="shared" si="36"/>
        <v>11.909689999999999</v>
      </c>
      <c r="G451" s="196">
        <f t="shared" si="40"/>
        <v>9.399049999999999</v>
      </c>
      <c r="H451" s="199">
        <f t="shared" si="41"/>
        <v>7.9345100000000004</v>
      </c>
    </row>
    <row r="452" spans="1:8">
      <c r="A452" s="79" t="s">
        <v>132</v>
      </c>
      <c r="B452" s="61" t="s">
        <v>133</v>
      </c>
      <c r="C452" s="271">
        <f>VLOOKUP($A$8:$A$1487,'[7]MFP''s'!A$8:C$1502,3,FALSE)</f>
        <v>821</v>
      </c>
      <c r="D452" s="364">
        <v>389</v>
      </c>
      <c r="E452" s="274">
        <f t="shared" si="42"/>
        <v>0.52618757612667477</v>
      </c>
      <c r="F452" s="196">
        <f t="shared" si="36"/>
        <v>14.61473</v>
      </c>
      <c r="G452" s="196">
        <f t="shared" si="40"/>
        <v>11.533849999999999</v>
      </c>
      <c r="H452" s="199">
        <f t="shared" si="41"/>
        <v>9.7366700000000002</v>
      </c>
    </row>
    <row r="453" spans="1:8">
      <c r="A453" s="79" t="s">
        <v>134</v>
      </c>
      <c r="B453" s="61" t="s">
        <v>135</v>
      </c>
      <c r="C453" s="271">
        <f>VLOOKUP($A$8:$A$1487,'[7]MFP''s'!A$8:C$1502,3,FALSE)</f>
        <v>690</v>
      </c>
      <c r="D453" s="364">
        <v>327</v>
      </c>
      <c r="E453" s="274">
        <f t="shared" si="42"/>
        <v>0.5260869565217392</v>
      </c>
      <c r="F453" s="196">
        <f t="shared" si="36"/>
        <v>12.28539</v>
      </c>
      <c r="G453" s="196">
        <f t="shared" si="40"/>
        <v>9.695549999999999</v>
      </c>
      <c r="H453" s="199">
        <f t="shared" si="41"/>
        <v>8.1848100000000006</v>
      </c>
    </row>
    <row r="454" spans="1:8">
      <c r="A454" s="79" t="s">
        <v>136</v>
      </c>
      <c r="B454" s="61" t="s">
        <v>137</v>
      </c>
      <c r="C454" s="271">
        <f>VLOOKUP($A$8:$A$1487,'[7]MFP''s'!A$8:C$1502,3,FALSE)</f>
        <v>191</v>
      </c>
      <c r="D454" s="364">
        <v>91</v>
      </c>
      <c r="E454" s="274">
        <f t="shared" si="42"/>
        <v>0.52356020942408377</v>
      </c>
      <c r="F454" s="196">
        <f t="shared" si="36"/>
        <v>3.4188700000000001</v>
      </c>
      <c r="G454" s="196">
        <f t="shared" si="40"/>
        <v>2.69815</v>
      </c>
      <c r="H454" s="199">
        <f t="shared" si="41"/>
        <v>2.27773</v>
      </c>
    </row>
    <row r="455" spans="1:8" ht="30">
      <c r="A455" s="84" t="s">
        <v>138</v>
      </c>
      <c r="B455" s="61" t="s">
        <v>139</v>
      </c>
      <c r="C455" s="271">
        <f>VLOOKUP($A$8:$A$1487,'[7]MFP''s'!A$8:C$1502,3,FALSE)</f>
        <v>1500</v>
      </c>
      <c r="D455" s="364">
        <v>711</v>
      </c>
      <c r="E455" s="274">
        <f t="shared" si="42"/>
        <v>0.52600000000000002</v>
      </c>
      <c r="F455" s="196">
        <f t="shared" si="36"/>
        <v>26.71227</v>
      </c>
      <c r="G455" s="196">
        <f t="shared" si="40"/>
        <v>21.081150000000001</v>
      </c>
      <c r="H455" s="199">
        <f t="shared" si="41"/>
        <v>17.796330000000001</v>
      </c>
    </row>
    <row r="456" spans="1:8">
      <c r="A456" s="79" t="s">
        <v>140</v>
      </c>
      <c r="B456" s="61" t="s">
        <v>141</v>
      </c>
      <c r="C456" s="271">
        <f>VLOOKUP($A$8:$A$1487,'[7]MFP''s'!A$8:C$1502,3,FALSE)</f>
        <v>250</v>
      </c>
      <c r="D456" s="364">
        <v>119</v>
      </c>
      <c r="E456" s="274">
        <f t="shared" si="42"/>
        <v>0.52400000000000002</v>
      </c>
      <c r="F456" s="196">
        <f t="shared" si="36"/>
        <v>4.4708300000000003</v>
      </c>
      <c r="G456" s="196">
        <f t="shared" si="40"/>
        <v>3.5283500000000001</v>
      </c>
      <c r="H456" s="199">
        <f t="shared" si="41"/>
        <v>2.9785699999999999</v>
      </c>
    </row>
    <row r="457" spans="1:8">
      <c r="A457" s="84" t="s">
        <v>142</v>
      </c>
      <c r="B457" s="61" t="s">
        <v>143</v>
      </c>
      <c r="C457" s="271">
        <f>VLOOKUP($A$8:$A$1487,'[7]MFP''s'!A$8:C$1502,3,FALSE)</f>
        <v>290</v>
      </c>
      <c r="D457" s="364">
        <v>138</v>
      </c>
      <c r="E457" s="274">
        <f t="shared" si="42"/>
        <v>0.5241379310344827</v>
      </c>
      <c r="F457" s="196">
        <f t="shared" ref="F457:F522" si="46">D457*$F$1</f>
        <v>5.18466</v>
      </c>
      <c r="G457" s="196">
        <f t="shared" si="40"/>
        <v>4.0917000000000003</v>
      </c>
      <c r="H457" s="199">
        <f t="shared" si="41"/>
        <v>3.4541400000000002</v>
      </c>
    </row>
    <row r="458" spans="1:8">
      <c r="A458" s="60" t="s">
        <v>47</v>
      </c>
      <c r="B458" s="61"/>
      <c r="C458" s="271"/>
      <c r="D458" s="364"/>
      <c r="E458" s="274"/>
      <c r="F458" s="196"/>
      <c r="G458" s="196"/>
      <c r="H458" s="199"/>
    </row>
    <row r="459" spans="1:8">
      <c r="A459" s="79" t="s">
        <v>144</v>
      </c>
      <c r="B459" s="61" t="s">
        <v>145</v>
      </c>
      <c r="C459" s="271">
        <f>VLOOKUP($A$8:$A$1487,'[7]MFP''s'!A$8:C$1502,3,FALSE)</f>
        <v>947</v>
      </c>
      <c r="D459" s="364">
        <v>430</v>
      </c>
      <c r="E459" s="274">
        <f t="shared" si="42"/>
        <v>0.5459345300950369</v>
      </c>
      <c r="F459" s="196">
        <f t="shared" si="46"/>
        <v>16.155100000000001</v>
      </c>
      <c r="G459" s="196">
        <f t="shared" si="40"/>
        <v>12.749499999999999</v>
      </c>
      <c r="H459" s="199">
        <f t="shared" si="41"/>
        <v>10.7629</v>
      </c>
    </row>
    <row r="460" spans="1:8">
      <c r="A460" s="79">
        <v>7640005064</v>
      </c>
      <c r="B460" s="61" t="s">
        <v>67</v>
      </c>
      <c r="C460" s="271">
        <f>VLOOKUP($A$8:$A$1487,'[7]MFP''s'!A$8:C$1502,3,FALSE)</f>
        <v>423</v>
      </c>
      <c r="D460" s="364">
        <v>201</v>
      </c>
      <c r="E460" s="274">
        <f t="shared" si="42"/>
        <v>0.52482269503546097</v>
      </c>
      <c r="F460" s="196">
        <f t="shared" si="46"/>
        <v>7.5515699999999999</v>
      </c>
      <c r="G460" s="196">
        <f t="shared" si="40"/>
        <v>5.9596499999999999</v>
      </c>
      <c r="H460" s="199">
        <f t="shared" si="41"/>
        <v>5.0310300000000003</v>
      </c>
    </row>
    <row r="461" spans="1:8">
      <c r="A461" s="79">
        <v>7640008394</v>
      </c>
      <c r="B461" s="61" t="s">
        <v>68</v>
      </c>
      <c r="C461" s="271">
        <f>VLOOKUP($A$8:$A$1487,'[7]MFP''s'!A$8:C$1502,3,FALSE)</f>
        <v>476</v>
      </c>
      <c r="D461" s="364">
        <v>226</v>
      </c>
      <c r="E461" s="274">
        <f t="shared" si="42"/>
        <v>0.52521008403361347</v>
      </c>
      <c r="F461" s="196">
        <f t="shared" si="46"/>
        <v>8.4908199999999994</v>
      </c>
      <c r="G461" s="196">
        <f t="shared" si="40"/>
        <v>6.7008999999999999</v>
      </c>
      <c r="H461" s="199">
        <f t="shared" si="41"/>
        <v>5.6567800000000004</v>
      </c>
    </row>
    <row r="462" spans="1:8">
      <c r="A462" s="79" t="s">
        <v>149</v>
      </c>
      <c r="B462" s="61" t="s">
        <v>150</v>
      </c>
      <c r="C462" s="271">
        <f>VLOOKUP($A$8:$A$1487,'[7]MFP''s'!A$8:C$1502,3,FALSE)</f>
        <v>60</v>
      </c>
      <c r="D462" s="364">
        <v>29</v>
      </c>
      <c r="E462" s="274">
        <f t="shared" si="42"/>
        <v>0.51666666666666661</v>
      </c>
      <c r="F462" s="196">
        <f t="shared" si="46"/>
        <v>1.0895299999999999</v>
      </c>
      <c r="G462" s="196">
        <f t="shared" si="40"/>
        <v>0.85985</v>
      </c>
      <c r="H462" s="199">
        <f t="shared" si="41"/>
        <v>0.72587000000000002</v>
      </c>
    </row>
    <row r="463" spans="1:8" ht="30">
      <c r="A463" s="79" t="s">
        <v>197</v>
      </c>
      <c r="B463" s="61" t="s">
        <v>198</v>
      </c>
      <c r="C463" s="271">
        <f>VLOOKUP($A$8:$A$1487,'[7]MFP''s'!A$8:C$1502,3,FALSE)</f>
        <v>279</v>
      </c>
      <c r="D463" s="364">
        <v>133</v>
      </c>
      <c r="E463" s="274">
        <f t="shared" si="42"/>
        <v>0.52329749103942658</v>
      </c>
      <c r="F463" s="196">
        <f t="shared" si="46"/>
        <v>4.99681</v>
      </c>
      <c r="G463" s="196">
        <f t="shared" si="40"/>
        <v>3.9434499999999999</v>
      </c>
      <c r="H463" s="199">
        <f t="shared" si="41"/>
        <v>3.3289900000000001</v>
      </c>
    </row>
    <row r="464" spans="1:8">
      <c r="A464" s="79" t="s">
        <v>199</v>
      </c>
      <c r="B464" s="61" t="s">
        <v>200</v>
      </c>
      <c r="C464" s="271">
        <f>VLOOKUP($A$8:$A$1487,'[7]MFP''s'!A$8:C$1502,3,FALSE)</f>
        <v>200</v>
      </c>
      <c r="D464" s="364">
        <v>95</v>
      </c>
      <c r="E464" s="274">
        <f t="shared" si="42"/>
        <v>0.52500000000000002</v>
      </c>
      <c r="F464" s="196">
        <f t="shared" si="46"/>
        <v>3.56915</v>
      </c>
      <c r="G464" s="196">
        <f t="shared" si="40"/>
        <v>2.8167499999999999</v>
      </c>
      <c r="H464" s="199">
        <f t="shared" si="41"/>
        <v>2.37785</v>
      </c>
    </row>
    <row r="465" spans="1:12">
      <c r="A465" s="84">
        <v>7640006869</v>
      </c>
      <c r="B465" s="61" t="s">
        <v>155</v>
      </c>
      <c r="C465" s="271">
        <f>VLOOKUP($A$8:$A$1487,'[7]MFP''s'!A$8:C$1502,3,FALSE)</f>
        <v>223</v>
      </c>
      <c r="D465" s="364">
        <v>106</v>
      </c>
      <c r="E465" s="274">
        <f t="shared" si="42"/>
        <v>0.5246636771300448</v>
      </c>
      <c r="F465" s="196">
        <f t="shared" si="46"/>
        <v>3.9824199999999998</v>
      </c>
      <c r="G465" s="196">
        <f t="shared" ref="G465:G531" si="47">D465*$G$1</f>
        <v>3.1429</v>
      </c>
      <c r="H465" s="199">
        <f t="shared" ref="H465:H531" si="48">D465*$H$1</f>
        <v>2.6531799999999999</v>
      </c>
    </row>
    <row r="466" spans="1:12">
      <c r="A466" s="84">
        <v>7640013468</v>
      </c>
      <c r="B466" s="61" t="s">
        <v>146</v>
      </c>
      <c r="C466" s="271">
        <f>VLOOKUP($A$8:$A$1487,'[7]MFP''s'!A$8:C$1502,3,FALSE)</f>
        <v>423</v>
      </c>
      <c r="D466" s="364">
        <v>201</v>
      </c>
      <c r="E466" s="274">
        <f t="shared" si="42"/>
        <v>0.52482269503546097</v>
      </c>
      <c r="F466" s="196">
        <f t="shared" si="46"/>
        <v>7.5515699999999999</v>
      </c>
      <c r="G466" s="196">
        <f t="shared" si="47"/>
        <v>5.9596499999999999</v>
      </c>
      <c r="H466" s="199">
        <f t="shared" si="48"/>
        <v>5.0310300000000003</v>
      </c>
    </row>
    <row r="467" spans="1:12">
      <c r="A467" s="85" t="s">
        <v>158</v>
      </c>
      <c r="B467" s="61" t="s">
        <v>159</v>
      </c>
      <c r="C467" s="271">
        <f>VLOOKUP($A$8:$A$1487,'[7]MFP''s'!A$8:C$1502,3,FALSE)</f>
        <v>123</v>
      </c>
      <c r="D467" s="364">
        <v>59</v>
      </c>
      <c r="E467" s="274">
        <f t="shared" si="42"/>
        <v>0.52032520325203246</v>
      </c>
      <c r="F467" s="196">
        <f t="shared" si="46"/>
        <v>2.2166299999999999</v>
      </c>
      <c r="G467" s="196">
        <f t="shared" si="47"/>
        <v>1.74935</v>
      </c>
      <c r="H467" s="199">
        <f t="shared" si="48"/>
        <v>1.4767699999999999</v>
      </c>
    </row>
    <row r="468" spans="1:12">
      <c r="A468" s="85" t="s">
        <v>156</v>
      </c>
      <c r="B468" s="61" t="s">
        <v>157</v>
      </c>
      <c r="C468" s="271">
        <f>VLOOKUP($A$8:$A$1487,'[7]MFP''s'!A$8:C$1502,3,FALSE)</f>
        <v>126</v>
      </c>
      <c r="D468" s="364">
        <v>60</v>
      </c>
      <c r="E468" s="274">
        <f t="shared" si="42"/>
        <v>0.52380952380952384</v>
      </c>
      <c r="F468" s="196">
        <f t="shared" si="46"/>
        <v>2.2542</v>
      </c>
      <c r="G468" s="196">
        <f t="shared" si="47"/>
        <v>1.7789999999999999</v>
      </c>
      <c r="H468" s="199">
        <f t="shared" si="48"/>
        <v>1.5018</v>
      </c>
    </row>
    <row r="469" spans="1:12" ht="30">
      <c r="A469" s="93">
        <v>4623474</v>
      </c>
      <c r="B469" s="61" t="s">
        <v>162</v>
      </c>
      <c r="C469" s="271">
        <f>VLOOKUP($A$8:$A$1487,'[7]MFP''s'!A$8:C$1502,3,FALSE)</f>
        <v>86</v>
      </c>
      <c r="D469" s="364">
        <v>41</v>
      </c>
      <c r="E469" s="274">
        <f t="shared" si="42"/>
        <v>0.52325581395348841</v>
      </c>
      <c r="F469" s="196">
        <f t="shared" si="46"/>
        <v>1.54037</v>
      </c>
      <c r="G469" s="196">
        <f t="shared" si="47"/>
        <v>1.2156499999999999</v>
      </c>
      <c r="H469" s="199">
        <f t="shared" si="48"/>
        <v>1.02623</v>
      </c>
    </row>
    <row r="470" spans="1:12">
      <c r="A470" s="85" t="s">
        <v>160</v>
      </c>
      <c r="B470" s="61" t="s">
        <v>161</v>
      </c>
      <c r="C470" s="271">
        <f>VLOOKUP($A$8:$A$1487,'[7]MFP''s'!A$8:C$1502,3,FALSE)</f>
        <v>112</v>
      </c>
      <c r="D470" s="364">
        <v>54</v>
      </c>
      <c r="E470" s="274">
        <f t="shared" si="42"/>
        <v>0.51785714285714279</v>
      </c>
      <c r="F470" s="196">
        <f t="shared" si="46"/>
        <v>2.0287799999999998</v>
      </c>
      <c r="G470" s="196">
        <f t="shared" si="47"/>
        <v>1.6011</v>
      </c>
      <c r="H470" s="199">
        <f t="shared" si="48"/>
        <v>1.35162</v>
      </c>
    </row>
    <row r="471" spans="1:12">
      <c r="A471" s="93">
        <v>7640005261</v>
      </c>
      <c r="B471" s="61" t="s">
        <v>163</v>
      </c>
      <c r="C471" s="271">
        <f>VLOOKUP($A$8:$A$1487,'[7]MFP''s'!A$8:C$1502,3,FALSE)</f>
        <v>69</v>
      </c>
      <c r="D471" s="364">
        <v>33</v>
      </c>
      <c r="E471" s="274">
        <f t="shared" si="42"/>
        <v>0.52173913043478259</v>
      </c>
      <c r="F471" s="196">
        <f t="shared" si="46"/>
        <v>1.2398100000000001</v>
      </c>
      <c r="G471" s="196">
        <f t="shared" si="47"/>
        <v>0.97844999999999993</v>
      </c>
      <c r="H471" s="199">
        <f t="shared" si="48"/>
        <v>0.82599</v>
      </c>
    </row>
    <row r="472" spans="1:12">
      <c r="A472" s="85" t="s">
        <v>164</v>
      </c>
      <c r="B472" s="61" t="s">
        <v>165</v>
      </c>
      <c r="C472" s="271">
        <f>VLOOKUP($A$8:$A$1487,'[7]MFP''s'!A$8:C$1502,3,FALSE)</f>
        <v>1225</v>
      </c>
      <c r="D472" s="364">
        <v>581</v>
      </c>
      <c r="E472" s="274">
        <f t="shared" si="42"/>
        <v>0.52571428571428569</v>
      </c>
      <c r="F472" s="196">
        <f t="shared" si="46"/>
        <v>21.82817</v>
      </c>
      <c r="G472" s="196">
        <f t="shared" si="47"/>
        <v>17.226649999999999</v>
      </c>
      <c r="H472" s="199">
        <f t="shared" si="48"/>
        <v>14.54243</v>
      </c>
    </row>
    <row r="473" spans="1:12" s="173" customFormat="1">
      <c r="A473" s="62" t="s">
        <v>387</v>
      </c>
      <c r="B473" s="78" t="s">
        <v>388</v>
      </c>
      <c r="C473" s="271">
        <f>VLOOKUP($A$8:$A$1487,'[7]MFP''s'!A$8:C$1502,3,FALSE)</f>
        <v>307</v>
      </c>
      <c r="D473" s="364">
        <v>272</v>
      </c>
      <c r="E473" s="274">
        <f t="shared" si="42"/>
        <v>0.11400651465798051</v>
      </c>
      <c r="F473" s="196">
        <f t="shared" si="46"/>
        <v>10.21904</v>
      </c>
      <c r="G473" s="196">
        <f t="shared" si="47"/>
        <v>8.0648</v>
      </c>
      <c r="H473" s="199">
        <f t="shared" si="48"/>
        <v>6.80816</v>
      </c>
      <c r="J473" s="172"/>
      <c r="K473" s="172"/>
      <c r="L473" s="172"/>
    </row>
    <row r="474" spans="1:12">
      <c r="A474" s="93">
        <v>7640013463</v>
      </c>
      <c r="B474" s="61" t="s">
        <v>55</v>
      </c>
      <c r="C474" s="271">
        <f>VLOOKUP($A$8:$A$1487,'[7]MFP''s'!A$8:C$1502,3,FALSE)</f>
        <v>317</v>
      </c>
      <c r="D474" s="364">
        <v>151</v>
      </c>
      <c r="E474" s="274">
        <f t="shared" si="42"/>
        <v>0.52365930599369093</v>
      </c>
      <c r="F474" s="196">
        <f t="shared" si="46"/>
        <v>5.6730700000000001</v>
      </c>
      <c r="G474" s="196">
        <f t="shared" si="47"/>
        <v>4.47715</v>
      </c>
      <c r="H474" s="199">
        <f t="shared" si="48"/>
        <v>3.7795299999999998</v>
      </c>
    </row>
    <row r="475" spans="1:12">
      <c r="A475" s="85" t="s">
        <v>166</v>
      </c>
      <c r="B475" s="61" t="s">
        <v>167</v>
      </c>
      <c r="C475" s="271">
        <f>VLOOKUP($A$8:$A$1487,'[7]MFP''s'!A$8:C$1502,3,FALSE)</f>
        <v>30</v>
      </c>
      <c r="D475" s="364">
        <v>15</v>
      </c>
      <c r="E475" s="274">
        <f t="shared" si="42"/>
        <v>0.5</v>
      </c>
      <c r="F475" s="196">
        <f t="shared" si="46"/>
        <v>0.56355</v>
      </c>
      <c r="G475" s="196">
        <f t="shared" si="47"/>
        <v>0.44474999999999998</v>
      </c>
      <c r="H475" s="199">
        <f t="shared" si="48"/>
        <v>0.37545000000000001</v>
      </c>
    </row>
    <row r="476" spans="1:12">
      <c r="A476" s="64" t="s">
        <v>171</v>
      </c>
      <c r="B476" s="61"/>
      <c r="C476" s="271"/>
      <c r="D476" s="364"/>
      <c r="E476" s="274"/>
      <c r="F476" s="196"/>
      <c r="G476" s="196"/>
      <c r="H476" s="199"/>
    </row>
    <row r="477" spans="1:12">
      <c r="A477" s="71" t="s">
        <v>168</v>
      </c>
      <c r="B477" s="61" t="s">
        <v>169</v>
      </c>
      <c r="C477" s="271">
        <f>VLOOKUP($A$8:$A$1487,'[7]MFP''s'!A$8:C$1502,3,FALSE)</f>
        <v>250</v>
      </c>
      <c r="D477" s="364">
        <v>250</v>
      </c>
      <c r="E477" s="274">
        <f t="shared" si="42"/>
        <v>0</v>
      </c>
      <c r="F477" s="196">
        <f t="shared" si="46"/>
        <v>9.3925000000000001</v>
      </c>
      <c r="G477" s="196">
        <f t="shared" si="47"/>
        <v>7.4124999999999996</v>
      </c>
      <c r="H477" s="199">
        <f t="shared" si="48"/>
        <v>6.2575000000000003</v>
      </c>
    </row>
    <row r="478" spans="1:12">
      <c r="A478" s="212"/>
      <c r="B478" s="213"/>
      <c r="C478" s="214"/>
      <c r="D478" s="360"/>
      <c r="E478" s="215"/>
      <c r="F478" s="215"/>
      <c r="G478" s="215"/>
      <c r="H478" s="216"/>
    </row>
    <row r="479" spans="1:12" ht="90">
      <c r="A479" s="220" t="s">
        <v>202</v>
      </c>
      <c r="B479" s="221" t="s">
        <v>683</v>
      </c>
      <c r="C479" s="271">
        <f>VLOOKUP($A$8:$A$1487,'[7]MFP''s'!A$8:C$1502,3,FALSE)</f>
        <v>42000</v>
      </c>
      <c r="D479" s="364">
        <v>19042</v>
      </c>
      <c r="E479" s="274">
        <f t="shared" si="42"/>
        <v>0.54661904761904756</v>
      </c>
      <c r="F479" s="196">
        <f t="shared" si="46"/>
        <v>715.40793999999994</v>
      </c>
      <c r="G479" s="196">
        <f t="shared" si="47"/>
        <v>564.59529999999995</v>
      </c>
      <c r="H479" s="199">
        <f t="shared" si="48"/>
        <v>476.62126000000001</v>
      </c>
    </row>
    <row r="480" spans="1:12">
      <c r="A480" s="63" t="s">
        <v>203</v>
      </c>
      <c r="B480" s="61" t="s">
        <v>204</v>
      </c>
      <c r="C480" s="271">
        <f>VLOOKUP($A$8:$A$1487,'[7]MFP''s'!A$8:C$1502,3,FALSE)</f>
        <v>600</v>
      </c>
      <c r="D480" s="364">
        <v>600</v>
      </c>
      <c r="E480" s="274">
        <f t="shared" si="42"/>
        <v>0</v>
      </c>
      <c r="F480" s="196">
        <f t="shared" si="46"/>
        <v>22.541999999999998</v>
      </c>
      <c r="G480" s="196">
        <f t="shared" si="47"/>
        <v>17.79</v>
      </c>
      <c r="H480" s="199">
        <f t="shared" si="48"/>
        <v>15.018000000000001</v>
      </c>
    </row>
    <row r="481" spans="1:8">
      <c r="A481" s="63" t="s">
        <v>64</v>
      </c>
      <c r="B481" s="61" t="s">
        <v>65</v>
      </c>
      <c r="C481" s="271">
        <f>VLOOKUP($A$8:$A$1487,'[7]MFP''s'!A$8:C$1502,3,FALSE)</f>
        <v>1</v>
      </c>
      <c r="D481" s="364">
        <v>1</v>
      </c>
      <c r="E481" s="274">
        <f t="shared" si="42"/>
        <v>0</v>
      </c>
      <c r="F481" s="196">
        <f t="shared" si="46"/>
        <v>3.7569999999999999E-2</v>
      </c>
      <c r="G481" s="196">
        <f t="shared" si="47"/>
        <v>2.9649999999999999E-2</v>
      </c>
      <c r="H481" s="199">
        <f t="shared" si="48"/>
        <v>2.503E-2</v>
      </c>
    </row>
    <row r="482" spans="1:8">
      <c r="A482" s="62" t="s">
        <v>62</v>
      </c>
      <c r="B482" s="61" t="s">
        <v>63</v>
      </c>
      <c r="C482" s="271">
        <f>VLOOKUP($A$8:$A$1487,'[7]MFP''s'!A$8:C$1502,3,FALSE)</f>
        <v>1</v>
      </c>
      <c r="D482" s="364">
        <v>1</v>
      </c>
      <c r="E482" s="274">
        <f t="shared" si="42"/>
        <v>0</v>
      </c>
      <c r="F482" s="196">
        <f t="shared" si="46"/>
        <v>3.7569999999999999E-2</v>
      </c>
      <c r="G482" s="196">
        <f t="shared" si="47"/>
        <v>2.9649999999999999E-2</v>
      </c>
      <c r="H482" s="199">
        <f t="shared" si="48"/>
        <v>2.503E-2</v>
      </c>
    </row>
    <row r="483" spans="1:8">
      <c r="A483" s="62" t="s">
        <v>64</v>
      </c>
      <c r="B483" s="61" t="s">
        <v>65</v>
      </c>
      <c r="C483" s="271">
        <f>VLOOKUP($A$8:$A$1487,'[7]MFP''s'!A$8:C$1502,3,FALSE)</f>
        <v>1</v>
      </c>
      <c r="D483" s="364">
        <v>1</v>
      </c>
      <c r="E483" s="274">
        <f t="shared" si="42"/>
        <v>0</v>
      </c>
      <c r="F483" s="196">
        <f t="shared" si="46"/>
        <v>3.7569999999999999E-2</v>
      </c>
      <c r="G483" s="196">
        <f t="shared" si="47"/>
        <v>2.9649999999999999E-2</v>
      </c>
      <c r="H483" s="199">
        <f t="shared" si="48"/>
        <v>2.503E-2</v>
      </c>
    </row>
    <row r="484" spans="1:8">
      <c r="A484" s="195" t="s">
        <v>384</v>
      </c>
      <c r="B484" s="197"/>
      <c r="C484" s="271"/>
      <c r="D484" s="357"/>
      <c r="E484" s="274"/>
      <c r="F484" s="196"/>
      <c r="G484" s="196"/>
      <c r="H484" s="199"/>
    </row>
    <row r="485" spans="1:8">
      <c r="A485" s="64" t="s">
        <v>75</v>
      </c>
      <c r="B485" s="65"/>
      <c r="C485" s="271"/>
      <c r="D485" s="364"/>
      <c r="E485" s="274"/>
      <c r="F485" s="196"/>
      <c r="G485" s="196"/>
      <c r="H485" s="199"/>
    </row>
    <row r="486" spans="1:8">
      <c r="A486" s="62" t="s">
        <v>205</v>
      </c>
      <c r="B486" s="61" t="s">
        <v>206</v>
      </c>
      <c r="C486" s="271">
        <f>VLOOKUP($A$8:$A$1487,'[7]MFP''s'!A$8:C$1502,3,FALSE)</f>
        <v>6455.4</v>
      </c>
      <c r="D486" s="364">
        <v>2927</v>
      </c>
      <c r="E486" s="274">
        <f t="shared" si="42"/>
        <v>0.54658115686092268</v>
      </c>
      <c r="F486" s="196">
        <f t="shared" si="46"/>
        <v>109.96738999999999</v>
      </c>
      <c r="G486" s="196">
        <f t="shared" si="47"/>
        <v>86.785550000000001</v>
      </c>
      <c r="H486" s="199">
        <f t="shared" si="48"/>
        <v>73.262810000000002</v>
      </c>
    </row>
    <row r="487" spans="1:8">
      <c r="A487" s="62" t="s">
        <v>207</v>
      </c>
      <c r="B487" s="61" t="s">
        <v>208</v>
      </c>
      <c r="C487" s="271">
        <f>VLOOKUP($A$8:$A$1487,'[7]MFP''s'!A$8:C$1502,3,FALSE)</f>
        <v>2226</v>
      </c>
      <c r="D487" s="364">
        <v>1010</v>
      </c>
      <c r="E487" s="274">
        <f t="shared" si="42"/>
        <v>0.54627133872416889</v>
      </c>
      <c r="F487" s="196">
        <f t="shared" si="46"/>
        <v>37.945700000000002</v>
      </c>
      <c r="G487" s="196">
        <f t="shared" si="47"/>
        <v>29.9465</v>
      </c>
      <c r="H487" s="199">
        <f t="shared" si="48"/>
        <v>25.2803</v>
      </c>
    </row>
    <row r="488" spans="1:8">
      <c r="A488" s="62" t="s">
        <v>209</v>
      </c>
      <c r="B488" s="61" t="s">
        <v>210</v>
      </c>
      <c r="C488" s="271">
        <f>VLOOKUP($A$8:$A$1487,'[7]MFP''s'!A$8:C$1502,3,FALSE)</f>
        <v>3116</v>
      </c>
      <c r="D488" s="364">
        <v>1413</v>
      </c>
      <c r="E488" s="274">
        <f t="shared" si="42"/>
        <v>0.5465340179717586</v>
      </c>
      <c r="F488" s="196">
        <f t="shared" si="46"/>
        <v>53.086410000000001</v>
      </c>
      <c r="G488" s="196">
        <f t="shared" si="47"/>
        <v>41.895449999999997</v>
      </c>
      <c r="H488" s="199">
        <f t="shared" si="48"/>
        <v>35.36739</v>
      </c>
    </row>
    <row r="489" spans="1:8" ht="30">
      <c r="A489" s="62" t="s">
        <v>211</v>
      </c>
      <c r="B489" s="61" t="s">
        <v>212</v>
      </c>
      <c r="C489" s="271">
        <f>VLOOKUP($A$8:$A$1487,'[7]MFP''s'!A$8:C$1502,3,FALSE)</f>
        <v>1336</v>
      </c>
      <c r="D489" s="364">
        <v>606</v>
      </c>
      <c r="E489" s="274">
        <f t="shared" si="42"/>
        <v>0.54640718562874246</v>
      </c>
      <c r="F489" s="196">
        <f t="shared" si="46"/>
        <v>22.767419999999998</v>
      </c>
      <c r="G489" s="196">
        <f t="shared" si="47"/>
        <v>17.9679</v>
      </c>
      <c r="H489" s="199">
        <f t="shared" si="48"/>
        <v>15.16818</v>
      </c>
    </row>
    <row r="490" spans="1:8">
      <c r="A490" s="64" t="s">
        <v>66</v>
      </c>
      <c r="B490" s="65"/>
      <c r="C490" s="271"/>
      <c r="D490" s="364"/>
      <c r="E490" s="274"/>
      <c r="F490" s="196"/>
      <c r="G490" s="196"/>
      <c r="H490" s="199"/>
    </row>
    <row r="491" spans="1:8">
      <c r="A491" s="62" t="s">
        <v>468</v>
      </c>
      <c r="B491" s="61" t="s">
        <v>213</v>
      </c>
      <c r="C491" s="271">
        <f>VLOOKUP($A$8:$A$1487,'[7]MFP''s'!A$8:C$1502,3,FALSE)</f>
        <v>5205</v>
      </c>
      <c r="D491" s="364">
        <v>2360</v>
      </c>
      <c r="E491" s="274">
        <f t="shared" si="42"/>
        <v>0.54658981748318924</v>
      </c>
      <c r="F491" s="196">
        <f t="shared" si="46"/>
        <v>88.665199999999999</v>
      </c>
      <c r="G491" s="196">
        <f t="shared" si="47"/>
        <v>69.974000000000004</v>
      </c>
      <c r="H491" s="199">
        <f t="shared" si="48"/>
        <v>59.070799999999998</v>
      </c>
    </row>
    <row r="492" spans="1:8">
      <c r="A492" s="62" t="s">
        <v>214</v>
      </c>
      <c r="B492" s="61" t="s">
        <v>215</v>
      </c>
      <c r="C492" s="271">
        <f>VLOOKUP($A$8:$A$1487,'[7]MFP''s'!A$8:C$1502,3,FALSE)</f>
        <v>1977</v>
      </c>
      <c r="D492" s="364">
        <v>897</v>
      </c>
      <c r="E492" s="274">
        <f t="shared" si="42"/>
        <v>0.54628224582701068</v>
      </c>
      <c r="F492" s="196">
        <f t="shared" si="46"/>
        <v>33.700290000000003</v>
      </c>
      <c r="G492" s="196">
        <f t="shared" si="47"/>
        <v>26.596049999999998</v>
      </c>
      <c r="H492" s="199">
        <f t="shared" si="48"/>
        <v>22.451910000000002</v>
      </c>
    </row>
    <row r="493" spans="1:8">
      <c r="A493" s="62" t="s">
        <v>216</v>
      </c>
      <c r="B493" s="61" t="s">
        <v>217</v>
      </c>
      <c r="C493" s="271">
        <f>VLOOKUP($A$8:$A$1487,'[7]MFP''s'!A$8:C$1502,3,FALSE)</f>
        <v>835</v>
      </c>
      <c r="D493" s="364">
        <v>379</v>
      </c>
      <c r="E493" s="274">
        <f t="shared" si="42"/>
        <v>0.54610778443113772</v>
      </c>
      <c r="F493" s="196">
        <f t="shared" si="46"/>
        <v>14.23903</v>
      </c>
      <c r="G493" s="196">
        <f t="shared" si="47"/>
        <v>11.237349999999999</v>
      </c>
      <c r="H493" s="199">
        <f t="shared" si="48"/>
        <v>9.4863700000000009</v>
      </c>
    </row>
    <row r="494" spans="1:8">
      <c r="A494" s="62" t="s">
        <v>218</v>
      </c>
      <c r="B494" s="61" t="s">
        <v>219</v>
      </c>
      <c r="C494" s="271">
        <f>VLOOKUP($A$8:$A$1487,'[7]MFP''s'!A$8:C$1502,3,FALSE)</f>
        <v>5510</v>
      </c>
      <c r="D494" s="364">
        <v>2499</v>
      </c>
      <c r="E494" s="274">
        <f t="shared" si="42"/>
        <v>0.54646098003629762</v>
      </c>
      <c r="F494" s="196">
        <f t="shared" si="46"/>
        <v>93.887429999999995</v>
      </c>
      <c r="G494" s="196">
        <f t="shared" si="47"/>
        <v>74.095349999999996</v>
      </c>
      <c r="H494" s="199">
        <f t="shared" si="48"/>
        <v>62.549970000000002</v>
      </c>
    </row>
    <row r="495" spans="1:8">
      <c r="A495" s="62" t="s">
        <v>220</v>
      </c>
      <c r="B495" s="61" t="s">
        <v>221</v>
      </c>
      <c r="C495" s="271">
        <f>VLOOKUP($A$8:$A$1487,'[7]MFP''s'!A$8:C$1502,3,FALSE)</f>
        <v>445</v>
      </c>
      <c r="D495" s="364">
        <v>202</v>
      </c>
      <c r="E495" s="274">
        <f t="shared" si="42"/>
        <v>0.54606741573033712</v>
      </c>
      <c r="F495" s="196">
        <f t="shared" si="46"/>
        <v>7.5891399999999996</v>
      </c>
      <c r="G495" s="196">
        <f t="shared" si="47"/>
        <v>5.9893000000000001</v>
      </c>
      <c r="H495" s="199">
        <f t="shared" si="48"/>
        <v>5.0560600000000004</v>
      </c>
    </row>
    <row r="496" spans="1:8">
      <c r="A496" s="62" t="s">
        <v>222</v>
      </c>
      <c r="B496" s="61" t="s">
        <v>223</v>
      </c>
      <c r="C496" s="271">
        <f>VLOOKUP($A$8:$A$1487,'[7]MFP''s'!A$8:C$1502,3,FALSE)</f>
        <v>35</v>
      </c>
      <c r="D496" s="364">
        <v>16</v>
      </c>
      <c r="E496" s="274">
        <f t="shared" si="42"/>
        <v>0.54285714285714293</v>
      </c>
      <c r="F496" s="196">
        <f t="shared" si="46"/>
        <v>0.60111999999999999</v>
      </c>
      <c r="G496" s="196">
        <f t="shared" si="47"/>
        <v>0.47439999999999999</v>
      </c>
      <c r="H496" s="199">
        <f t="shared" si="48"/>
        <v>0.40048</v>
      </c>
    </row>
    <row r="497" spans="1:8">
      <c r="A497" s="62" t="s">
        <v>224</v>
      </c>
      <c r="B497" s="61" t="s">
        <v>225</v>
      </c>
      <c r="C497" s="271">
        <f>VLOOKUP($A$8:$A$1487,'[7]MFP''s'!A$8:C$1502,3,FALSE)</f>
        <v>1113</v>
      </c>
      <c r="D497" s="364">
        <v>505</v>
      </c>
      <c r="E497" s="274">
        <f t="shared" si="42"/>
        <v>0.54627133872416889</v>
      </c>
      <c r="F497" s="196">
        <f t="shared" si="46"/>
        <v>18.972850000000001</v>
      </c>
      <c r="G497" s="196">
        <f t="shared" si="47"/>
        <v>14.97325</v>
      </c>
      <c r="H497" s="199">
        <f t="shared" si="48"/>
        <v>12.64015</v>
      </c>
    </row>
    <row r="498" spans="1:8">
      <c r="A498" s="62" t="s">
        <v>226</v>
      </c>
      <c r="B498" s="61" t="s">
        <v>227</v>
      </c>
      <c r="C498" s="271">
        <f>VLOOKUP($A$8:$A$1487,'[7]MFP''s'!A$8:C$1502,3,FALSE)</f>
        <v>29000</v>
      </c>
      <c r="D498" s="364">
        <v>13148</v>
      </c>
      <c r="E498" s="274">
        <f t="shared" si="42"/>
        <v>0.54662068965517241</v>
      </c>
      <c r="F498" s="196">
        <f t="shared" si="46"/>
        <v>493.97035999999997</v>
      </c>
      <c r="G498" s="196">
        <f t="shared" si="47"/>
        <v>389.83819999999997</v>
      </c>
      <c r="H498" s="199">
        <f t="shared" si="48"/>
        <v>329.09444000000002</v>
      </c>
    </row>
    <row r="499" spans="1:8">
      <c r="A499" s="62" t="s">
        <v>228</v>
      </c>
      <c r="B499" s="74" t="s">
        <v>229</v>
      </c>
      <c r="C499" s="271">
        <f>VLOOKUP($A$8:$A$1487,'[7]MFP''s'!A$8:C$1502,3,FALSE)</f>
        <v>600</v>
      </c>
      <c r="D499" s="364">
        <v>273</v>
      </c>
      <c r="E499" s="274">
        <f t="shared" si="42"/>
        <v>0.54499999999999993</v>
      </c>
      <c r="F499" s="196">
        <f t="shared" si="46"/>
        <v>10.25661</v>
      </c>
      <c r="G499" s="196">
        <f t="shared" si="47"/>
        <v>8.0944500000000001</v>
      </c>
      <c r="H499" s="199">
        <f t="shared" si="48"/>
        <v>6.8331900000000001</v>
      </c>
    </row>
    <row r="500" spans="1:8">
      <c r="A500" s="62" t="s">
        <v>230</v>
      </c>
      <c r="B500" s="74" t="s">
        <v>231</v>
      </c>
      <c r="C500" s="271">
        <f>VLOOKUP($A$8:$A$1487,'[7]MFP''s'!A$8:C$1502,3,FALSE)</f>
        <v>600</v>
      </c>
      <c r="D500" s="364">
        <v>273</v>
      </c>
      <c r="E500" s="274">
        <f t="shared" si="42"/>
        <v>0.54499999999999993</v>
      </c>
      <c r="F500" s="196">
        <f t="shared" si="46"/>
        <v>10.25661</v>
      </c>
      <c r="G500" s="196">
        <f t="shared" si="47"/>
        <v>8.0944500000000001</v>
      </c>
      <c r="H500" s="199">
        <f t="shared" si="48"/>
        <v>6.8331900000000001</v>
      </c>
    </row>
    <row r="501" spans="1:8">
      <c r="A501" s="62" t="s">
        <v>232</v>
      </c>
      <c r="B501" s="74" t="s">
        <v>233</v>
      </c>
      <c r="C501" s="271">
        <f>VLOOKUP($A$8:$A$1487,'[7]MFP''s'!A$8:C$1502,3,FALSE)</f>
        <v>600</v>
      </c>
      <c r="D501" s="364">
        <v>273</v>
      </c>
      <c r="E501" s="274">
        <f t="shared" si="42"/>
        <v>0.54499999999999993</v>
      </c>
      <c r="F501" s="196">
        <f t="shared" si="46"/>
        <v>10.25661</v>
      </c>
      <c r="G501" s="196">
        <f t="shared" si="47"/>
        <v>8.0944500000000001</v>
      </c>
      <c r="H501" s="199">
        <f t="shared" si="48"/>
        <v>6.8331900000000001</v>
      </c>
    </row>
    <row r="502" spans="1:8">
      <c r="A502" s="62" t="s">
        <v>234</v>
      </c>
      <c r="B502" s="61" t="s">
        <v>235</v>
      </c>
      <c r="C502" s="271">
        <f>VLOOKUP($A$8:$A$1487,'[7]MFP''s'!A$8:C$1502,3,FALSE)</f>
        <v>600</v>
      </c>
      <c r="D502" s="364">
        <v>273</v>
      </c>
      <c r="E502" s="274">
        <f t="shared" si="42"/>
        <v>0.54499999999999993</v>
      </c>
      <c r="F502" s="196">
        <f t="shared" si="46"/>
        <v>10.25661</v>
      </c>
      <c r="G502" s="196">
        <f t="shared" si="47"/>
        <v>8.0944500000000001</v>
      </c>
      <c r="H502" s="199">
        <f t="shared" si="48"/>
        <v>6.8331900000000001</v>
      </c>
    </row>
    <row r="503" spans="1:8">
      <c r="A503" s="62" t="s">
        <v>236</v>
      </c>
      <c r="B503" s="61" t="s">
        <v>237</v>
      </c>
      <c r="C503" s="271">
        <f>VLOOKUP($A$8:$A$1487,'[7]MFP''s'!A$8:C$1502,3,FALSE)</f>
        <v>18232</v>
      </c>
      <c r="D503" s="364">
        <v>8266</v>
      </c>
      <c r="E503" s="274">
        <f t="shared" si="42"/>
        <v>0.54662132514260642</v>
      </c>
      <c r="F503" s="196">
        <f t="shared" si="46"/>
        <v>310.55361999999997</v>
      </c>
      <c r="G503" s="196">
        <f t="shared" si="47"/>
        <v>245.08689999999999</v>
      </c>
      <c r="H503" s="199">
        <f t="shared" si="48"/>
        <v>206.89797999999999</v>
      </c>
    </row>
    <row r="504" spans="1:8">
      <c r="A504" s="62" t="s">
        <v>238</v>
      </c>
      <c r="B504" s="61" t="s">
        <v>239</v>
      </c>
      <c r="C504" s="271">
        <f>VLOOKUP($A$8:$A$1487,'[7]MFP''s'!A$8:C$1502,3,FALSE)</f>
        <v>1484</v>
      </c>
      <c r="D504" s="364">
        <v>673</v>
      </c>
      <c r="E504" s="274">
        <f t="shared" si="42"/>
        <v>0.54649595687331542</v>
      </c>
      <c r="F504" s="196">
        <f t="shared" si="46"/>
        <v>25.284610000000001</v>
      </c>
      <c r="G504" s="196">
        <f t="shared" si="47"/>
        <v>19.954449999999998</v>
      </c>
      <c r="H504" s="199">
        <f t="shared" si="48"/>
        <v>16.845189999999999</v>
      </c>
    </row>
    <row r="505" spans="1:8">
      <c r="A505" s="62" t="s">
        <v>240</v>
      </c>
      <c r="B505" s="61" t="s">
        <v>241</v>
      </c>
      <c r="C505" s="271">
        <f>VLOOKUP($A$8:$A$1487,'[7]MFP''s'!A$8:C$1502,3,FALSE)</f>
        <v>1484</v>
      </c>
      <c r="D505" s="364">
        <v>673</v>
      </c>
      <c r="E505" s="274">
        <f t="shared" si="42"/>
        <v>0.54649595687331542</v>
      </c>
      <c r="F505" s="196">
        <f t="shared" si="46"/>
        <v>25.284610000000001</v>
      </c>
      <c r="G505" s="196">
        <f t="shared" si="47"/>
        <v>19.954449999999998</v>
      </c>
      <c r="H505" s="199">
        <f t="shared" si="48"/>
        <v>16.845189999999999</v>
      </c>
    </row>
    <row r="506" spans="1:8">
      <c r="A506" s="62" t="s">
        <v>242</v>
      </c>
      <c r="B506" s="61" t="s">
        <v>243</v>
      </c>
      <c r="C506" s="271">
        <f>VLOOKUP($A$8:$A$1487,'[7]MFP''s'!A$8:C$1502,3,FALSE)</f>
        <v>1484</v>
      </c>
      <c r="D506" s="364">
        <v>673</v>
      </c>
      <c r="E506" s="274">
        <f t="shared" si="42"/>
        <v>0.54649595687331542</v>
      </c>
      <c r="F506" s="196">
        <f t="shared" si="46"/>
        <v>25.284610000000001</v>
      </c>
      <c r="G506" s="196">
        <f t="shared" si="47"/>
        <v>19.954449999999998</v>
      </c>
      <c r="H506" s="199">
        <f t="shared" si="48"/>
        <v>16.845189999999999</v>
      </c>
    </row>
    <row r="507" spans="1:8">
      <c r="A507" s="62" t="s">
        <v>244</v>
      </c>
      <c r="B507" s="61" t="s">
        <v>245</v>
      </c>
      <c r="C507" s="271">
        <f>VLOOKUP($A$8:$A$1487,'[7]MFP''s'!A$8:C$1502,3,FALSE)</f>
        <v>1484</v>
      </c>
      <c r="D507" s="364">
        <v>673</v>
      </c>
      <c r="E507" s="274">
        <f t="shared" si="42"/>
        <v>0.54649595687331542</v>
      </c>
      <c r="F507" s="196">
        <f t="shared" si="46"/>
        <v>25.284610000000001</v>
      </c>
      <c r="G507" s="196">
        <f t="shared" si="47"/>
        <v>19.954449999999998</v>
      </c>
      <c r="H507" s="199">
        <f t="shared" si="48"/>
        <v>16.845189999999999</v>
      </c>
    </row>
    <row r="508" spans="1:8">
      <c r="A508" s="62" t="s">
        <v>246</v>
      </c>
      <c r="B508" s="61" t="s">
        <v>247</v>
      </c>
      <c r="C508" s="271">
        <f>VLOOKUP($A$8:$A$1487,'[7]MFP''s'!A$8:C$1502,3,FALSE)</f>
        <v>1484</v>
      </c>
      <c r="D508" s="364">
        <v>673</v>
      </c>
      <c r="E508" s="274">
        <f t="shared" ref="E508:E571" si="49">100%-(D508/C508)</f>
        <v>0.54649595687331542</v>
      </c>
      <c r="F508" s="196">
        <f t="shared" si="46"/>
        <v>25.284610000000001</v>
      </c>
      <c r="G508" s="196">
        <f t="shared" si="47"/>
        <v>19.954449999999998</v>
      </c>
      <c r="H508" s="199">
        <f t="shared" si="48"/>
        <v>16.845189999999999</v>
      </c>
    </row>
    <row r="509" spans="1:8">
      <c r="A509" s="62" t="s">
        <v>248</v>
      </c>
      <c r="B509" s="61" t="s">
        <v>249</v>
      </c>
      <c r="C509" s="271">
        <f>VLOOKUP($A$8:$A$1487,'[7]MFP''s'!A$8:C$1502,3,FALSE)</f>
        <v>1484</v>
      </c>
      <c r="D509" s="364">
        <v>673</v>
      </c>
      <c r="E509" s="274">
        <f t="shared" si="49"/>
        <v>0.54649595687331542</v>
      </c>
      <c r="F509" s="196">
        <f t="shared" si="46"/>
        <v>25.284610000000001</v>
      </c>
      <c r="G509" s="196">
        <f t="shared" si="47"/>
        <v>19.954449999999998</v>
      </c>
      <c r="H509" s="199">
        <f t="shared" si="48"/>
        <v>16.845189999999999</v>
      </c>
    </row>
    <row r="510" spans="1:8">
      <c r="A510" s="62" t="s">
        <v>250</v>
      </c>
      <c r="B510" s="61" t="s">
        <v>251</v>
      </c>
      <c r="C510" s="271">
        <f>VLOOKUP($A$8:$A$1487,'[7]MFP''s'!A$8:C$1502,3,FALSE)</f>
        <v>1484</v>
      </c>
      <c r="D510" s="364">
        <v>673</v>
      </c>
      <c r="E510" s="274">
        <f t="shared" si="49"/>
        <v>0.54649595687331542</v>
      </c>
      <c r="F510" s="196">
        <f t="shared" si="46"/>
        <v>25.284610000000001</v>
      </c>
      <c r="G510" s="196">
        <f t="shared" si="47"/>
        <v>19.954449999999998</v>
      </c>
      <c r="H510" s="199">
        <f t="shared" si="48"/>
        <v>16.845189999999999</v>
      </c>
    </row>
    <row r="511" spans="1:8">
      <c r="A511" s="62" t="s">
        <v>473</v>
      </c>
      <c r="B511" s="61" t="s">
        <v>474</v>
      </c>
      <c r="C511" s="271">
        <f>VLOOKUP($A$8:$A$1487,'[7]MFP''s'!A$8:C$1502,3,FALSE)</f>
        <v>2124</v>
      </c>
      <c r="D511" s="364">
        <v>963.23</v>
      </c>
      <c r="E511" s="274">
        <f t="shared" si="49"/>
        <v>0.54650188323917137</v>
      </c>
      <c r="F511" s="196">
        <f t="shared" ref="F511:F512" si="50">D511*$F$1</f>
        <v>36.188551099999998</v>
      </c>
      <c r="G511" s="196">
        <f t="shared" ref="G511:G512" si="51">D511*$G$1</f>
        <v>28.559769500000002</v>
      </c>
      <c r="H511" s="199">
        <f t="shared" ref="H511:H512" si="52">D511*$H$1</f>
        <v>24.109646900000001</v>
      </c>
    </row>
    <row r="512" spans="1:8">
      <c r="A512" s="62" t="s">
        <v>475</v>
      </c>
      <c r="B512" s="61" t="s">
        <v>476</v>
      </c>
      <c r="C512" s="271">
        <f>VLOOKUP($A$8:$A$1487,'[7]MFP''s'!A$8:C$1502,3,FALSE)</f>
        <v>4265</v>
      </c>
      <c r="D512" s="364">
        <v>1934.18</v>
      </c>
      <c r="E512" s="274">
        <f t="shared" si="49"/>
        <v>0.54649941383352862</v>
      </c>
      <c r="F512" s="196">
        <f t="shared" si="50"/>
        <v>72.667142600000005</v>
      </c>
      <c r="G512" s="196">
        <f t="shared" si="51"/>
        <v>57.348436999999997</v>
      </c>
      <c r="H512" s="199">
        <f t="shared" si="52"/>
        <v>48.4125254</v>
      </c>
    </row>
    <row r="513" spans="1:29">
      <c r="A513" s="64" t="s">
        <v>47</v>
      </c>
      <c r="B513" s="61"/>
      <c r="C513" s="271"/>
      <c r="D513" s="364"/>
      <c r="E513" s="274"/>
      <c r="F513" s="196"/>
      <c r="G513" s="196"/>
      <c r="H513" s="199"/>
      <c r="I513" s="49"/>
      <c r="J513" s="49"/>
      <c r="K513" s="49"/>
      <c r="L513" s="49"/>
      <c r="M513" s="49"/>
      <c r="N513" s="49"/>
      <c r="O513" s="49"/>
      <c r="P513" s="49"/>
      <c r="Q513" s="49"/>
      <c r="R513" s="49"/>
      <c r="S513" s="49"/>
      <c r="T513" s="49"/>
      <c r="U513" s="49"/>
      <c r="V513" s="49"/>
      <c r="W513" s="49"/>
      <c r="X513" s="49"/>
      <c r="Y513" s="49"/>
      <c r="Z513" s="49"/>
      <c r="AA513" s="49"/>
      <c r="AB513" s="49"/>
      <c r="AC513" s="49"/>
    </row>
    <row r="514" spans="1:29">
      <c r="A514" s="64" t="s">
        <v>440</v>
      </c>
      <c r="B514" s="61" t="s">
        <v>585</v>
      </c>
      <c r="C514" s="271">
        <f>VLOOKUP($A$8:$A$1487,'[7]MFP''s'!A$8:C$1502,3,FALSE)</f>
        <v>350</v>
      </c>
      <c r="D514" s="364">
        <v>209.81</v>
      </c>
      <c r="E514" s="274">
        <f t="shared" si="49"/>
        <v>0.40054285714285709</v>
      </c>
      <c r="F514" s="196">
        <f t="shared" ref="F514" si="53">D514*$F$1</f>
        <v>7.8825617000000001</v>
      </c>
      <c r="G514" s="196">
        <f t="shared" ref="G514" si="54">D514*$G$1</f>
        <v>6.2208664999999996</v>
      </c>
      <c r="H514" s="199">
        <f t="shared" ref="H514" si="55">D514*$H$1</f>
        <v>5.2515442999999999</v>
      </c>
      <c r="I514" s="49"/>
      <c r="J514" s="49"/>
      <c r="K514" s="49"/>
      <c r="L514" s="49"/>
      <c r="M514" s="49"/>
      <c r="N514" s="49"/>
      <c r="O514" s="49"/>
      <c r="P514" s="49"/>
      <c r="Q514" s="49"/>
      <c r="R514" s="49"/>
      <c r="S514" s="49"/>
      <c r="T514" s="49"/>
      <c r="U514" s="49"/>
      <c r="V514" s="49"/>
      <c r="W514" s="49"/>
      <c r="X514" s="49"/>
      <c r="Y514" s="49"/>
      <c r="Z514" s="49"/>
      <c r="AA514" s="49"/>
      <c r="AB514" s="49"/>
      <c r="AC514" s="49"/>
    </row>
    <row r="515" spans="1:29">
      <c r="A515" s="62" t="s">
        <v>144</v>
      </c>
      <c r="B515" s="61" t="s">
        <v>145</v>
      </c>
      <c r="C515" s="271">
        <f>VLOOKUP($A$8:$A$1487,'[7]MFP''s'!A$8:C$1502,3,FALSE)</f>
        <v>947</v>
      </c>
      <c r="D515" s="364">
        <v>430</v>
      </c>
      <c r="E515" s="274">
        <f t="shared" si="49"/>
        <v>0.5459345300950369</v>
      </c>
      <c r="F515" s="196">
        <f t="shared" si="46"/>
        <v>16.155100000000001</v>
      </c>
      <c r="G515" s="196">
        <f t="shared" si="47"/>
        <v>12.749499999999999</v>
      </c>
      <c r="H515" s="199">
        <f t="shared" si="48"/>
        <v>10.7629</v>
      </c>
      <c r="I515" s="49"/>
      <c r="J515" s="49"/>
      <c r="K515" s="49"/>
      <c r="L515" s="49"/>
      <c r="M515" s="49"/>
      <c r="N515" s="49"/>
      <c r="O515" s="49"/>
      <c r="P515" s="49"/>
      <c r="Q515" s="49"/>
      <c r="R515" s="49"/>
      <c r="S515" s="49"/>
      <c r="T515" s="49"/>
      <c r="U515" s="49"/>
      <c r="V515" s="49"/>
      <c r="W515" s="49"/>
      <c r="X515" s="49"/>
      <c r="Y515" s="49"/>
      <c r="Z515" s="49"/>
      <c r="AA515" s="49"/>
      <c r="AB515" s="49"/>
      <c r="AC515" s="49"/>
    </row>
    <row r="516" spans="1:29">
      <c r="A516" s="62" t="s">
        <v>252</v>
      </c>
      <c r="B516" s="61" t="s">
        <v>253</v>
      </c>
      <c r="C516" s="271">
        <f>VLOOKUP($A$8:$A$1487,'[7]MFP''s'!A$8:C$1502,3,FALSE)</f>
        <v>1410</v>
      </c>
      <c r="D516" s="364">
        <v>640</v>
      </c>
      <c r="E516" s="274">
        <f t="shared" si="49"/>
        <v>0.54609929078014185</v>
      </c>
      <c r="F516" s="196">
        <f t="shared" si="46"/>
        <v>24.044799999999999</v>
      </c>
      <c r="G516" s="196">
        <f t="shared" si="47"/>
        <v>18.975999999999999</v>
      </c>
      <c r="H516" s="199">
        <f t="shared" si="48"/>
        <v>16.019200000000001</v>
      </c>
      <c r="I516" s="49"/>
      <c r="J516" s="49"/>
      <c r="K516" s="49"/>
      <c r="L516" s="49"/>
      <c r="M516" s="49"/>
      <c r="N516" s="49"/>
      <c r="O516" s="49"/>
      <c r="P516" s="49"/>
      <c r="Q516" s="49"/>
      <c r="R516" s="49"/>
      <c r="S516" s="49"/>
      <c r="T516" s="49"/>
      <c r="U516" s="49"/>
      <c r="V516" s="49"/>
      <c r="W516" s="49"/>
      <c r="X516" s="49"/>
      <c r="Y516" s="49"/>
      <c r="Z516" s="49"/>
      <c r="AA516" s="49"/>
      <c r="AB516" s="49"/>
      <c r="AC516" s="49"/>
    </row>
    <row r="517" spans="1:29">
      <c r="A517" s="62" t="s">
        <v>254</v>
      </c>
      <c r="B517" s="61" t="s">
        <v>255</v>
      </c>
      <c r="C517" s="271">
        <f>VLOOKUP($A$8:$A$1487,'[7]MFP''s'!A$8:C$1502,3,FALSE)</f>
        <v>3487</v>
      </c>
      <c r="D517" s="364">
        <v>1582</v>
      </c>
      <c r="E517" s="274">
        <f t="shared" si="49"/>
        <v>0.54631488385431604</v>
      </c>
      <c r="F517" s="196">
        <f t="shared" si="46"/>
        <v>59.435739999999996</v>
      </c>
      <c r="G517" s="196">
        <f t="shared" si="47"/>
        <v>46.906300000000002</v>
      </c>
      <c r="H517" s="199">
        <f t="shared" si="48"/>
        <v>39.597459999999998</v>
      </c>
      <c r="I517" s="49"/>
      <c r="J517" s="49"/>
      <c r="K517" s="49"/>
      <c r="L517" s="49"/>
      <c r="M517" s="49"/>
      <c r="N517" s="49"/>
      <c r="O517" s="49"/>
      <c r="P517" s="49"/>
      <c r="Q517" s="49"/>
      <c r="R517" s="49"/>
      <c r="S517" s="49"/>
      <c r="T517" s="49"/>
      <c r="U517" s="49"/>
      <c r="V517" s="49"/>
      <c r="W517" s="49"/>
      <c r="X517" s="49"/>
      <c r="Y517" s="49"/>
      <c r="Z517" s="49"/>
      <c r="AA517" s="49"/>
      <c r="AB517" s="49"/>
      <c r="AC517" s="49"/>
    </row>
    <row r="518" spans="1:29">
      <c r="A518" s="62" t="s">
        <v>492</v>
      </c>
      <c r="B518" s="61" t="s">
        <v>493</v>
      </c>
      <c r="C518" s="271">
        <f>VLOOKUP($A$8:$A$1487,'[7]MFP''s'!A$8:C$1502,3,FALSE)</f>
        <v>381</v>
      </c>
      <c r="D518" s="364">
        <v>309</v>
      </c>
      <c r="E518" s="274">
        <f t="shared" si="49"/>
        <v>0.1889763779527559</v>
      </c>
      <c r="F518" s="196">
        <f t="shared" si="46"/>
        <v>11.60913</v>
      </c>
      <c r="G518" s="196">
        <f t="shared" si="47"/>
        <v>9.1618499999999994</v>
      </c>
      <c r="H518" s="199">
        <f t="shared" si="48"/>
        <v>7.7342700000000004</v>
      </c>
      <c r="I518" s="49"/>
      <c r="J518" s="49"/>
      <c r="K518" s="49"/>
      <c r="L518" s="49"/>
      <c r="M518" s="49"/>
      <c r="N518" s="49"/>
      <c r="O518" s="49"/>
      <c r="P518" s="49"/>
      <c r="Q518" s="49"/>
      <c r="R518" s="49"/>
      <c r="S518" s="49"/>
      <c r="T518" s="49"/>
      <c r="U518" s="49"/>
      <c r="V518" s="49"/>
      <c r="W518" s="49"/>
      <c r="X518" s="49"/>
      <c r="Y518" s="49"/>
      <c r="Z518" s="49"/>
      <c r="AA518" s="49"/>
      <c r="AB518" s="49"/>
      <c r="AC518" s="49"/>
    </row>
    <row r="519" spans="1:29">
      <c r="A519" s="62" t="s">
        <v>385</v>
      </c>
      <c r="B519" s="61" t="s">
        <v>386</v>
      </c>
      <c r="C519" s="271">
        <f>VLOOKUP($A$8:$A$1487,'[7]MFP''s'!A$8:C$1502,3,FALSE)</f>
        <v>275</v>
      </c>
      <c r="D519" s="364">
        <v>227</v>
      </c>
      <c r="E519" s="274">
        <f t="shared" si="49"/>
        <v>0.17454545454545456</v>
      </c>
      <c r="F519" s="196">
        <f t="shared" si="46"/>
        <v>8.5283899999999999</v>
      </c>
      <c r="G519" s="196">
        <f t="shared" si="47"/>
        <v>6.73055</v>
      </c>
      <c r="H519" s="199">
        <f t="shared" si="48"/>
        <v>5.6818100000000005</v>
      </c>
      <c r="I519" s="49"/>
      <c r="J519" s="49"/>
      <c r="K519" s="49"/>
      <c r="L519" s="49"/>
      <c r="M519" s="49"/>
      <c r="N519" s="49"/>
      <c r="O519" s="49"/>
      <c r="P519" s="49"/>
      <c r="Q519" s="49"/>
      <c r="R519" s="49"/>
      <c r="S519" s="49"/>
      <c r="T519" s="49"/>
      <c r="U519" s="49"/>
      <c r="V519" s="49"/>
      <c r="W519" s="49"/>
      <c r="X519" s="49"/>
      <c r="Y519" s="49"/>
      <c r="Z519" s="49"/>
      <c r="AA519" s="49"/>
      <c r="AB519" s="49"/>
      <c r="AC519" s="49"/>
    </row>
    <row r="520" spans="1:29">
      <c r="A520" s="212"/>
      <c r="B520" s="213"/>
      <c r="C520" s="214"/>
      <c r="D520" s="360"/>
      <c r="E520" s="215"/>
      <c r="F520" s="215"/>
      <c r="G520" s="215"/>
      <c r="H520" s="216"/>
      <c r="I520" s="49"/>
      <c r="J520" s="49"/>
      <c r="K520" s="49"/>
      <c r="L520" s="49"/>
      <c r="M520" s="49"/>
      <c r="N520" s="49"/>
      <c r="O520" s="49"/>
      <c r="P520" s="49"/>
      <c r="Q520" s="49"/>
      <c r="R520" s="49"/>
      <c r="S520" s="49"/>
      <c r="T520" s="49"/>
      <c r="U520" s="49"/>
      <c r="V520" s="49"/>
      <c r="W520" s="49"/>
      <c r="X520" s="49"/>
      <c r="Y520" s="49"/>
      <c r="Z520" s="49"/>
      <c r="AA520" s="49"/>
      <c r="AB520" s="49"/>
      <c r="AC520" s="49"/>
    </row>
    <row r="521" spans="1:29" ht="90">
      <c r="A521" s="220" t="s">
        <v>256</v>
      </c>
      <c r="B521" s="221" t="s">
        <v>684</v>
      </c>
      <c r="C521" s="271">
        <f>VLOOKUP($A$8:$A$1487,'[7]MFP''s'!A$8:C$1502,3,FALSE)</f>
        <v>65000</v>
      </c>
      <c r="D521" s="364">
        <v>29470</v>
      </c>
      <c r="E521" s="274">
        <f t="shared" si="49"/>
        <v>0.54661538461538461</v>
      </c>
      <c r="F521" s="196">
        <f t="shared" si="46"/>
        <v>1107.1878999999999</v>
      </c>
      <c r="G521" s="196">
        <f t="shared" si="47"/>
        <v>873.78549999999996</v>
      </c>
      <c r="H521" s="199">
        <f t="shared" si="48"/>
        <v>737.63409999999999</v>
      </c>
      <c r="I521" s="49"/>
      <c r="J521" s="49"/>
      <c r="K521" s="49"/>
      <c r="L521" s="49"/>
      <c r="M521" s="49"/>
      <c r="N521" s="49"/>
      <c r="O521" s="49"/>
      <c r="P521" s="49"/>
      <c r="Q521" s="49"/>
      <c r="R521" s="49"/>
      <c r="S521" s="49"/>
      <c r="T521" s="49"/>
      <c r="U521" s="49"/>
      <c r="V521" s="49"/>
      <c r="W521" s="49"/>
      <c r="X521" s="49"/>
      <c r="Y521" s="49"/>
      <c r="Z521" s="49"/>
      <c r="AA521" s="49"/>
      <c r="AB521" s="49"/>
      <c r="AC521" s="49"/>
    </row>
    <row r="522" spans="1:29">
      <c r="A522" s="63" t="s">
        <v>257</v>
      </c>
      <c r="B522" s="61" t="s">
        <v>258</v>
      </c>
      <c r="C522" s="271">
        <f>VLOOKUP($A$8:$A$1487,'[7]MFP''s'!A$8:C$1502,3,FALSE)</f>
        <v>1200</v>
      </c>
      <c r="D522" s="368">
        <v>1200</v>
      </c>
      <c r="E522" s="274">
        <f t="shared" si="49"/>
        <v>0</v>
      </c>
      <c r="F522" s="196">
        <f t="shared" si="46"/>
        <v>45.083999999999996</v>
      </c>
      <c r="G522" s="196">
        <f t="shared" si="47"/>
        <v>35.58</v>
      </c>
      <c r="H522" s="199">
        <f t="shared" si="48"/>
        <v>30.036000000000001</v>
      </c>
      <c r="I522" s="49"/>
      <c r="J522" s="49"/>
      <c r="K522" s="49"/>
      <c r="L522" s="49"/>
      <c r="M522" s="49"/>
      <c r="N522" s="49"/>
      <c r="O522" s="49"/>
      <c r="P522" s="49"/>
      <c r="Q522" s="49"/>
      <c r="R522" s="49"/>
      <c r="S522" s="49"/>
      <c r="T522" s="49"/>
      <c r="U522" s="49"/>
      <c r="V522" s="49"/>
      <c r="W522" s="49"/>
      <c r="X522" s="49"/>
      <c r="Y522" s="49"/>
      <c r="Z522" s="49"/>
      <c r="AA522" s="49"/>
      <c r="AB522" s="49"/>
      <c r="AC522" s="49"/>
    </row>
    <row r="523" spans="1:29">
      <c r="A523" s="63" t="s">
        <v>64</v>
      </c>
      <c r="B523" s="61" t="s">
        <v>65</v>
      </c>
      <c r="C523" s="271">
        <f>VLOOKUP($A$8:$A$1487,'[7]MFP''s'!A$8:C$1502,3,FALSE)</f>
        <v>1</v>
      </c>
      <c r="D523" s="368">
        <v>1</v>
      </c>
      <c r="E523" s="274">
        <f t="shared" si="49"/>
        <v>0</v>
      </c>
      <c r="F523" s="196">
        <f t="shared" ref="F523:F583" si="56">D523*$F$1</f>
        <v>3.7569999999999999E-2</v>
      </c>
      <c r="G523" s="196">
        <f t="shared" si="47"/>
        <v>2.9649999999999999E-2</v>
      </c>
      <c r="H523" s="199">
        <f t="shared" si="48"/>
        <v>2.503E-2</v>
      </c>
      <c r="I523" s="49"/>
      <c r="J523" s="49"/>
      <c r="K523" s="49"/>
      <c r="L523" s="49"/>
      <c r="M523" s="49"/>
      <c r="N523" s="49"/>
      <c r="O523" s="49"/>
      <c r="P523" s="49"/>
      <c r="Q523" s="49"/>
      <c r="R523" s="49"/>
      <c r="S523" s="49"/>
      <c r="T523" s="49"/>
      <c r="U523" s="49"/>
      <c r="V523" s="49"/>
      <c r="W523" s="49"/>
      <c r="X523" s="49"/>
      <c r="Y523" s="49"/>
      <c r="Z523" s="49"/>
      <c r="AA523" s="49"/>
      <c r="AB523" s="49"/>
      <c r="AC523" s="49"/>
    </row>
    <row r="524" spans="1:29">
      <c r="A524" s="62" t="s">
        <v>62</v>
      </c>
      <c r="B524" s="61" t="s">
        <v>63</v>
      </c>
      <c r="C524" s="271">
        <f>VLOOKUP($A$8:$A$1487,'[7]MFP''s'!A$8:C$1502,3,FALSE)</f>
        <v>1</v>
      </c>
      <c r="D524" s="368">
        <v>1</v>
      </c>
      <c r="E524" s="274">
        <f t="shared" si="49"/>
        <v>0</v>
      </c>
      <c r="F524" s="196">
        <f t="shared" si="56"/>
        <v>3.7569999999999999E-2</v>
      </c>
      <c r="G524" s="196">
        <f t="shared" si="47"/>
        <v>2.9649999999999999E-2</v>
      </c>
      <c r="H524" s="199">
        <f t="shared" si="48"/>
        <v>2.503E-2</v>
      </c>
      <c r="I524" s="49"/>
      <c r="J524" s="49"/>
      <c r="K524" s="49"/>
      <c r="L524" s="49"/>
      <c r="M524" s="49"/>
      <c r="N524" s="49"/>
      <c r="O524" s="49"/>
      <c r="P524" s="49"/>
      <c r="Q524" s="49"/>
      <c r="R524" s="49"/>
      <c r="S524" s="49"/>
      <c r="T524" s="49"/>
      <c r="U524" s="49"/>
      <c r="V524" s="49"/>
      <c r="W524" s="49"/>
      <c r="X524" s="49"/>
      <c r="Y524" s="49"/>
      <c r="Z524" s="49"/>
      <c r="AA524" s="49"/>
      <c r="AB524" s="49"/>
      <c r="AC524" s="49"/>
    </row>
    <row r="525" spans="1:29">
      <c r="A525" s="62" t="s">
        <v>64</v>
      </c>
      <c r="B525" s="61" t="s">
        <v>65</v>
      </c>
      <c r="C525" s="271">
        <f>VLOOKUP($A$8:$A$1487,'[7]MFP''s'!A$8:C$1502,3,FALSE)</f>
        <v>1</v>
      </c>
      <c r="D525" s="368">
        <v>1</v>
      </c>
      <c r="E525" s="274">
        <f t="shared" si="49"/>
        <v>0</v>
      </c>
      <c r="F525" s="196">
        <f t="shared" si="56"/>
        <v>3.7569999999999999E-2</v>
      </c>
      <c r="G525" s="196">
        <f t="shared" si="47"/>
        <v>2.9649999999999999E-2</v>
      </c>
      <c r="H525" s="199">
        <f t="shared" si="48"/>
        <v>2.503E-2</v>
      </c>
      <c r="I525" s="49"/>
      <c r="J525" s="49"/>
      <c r="K525" s="49"/>
      <c r="L525" s="49"/>
      <c r="M525" s="49"/>
      <c r="N525" s="49"/>
      <c r="O525" s="49"/>
      <c r="P525" s="49"/>
      <c r="Q525" s="49"/>
      <c r="R525" s="49"/>
      <c r="S525" s="49"/>
      <c r="T525" s="49"/>
      <c r="U525" s="49"/>
      <c r="V525" s="49"/>
      <c r="W525" s="49"/>
      <c r="X525" s="49"/>
      <c r="Y525" s="49"/>
      <c r="Z525" s="49"/>
      <c r="AA525" s="49"/>
      <c r="AB525" s="49"/>
      <c r="AC525" s="49"/>
    </row>
    <row r="526" spans="1:29">
      <c r="A526" s="195" t="s">
        <v>384</v>
      </c>
      <c r="B526" s="197"/>
      <c r="C526" s="271"/>
      <c r="D526" s="357"/>
      <c r="E526" s="274"/>
      <c r="F526" s="196"/>
      <c r="G526" s="196"/>
      <c r="H526" s="199"/>
      <c r="I526" s="49"/>
      <c r="J526" s="49"/>
      <c r="K526" s="49"/>
      <c r="L526" s="49"/>
      <c r="M526" s="49"/>
      <c r="N526" s="49"/>
      <c r="O526" s="49"/>
      <c r="P526" s="49"/>
      <c r="Q526" s="49"/>
      <c r="R526" s="49"/>
      <c r="S526" s="49"/>
      <c r="T526" s="49"/>
      <c r="U526" s="49"/>
      <c r="V526" s="49"/>
      <c r="W526" s="49"/>
      <c r="X526" s="49"/>
      <c r="Y526" s="49"/>
      <c r="Z526" s="49"/>
      <c r="AA526" s="49"/>
      <c r="AB526" s="49"/>
      <c r="AC526" s="49"/>
    </row>
    <row r="527" spans="1:29">
      <c r="A527" s="75" t="s">
        <v>75</v>
      </c>
      <c r="B527" s="65"/>
      <c r="C527" s="271"/>
      <c r="D527" s="364"/>
      <c r="E527" s="274"/>
      <c r="F527" s="196"/>
      <c r="G527" s="196"/>
      <c r="H527" s="199"/>
      <c r="I527" s="49"/>
      <c r="J527" s="49"/>
      <c r="K527" s="49"/>
      <c r="L527" s="49"/>
      <c r="M527" s="49"/>
      <c r="N527" s="49"/>
      <c r="O527" s="49"/>
      <c r="P527" s="49"/>
      <c r="Q527" s="49"/>
      <c r="R527" s="49"/>
      <c r="S527" s="49"/>
      <c r="T527" s="49"/>
      <c r="U527" s="49"/>
      <c r="V527" s="49"/>
      <c r="W527" s="49"/>
      <c r="X527" s="49"/>
      <c r="Y527" s="49"/>
      <c r="Z527" s="49"/>
      <c r="AA527" s="49"/>
      <c r="AB527" s="49"/>
      <c r="AC527" s="49"/>
    </row>
    <row r="528" spans="1:29" ht="30">
      <c r="A528" s="63" t="s">
        <v>211</v>
      </c>
      <c r="B528" s="61" t="s">
        <v>212</v>
      </c>
      <c r="C528" s="271">
        <f>VLOOKUP($A$8:$A$1487,'[7]MFP''s'!A$8:C$1502,3,FALSE)</f>
        <v>1336</v>
      </c>
      <c r="D528" s="364">
        <v>606</v>
      </c>
      <c r="E528" s="274">
        <f t="shared" si="49"/>
        <v>0.54640718562874246</v>
      </c>
      <c r="F528" s="196">
        <f t="shared" si="56"/>
        <v>22.767419999999998</v>
      </c>
      <c r="G528" s="196">
        <f t="shared" si="47"/>
        <v>17.9679</v>
      </c>
      <c r="H528" s="199">
        <f t="shared" si="48"/>
        <v>15.16818</v>
      </c>
      <c r="I528" s="49"/>
      <c r="J528" s="49"/>
      <c r="K528" s="49"/>
      <c r="L528" s="49"/>
      <c r="M528" s="49"/>
      <c r="N528" s="49"/>
      <c r="O528" s="49"/>
      <c r="P528" s="49"/>
      <c r="Q528" s="49"/>
      <c r="R528" s="49"/>
      <c r="S528" s="49"/>
      <c r="T528" s="49"/>
      <c r="U528" s="49"/>
      <c r="V528" s="49"/>
      <c r="W528" s="49"/>
      <c r="X528" s="49"/>
      <c r="Y528" s="49"/>
      <c r="Z528" s="49"/>
      <c r="AA528" s="49"/>
      <c r="AB528" s="49"/>
      <c r="AC528" s="49"/>
    </row>
    <row r="529" spans="1:29">
      <c r="A529" s="63" t="s">
        <v>205</v>
      </c>
      <c r="B529" s="61" t="s">
        <v>206</v>
      </c>
      <c r="C529" s="271">
        <f>VLOOKUP($A$8:$A$1487,'[7]MFP''s'!A$8:C$1502,3,FALSE)</f>
        <v>6455.4</v>
      </c>
      <c r="D529" s="364">
        <v>2927</v>
      </c>
      <c r="E529" s="274">
        <f t="shared" si="49"/>
        <v>0.54658115686092268</v>
      </c>
      <c r="F529" s="196">
        <f t="shared" si="56"/>
        <v>109.96738999999999</v>
      </c>
      <c r="G529" s="196">
        <f t="shared" si="47"/>
        <v>86.785550000000001</v>
      </c>
      <c r="H529" s="199">
        <f t="shared" si="48"/>
        <v>73.262810000000002</v>
      </c>
      <c r="I529" s="49"/>
      <c r="J529" s="49"/>
      <c r="K529" s="49"/>
      <c r="L529" s="49"/>
      <c r="M529" s="49"/>
      <c r="N529" s="49"/>
      <c r="O529" s="49"/>
      <c r="P529" s="49"/>
      <c r="Q529" s="49"/>
      <c r="R529" s="49"/>
      <c r="S529" s="49"/>
      <c r="T529" s="49"/>
      <c r="U529" s="49"/>
      <c r="V529" s="49"/>
      <c r="W529" s="49"/>
      <c r="X529" s="49"/>
      <c r="Y529" s="49"/>
      <c r="Z529" s="49"/>
      <c r="AA529" s="49"/>
      <c r="AB529" s="49"/>
      <c r="AC529" s="49"/>
    </row>
    <row r="530" spans="1:29" ht="30">
      <c r="A530" s="63" t="s">
        <v>259</v>
      </c>
      <c r="B530" s="61" t="s">
        <v>260</v>
      </c>
      <c r="C530" s="271">
        <f>VLOOKUP($A$8:$A$1487,'[7]MFP''s'!A$8:C$1502,3,FALSE)</f>
        <v>10579</v>
      </c>
      <c r="D530" s="364">
        <v>5862</v>
      </c>
      <c r="E530" s="274">
        <f t="shared" si="49"/>
        <v>0.44588335381416011</v>
      </c>
      <c r="F530" s="196">
        <f t="shared" si="56"/>
        <v>220.23534000000001</v>
      </c>
      <c r="G530" s="196">
        <f t="shared" si="47"/>
        <v>173.8083</v>
      </c>
      <c r="H530" s="199">
        <f t="shared" si="48"/>
        <v>146.72586000000001</v>
      </c>
      <c r="I530" s="49"/>
      <c r="J530" s="49"/>
      <c r="K530" s="49"/>
      <c r="L530" s="49"/>
      <c r="M530" s="49"/>
      <c r="N530" s="49"/>
      <c r="O530" s="49"/>
      <c r="P530" s="49"/>
      <c r="Q530" s="49"/>
      <c r="R530" s="49"/>
      <c r="S530" s="49"/>
      <c r="T530" s="49"/>
      <c r="U530" s="49"/>
      <c r="V530" s="49"/>
      <c r="W530" s="49"/>
      <c r="X530" s="49"/>
      <c r="Y530" s="49"/>
      <c r="Z530" s="49"/>
      <c r="AA530" s="49"/>
      <c r="AB530" s="49"/>
      <c r="AC530" s="49"/>
    </row>
    <row r="531" spans="1:29">
      <c r="A531" s="63" t="s">
        <v>261</v>
      </c>
      <c r="B531" s="61" t="s">
        <v>262</v>
      </c>
      <c r="C531" s="271">
        <f>VLOOKUP($A$8:$A$1487,'[7]MFP''s'!A$8:C$1502,3,FALSE)</f>
        <v>5215</v>
      </c>
      <c r="D531" s="364">
        <v>2890</v>
      </c>
      <c r="E531" s="274">
        <f t="shared" si="49"/>
        <v>0.44582933844678807</v>
      </c>
      <c r="F531" s="196">
        <f t="shared" si="56"/>
        <v>108.57729999999999</v>
      </c>
      <c r="G531" s="196">
        <f t="shared" si="47"/>
        <v>85.688500000000005</v>
      </c>
      <c r="H531" s="199">
        <f t="shared" si="48"/>
        <v>72.336700000000008</v>
      </c>
      <c r="I531" s="49"/>
      <c r="J531" s="49"/>
      <c r="K531" s="49"/>
      <c r="L531" s="49"/>
      <c r="M531" s="49"/>
      <c r="N531" s="49"/>
      <c r="O531" s="49"/>
      <c r="P531" s="49"/>
      <c r="Q531" s="49"/>
      <c r="R531" s="49"/>
      <c r="S531" s="49"/>
      <c r="T531" s="49"/>
      <c r="U531" s="49"/>
      <c r="V531" s="49"/>
      <c r="W531" s="49"/>
      <c r="X531" s="49"/>
      <c r="Y531" s="49"/>
      <c r="Z531" s="49"/>
      <c r="AA531" s="49"/>
      <c r="AB531" s="49"/>
      <c r="AC531" s="49"/>
    </row>
    <row r="532" spans="1:29">
      <c r="A532" s="63" t="s">
        <v>263</v>
      </c>
      <c r="B532" s="61" t="s">
        <v>264</v>
      </c>
      <c r="C532" s="271">
        <f>VLOOKUP($A$8:$A$1487,'[7]MFP''s'!A$8:C$1502,3,FALSE)</f>
        <v>2115</v>
      </c>
      <c r="D532" s="364">
        <v>1172</v>
      </c>
      <c r="E532" s="274">
        <f t="shared" si="49"/>
        <v>0.44586288416075648</v>
      </c>
      <c r="F532" s="196">
        <f t="shared" si="56"/>
        <v>44.032040000000002</v>
      </c>
      <c r="G532" s="196">
        <f t="shared" ref="G532:G583" si="57">D532*$G$1</f>
        <v>34.7498</v>
      </c>
      <c r="H532" s="199">
        <f t="shared" ref="H532:H583" si="58">D532*$H$1</f>
        <v>29.335160000000002</v>
      </c>
      <c r="I532" s="49"/>
      <c r="J532" s="49"/>
      <c r="K532" s="49"/>
      <c r="L532" s="49"/>
      <c r="M532" s="49"/>
      <c r="N532" s="49"/>
      <c r="O532" s="49"/>
      <c r="P532" s="49"/>
      <c r="Q532" s="49"/>
      <c r="R532" s="49"/>
      <c r="S532" s="49"/>
      <c r="T532" s="49"/>
      <c r="U532" s="49"/>
      <c r="V532" s="49"/>
      <c r="W532" s="49"/>
      <c r="X532" s="49"/>
      <c r="Y532" s="49"/>
      <c r="Z532" s="49"/>
      <c r="AA532" s="49"/>
      <c r="AB532" s="49"/>
      <c r="AC532" s="49"/>
    </row>
    <row r="533" spans="1:29">
      <c r="A533" s="75" t="s">
        <v>66</v>
      </c>
      <c r="B533" s="65"/>
      <c r="C533" s="271"/>
      <c r="D533" s="364"/>
      <c r="E533" s="274"/>
      <c r="F533" s="196"/>
      <c r="G533" s="196"/>
      <c r="H533" s="199"/>
      <c r="I533" s="49"/>
      <c r="J533" s="49"/>
      <c r="K533" s="49"/>
      <c r="L533" s="49"/>
      <c r="M533" s="49"/>
      <c r="N533" s="49"/>
      <c r="O533" s="49"/>
      <c r="P533" s="49"/>
      <c r="Q533" s="49"/>
      <c r="R533" s="49"/>
      <c r="S533" s="49"/>
      <c r="T533" s="49"/>
      <c r="U533" s="49"/>
      <c r="V533" s="49"/>
      <c r="W533" s="49"/>
      <c r="X533" s="49"/>
      <c r="Y533" s="49"/>
      <c r="Z533" s="49"/>
      <c r="AA533" s="49"/>
      <c r="AB533" s="49"/>
      <c r="AC533" s="49"/>
    </row>
    <row r="534" spans="1:29">
      <c r="A534" s="63" t="s">
        <v>224</v>
      </c>
      <c r="B534" s="61" t="s">
        <v>225</v>
      </c>
      <c r="C534" s="271">
        <f>VLOOKUP($A$8:$A$1487,'[7]MFP''s'!A$8:C$1502,3,FALSE)</f>
        <v>1113</v>
      </c>
      <c r="D534" s="364">
        <v>505</v>
      </c>
      <c r="E534" s="274">
        <f t="shared" si="49"/>
        <v>0.54627133872416889</v>
      </c>
      <c r="F534" s="196">
        <f t="shared" si="56"/>
        <v>18.972850000000001</v>
      </c>
      <c r="G534" s="196">
        <f t="shared" si="57"/>
        <v>14.97325</v>
      </c>
      <c r="H534" s="199">
        <f t="shared" si="58"/>
        <v>12.64015</v>
      </c>
      <c r="I534" s="49"/>
      <c r="J534" s="49"/>
      <c r="K534" s="49"/>
      <c r="L534" s="49"/>
      <c r="M534" s="49"/>
      <c r="N534" s="49"/>
      <c r="O534" s="49"/>
      <c r="P534" s="49"/>
      <c r="Q534" s="49"/>
      <c r="R534" s="49"/>
      <c r="S534" s="49"/>
      <c r="T534" s="49"/>
      <c r="U534" s="49"/>
      <c r="V534" s="49"/>
      <c r="W534" s="49"/>
      <c r="X534" s="49"/>
      <c r="Y534" s="49"/>
      <c r="Z534" s="49"/>
      <c r="AA534" s="49"/>
      <c r="AB534" s="49"/>
      <c r="AC534" s="49"/>
    </row>
    <row r="535" spans="1:29">
      <c r="A535" s="63" t="s">
        <v>265</v>
      </c>
      <c r="B535" s="61" t="s">
        <v>266</v>
      </c>
      <c r="C535" s="271">
        <f>VLOOKUP($A$8:$A$1487,'[7]MFP''s'!A$8:C$1502,3,FALSE)</f>
        <v>18921</v>
      </c>
      <c r="D535" s="364">
        <v>10485</v>
      </c>
      <c r="E535" s="274">
        <f t="shared" si="49"/>
        <v>0.44585381322340256</v>
      </c>
      <c r="F535" s="196">
        <f t="shared" si="56"/>
        <v>393.92144999999999</v>
      </c>
      <c r="G535" s="196">
        <f t="shared" si="57"/>
        <v>310.88024999999999</v>
      </c>
      <c r="H535" s="199">
        <f t="shared" si="58"/>
        <v>262.43955</v>
      </c>
      <c r="I535" s="49"/>
      <c r="J535" s="49"/>
      <c r="K535" s="49"/>
      <c r="L535" s="49"/>
      <c r="M535" s="49"/>
      <c r="N535" s="49"/>
      <c r="O535" s="49"/>
      <c r="P535" s="49"/>
      <c r="Q535" s="49"/>
      <c r="R535" s="49"/>
      <c r="S535" s="49"/>
      <c r="T535" s="49"/>
      <c r="U535" s="49"/>
      <c r="V535" s="49"/>
      <c r="W535" s="49"/>
      <c r="X535" s="49"/>
      <c r="Y535" s="49"/>
      <c r="Z535" s="49"/>
      <c r="AA535" s="49"/>
      <c r="AB535" s="49"/>
      <c r="AC535" s="49"/>
    </row>
    <row r="536" spans="1:29">
      <c r="A536" s="63" t="s">
        <v>267</v>
      </c>
      <c r="B536" s="61" t="s">
        <v>268</v>
      </c>
      <c r="C536" s="271">
        <f>VLOOKUP($A$8:$A$1487,'[7]MFP''s'!A$8:C$1502,3,FALSE)</f>
        <v>18365</v>
      </c>
      <c r="D536" s="364">
        <v>10177</v>
      </c>
      <c r="E536" s="274">
        <f t="shared" si="49"/>
        <v>0.44584808058807512</v>
      </c>
      <c r="F536" s="196">
        <f t="shared" si="56"/>
        <v>382.34989000000002</v>
      </c>
      <c r="G536" s="196">
        <f t="shared" si="57"/>
        <v>301.74804999999998</v>
      </c>
      <c r="H536" s="199">
        <f t="shared" si="58"/>
        <v>254.73031</v>
      </c>
      <c r="I536" s="49"/>
      <c r="J536" s="49"/>
      <c r="K536" s="49"/>
      <c r="L536" s="49"/>
      <c r="M536" s="49"/>
      <c r="N536" s="49"/>
      <c r="O536" s="49"/>
      <c r="P536" s="49"/>
      <c r="Q536" s="49"/>
      <c r="R536" s="49"/>
      <c r="S536" s="49"/>
      <c r="T536" s="49"/>
      <c r="U536" s="49"/>
      <c r="V536" s="49"/>
      <c r="W536" s="49"/>
      <c r="X536" s="49"/>
      <c r="Y536" s="49"/>
      <c r="Z536" s="49"/>
      <c r="AA536" s="49"/>
      <c r="AB536" s="49"/>
      <c r="AC536" s="49"/>
    </row>
    <row r="537" spans="1:29">
      <c r="A537" s="63" t="s">
        <v>269</v>
      </c>
      <c r="B537" s="61" t="s">
        <v>270</v>
      </c>
      <c r="C537" s="271">
        <f>VLOOKUP($A$8:$A$1487,'[7]MFP''s'!A$8:C$1502,3,FALSE)</f>
        <v>27825</v>
      </c>
      <c r="D537" s="364">
        <v>15419</v>
      </c>
      <c r="E537" s="274">
        <f t="shared" si="49"/>
        <v>0.4458580413297395</v>
      </c>
      <c r="F537" s="196">
        <f t="shared" si="56"/>
        <v>579.29183</v>
      </c>
      <c r="G537" s="196">
        <f t="shared" si="57"/>
        <v>457.17334999999997</v>
      </c>
      <c r="H537" s="199">
        <f t="shared" si="58"/>
        <v>385.93756999999999</v>
      </c>
      <c r="I537" s="49"/>
      <c r="J537" s="49"/>
      <c r="K537" s="49"/>
      <c r="L537" s="49"/>
      <c r="M537" s="49"/>
      <c r="N537" s="49"/>
      <c r="O537" s="49"/>
      <c r="P537" s="49"/>
      <c r="Q537" s="49"/>
      <c r="R537" s="49"/>
      <c r="S537" s="49"/>
      <c r="T537" s="49"/>
      <c r="U537" s="49"/>
      <c r="V537" s="49"/>
      <c r="W537" s="49"/>
      <c r="X537" s="49"/>
      <c r="Y537" s="49"/>
      <c r="Z537" s="49"/>
      <c r="AA537" s="49"/>
      <c r="AB537" s="49"/>
      <c r="AC537" s="49"/>
    </row>
    <row r="538" spans="1:29">
      <c r="A538" s="62" t="s">
        <v>236</v>
      </c>
      <c r="B538" s="61" t="s">
        <v>237</v>
      </c>
      <c r="C538" s="271">
        <f>VLOOKUP($A$8:$A$1487,'[7]MFP''s'!A$8:C$1502,3,FALSE)</f>
        <v>18232</v>
      </c>
      <c r="D538" s="364">
        <v>8266</v>
      </c>
      <c r="E538" s="274">
        <f t="shared" si="49"/>
        <v>0.54662132514260642</v>
      </c>
      <c r="F538" s="196">
        <f t="shared" si="56"/>
        <v>310.55361999999997</v>
      </c>
      <c r="G538" s="196">
        <f t="shared" si="57"/>
        <v>245.08689999999999</v>
      </c>
      <c r="H538" s="199">
        <f t="shared" si="58"/>
        <v>206.89797999999999</v>
      </c>
      <c r="I538" s="49"/>
      <c r="J538" s="49"/>
      <c r="K538" s="49"/>
      <c r="L538" s="49"/>
      <c r="M538" s="49"/>
      <c r="N538" s="49"/>
      <c r="O538" s="49"/>
      <c r="P538" s="49"/>
      <c r="Q538" s="49"/>
      <c r="R538" s="49"/>
      <c r="S538" s="49"/>
      <c r="T538" s="49"/>
      <c r="U538" s="49"/>
      <c r="V538" s="49"/>
      <c r="W538" s="49"/>
      <c r="X538" s="49"/>
      <c r="Y538" s="49"/>
      <c r="Z538" s="49"/>
      <c r="AA538" s="49"/>
      <c r="AB538" s="49"/>
      <c r="AC538" s="49"/>
    </row>
    <row r="539" spans="1:29">
      <c r="A539" s="62" t="s">
        <v>238</v>
      </c>
      <c r="B539" s="61" t="s">
        <v>239</v>
      </c>
      <c r="C539" s="271">
        <f>VLOOKUP($A$8:$A$1487,'[7]MFP''s'!A$8:C$1502,3,FALSE)</f>
        <v>1484</v>
      </c>
      <c r="D539" s="364">
        <v>673</v>
      </c>
      <c r="E539" s="274">
        <f t="shared" si="49"/>
        <v>0.54649595687331542</v>
      </c>
      <c r="F539" s="196">
        <f t="shared" si="56"/>
        <v>25.284610000000001</v>
      </c>
      <c r="G539" s="196">
        <f t="shared" si="57"/>
        <v>19.954449999999998</v>
      </c>
      <c r="H539" s="199">
        <f t="shared" si="58"/>
        <v>16.845189999999999</v>
      </c>
      <c r="I539" s="49"/>
      <c r="J539" s="49"/>
      <c r="K539" s="49"/>
      <c r="L539" s="49"/>
      <c r="M539" s="49"/>
      <c r="N539" s="49"/>
      <c r="O539" s="49"/>
      <c r="P539" s="49"/>
      <c r="Q539" s="49"/>
      <c r="R539" s="49"/>
      <c r="S539" s="49"/>
      <c r="T539" s="49"/>
      <c r="U539" s="49"/>
      <c r="V539" s="49"/>
      <c r="W539" s="49"/>
      <c r="X539" s="49"/>
      <c r="Y539" s="49"/>
      <c r="Z539" s="49"/>
      <c r="AA539" s="49"/>
      <c r="AB539" s="49"/>
      <c r="AC539" s="49"/>
    </row>
    <row r="540" spans="1:29">
      <c r="A540" s="62" t="s">
        <v>240</v>
      </c>
      <c r="B540" s="61" t="s">
        <v>241</v>
      </c>
      <c r="C540" s="271">
        <f>VLOOKUP($A$8:$A$1487,'[7]MFP''s'!A$8:C$1502,3,FALSE)</f>
        <v>1484</v>
      </c>
      <c r="D540" s="364">
        <v>673</v>
      </c>
      <c r="E540" s="274">
        <f t="shared" si="49"/>
        <v>0.54649595687331542</v>
      </c>
      <c r="F540" s="196">
        <f t="shared" si="56"/>
        <v>25.284610000000001</v>
      </c>
      <c r="G540" s="196">
        <f t="shared" si="57"/>
        <v>19.954449999999998</v>
      </c>
      <c r="H540" s="199">
        <f t="shared" si="58"/>
        <v>16.845189999999999</v>
      </c>
      <c r="I540" s="49"/>
      <c r="J540" s="49"/>
      <c r="K540" s="49"/>
      <c r="L540" s="49"/>
      <c r="M540" s="49"/>
      <c r="N540" s="49"/>
      <c r="O540" s="49"/>
      <c r="P540" s="49"/>
      <c r="Q540" s="49"/>
      <c r="R540" s="49"/>
      <c r="S540" s="49"/>
      <c r="T540" s="49"/>
      <c r="U540" s="49"/>
      <c r="V540" s="49"/>
      <c r="W540" s="49"/>
      <c r="X540" s="49"/>
      <c r="Y540" s="49"/>
      <c r="Z540" s="49"/>
      <c r="AA540" s="49"/>
      <c r="AB540" s="49"/>
      <c r="AC540" s="49"/>
    </row>
    <row r="541" spans="1:29">
      <c r="A541" s="62" t="s">
        <v>242</v>
      </c>
      <c r="B541" s="61" t="s">
        <v>243</v>
      </c>
      <c r="C541" s="271">
        <f>VLOOKUP($A$8:$A$1487,'[7]MFP''s'!A$8:C$1502,3,FALSE)</f>
        <v>1484</v>
      </c>
      <c r="D541" s="364">
        <v>673</v>
      </c>
      <c r="E541" s="274">
        <f t="shared" si="49"/>
        <v>0.54649595687331542</v>
      </c>
      <c r="F541" s="196">
        <f t="shared" si="56"/>
        <v>25.284610000000001</v>
      </c>
      <c r="G541" s="196">
        <f t="shared" si="57"/>
        <v>19.954449999999998</v>
      </c>
      <c r="H541" s="199">
        <f t="shared" si="58"/>
        <v>16.845189999999999</v>
      </c>
      <c r="I541" s="49"/>
      <c r="J541" s="49"/>
      <c r="K541" s="49"/>
      <c r="L541" s="49"/>
      <c r="M541" s="49"/>
      <c r="N541" s="49"/>
      <c r="O541" s="49"/>
      <c r="P541" s="49"/>
      <c r="Q541" s="49"/>
      <c r="R541" s="49"/>
      <c r="S541" s="49"/>
      <c r="T541" s="49"/>
      <c r="U541" s="49"/>
      <c r="V541" s="49"/>
      <c r="W541" s="49"/>
      <c r="X541" s="49"/>
      <c r="Y541" s="49"/>
      <c r="Z541" s="49"/>
      <c r="AA541" s="49"/>
      <c r="AB541" s="49"/>
      <c r="AC541" s="49"/>
    </row>
    <row r="542" spans="1:29">
      <c r="A542" s="62" t="s">
        <v>244</v>
      </c>
      <c r="B542" s="61" t="s">
        <v>245</v>
      </c>
      <c r="C542" s="271">
        <f>VLOOKUP($A$8:$A$1487,'[7]MFP''s'!A$8:C$1502,3,FALSE)</f>
        <v>1484</v>
      </c>
      <c r="D542" s="364">
        <v>673</v>
      </c>
      <c r="E542" s="274">
        <f t="shared" si="49"/>
        <v>0.54649595687331542</v>
      </c>
      <c r="F542" s="196">
        <f t="shared" si="56"/>
        <v>25.284610000000001</v>
      </c>
      <c r="G542" s="196">
        <f t="shared" si="57"/>
        <v>19.954449999999998</v>
      </c>
      <c r="H542" s="199">
        <f t="shared" si="58"/>
        <v>16.845189999999999</v>
      </c>
      <c r="I542" s="49"/>
      <c r="J542" s="49"/>
      <c r="K542" s="49"/>
      <c r="L542" s="49"/>
      <c r="M542" s="49"/>
      <c r="N542" s="49"/>
      <c r="O542" s="49"/>
      <c r="P542" s="49"/>
      <c r="Q542" s="49"/>
      <c r="R542" s="49"/>
      <c r="S542" s="49"/>
      <c r="T542" s="49"/>
      <c r="U542" s="49"/>
      <c r="V542" s="49"/>
      <c r="W542" s="49"/>
      <c r="X542" s="49"/>
      <c r="Y542" s="49"/>
      <c r="Z542" s="49"/>
      <c r="AA542" s="49"/>
      <c r="AB542" s="49"/>
      <c r="AC542" s="49"/>
    </row>
    <row r="543" spans="1:29">
      <c r="A543" s="63" t="s">
        <v>226</v>
      </c>
      <c r="B543" s="61" t="s">
        <v>227</v>
      </c>
      <c r="C543" s="271">
        <f>VLOOKUP($A$8:$A$1487,'[7]MFP''s'!A$8:C$1502,3,FALSE)</f>
        <v>29000</v>
      </c>
      <c r="D543" s="364">
        <v>13148</v>
      </c>
      <c r="E543" s="274">
        <f t="shared" si="49"/>
        <v>0.54662068965517241</v>
      </c>
      <c r="F543" s="196">
        <f t="shared" si="56"/>
        <v>493.97035999999997</v>
      </c>
      <c r="G543" s="196">
        <f t="shared" si="57"/>
        <v>389.83819999999997</v>
      </c>
      <c r="H543" s="199">
        <f t="shared" si="58"/>
        <v>329.09444000000002</v>
      </c>
      <c r="I543" s="49"/>
      <c r="J543" s="49"/>
      <c r="K543" s="49"/>
      <c r="L543" s="49"/>
      <c r="M543" s="49"/>
      <c r="N543" s="49"/>
      <c r="O543" s="49"/>
      <c r="P543" s="49"/>
      <c r="Q543" s="49"/>
      <c r="R543" s="49"/>
      <c r="S543" s="49"/>
      <c r="T543" s="49"/>
      <c r="U543" s="49"/>
      <c r="V543" s="49"/>
      <c r="W543" s="49"/>
      <c r="X543" s="49"/>
      <c r="Y543" s="49"/>
      <c r="Z543" s="49"/>
      <c r="AA543" s="49"/>
      <c r="AB543" s="49"/>
      <c r="AC543" s="49"/>
    </row>
    <row r="544" spans="1:29">
      <c r="A544" s="63" t="s">
        <v>228</v>
      </c>
      <c r="B544" s="74" t="s">
        <v>229</v>
      </c>
      <c r="C544" s="271">
        <f>VLOOKUP($A$8:$A$1487,'[7]MFP''s'!A$8:C$1502,3,FALSE)</f>
        <v>600</v>
      </c>
      <c r="D544" s="364">
        <v>273</v>
      </c>
      <c r="E544" s="274">
        <f t="shared" si="49"/>
        <v>0.54499999999999993</v>
      </c>
      <c r="F544" s="196">
        <f t="shared" si="56"/>
        <v>10.25661</v>
      </c>
      <c r="G544" s="196">
        <f t="shared" si="57"/>
        <v>8.0944500000000001</v>
      </c>
      <c r="H544" s="199">
        <f t="shared" si="58"/>
        <v>6.8331900000000001</v>
      </c>
      <c r="I544" s="49"/>
      <c r="J544" s="49"/>
      <c r="K544" s="49"/>
      <c r="L544" s="49"/>
      <c r="M544" s="49"/>
      <c r="N544" s="49"/>
      <c r="O544" s="49"/>
      <c r="P544" s="49"/>
      <c r="Q544" s="49"/>
      <c r="R544" s="49"/>
      <c r="S544" s="49"/>
      <c r="T544" s="49"/>
      <c r="U544" s="49"/>
      <c r="V544" s="49"/>
      <c r="W544" s="49"/>
      <c r="X544" s="49"/>
      <c r="Y544" s="49"/>
      <c r="Z544" s="49"/>
      <c r="AA544" s="49"/>
      <c r="AB544" s="49"/>
      <c r="AC544" s="49"/>
    </row>
    <row r="545" spans="1:29">
      <c r="A545" s="63" t="s">
        <v>230</v>
      </c>
      <c r="B545" s="74" t="s">
        <v>231</v>
      </c>
      <c r="C545" s="271">
        <f>VLOOKUP($A$8:$A$1487,'[7]MFP''s'!A$8:C$1502,3,FALSE)</f>
        <v>600</v>
      </c>
      <c r="D545" s="364">
        <v>273</v>
      </c>
      <c r="E545" s="274">
        <f t="shared" si="49"/>
        <v>0.54499999999999993</v>
      </c>
      <c r="F545" s="196">
        <f t="shared" si="56"/>
        <v>10.25661</v>
      </c>
      <c r="G545" s="196">
        <f t="shared" si="57"/>
        <v>8.0944500000000001</v>
      </c>
      <c r="H545" s="199">
        <f t="shared" si="58"/>
        <v>6.8331900000000001</v>
      </c>
      <c r="I545" s="49"/>
      <c r="J545" s="49"/>
      <c r="K545" s="49"/>
      <c r="L545" s="49"/>
      <c r="M545" s="49"/>
      <c r="N545" s="49"/>
      <c r="O545" s="49"/>
      <c r="P545" s="49"/>
      <c r="Q545" s="49"/>
      <c r="R545" s="49"/>
      <c r="S545" s="49"/>
      <c r="T545" s="49"/>
      <c r="U545" s="49"/>
      <c r="V545" s="49"/>
      <c r="W545" s="49"/>
      <c r="X545" s="49"/>
      <c r="Y545" s="49"/>
      <c r="Z545" s="49"/>
      <c r="AA545" s="49"/>
      <c r="AB545" s="49"/>
      <c r="AC545" s="49"/>
    </row>
    <row r="546" spans="1:29">
      <c r="A546" s="63" t="s">
        <v>232</v>
      </c>
      <c r="B546" s="74" t="s">
        <v>233</v>
      </c>
      <c r="C546" s="271">
        <f>VLOOKUP($A$8:$A$1487,'[7]MFP''s'!A$8:C$1502,3,FALSE)</f>
        <v>600</v>
      </c>
      <c r="D546" s="364">
        <v>273</v>
      </c>
      <c r="E546" s="274">
        <f t="shared" si="49"/>
        <v>0.54499999999999993</v>
      </c>
      <c r="F546" s="196">
        <f t="shared" si="56"/>
        <v>10.25661</v>
      </c>
      <c r="G546" s="196">
        <f t="shared" si="57"/>
        <v>8.0944500000000001</v>
      </c>
      <c r="H546" s="199">
        <f t="shared" si="58"/>
        <v>6.8331900000000001</v>
      </c>
      <c r="I546" s="49"/>
      <c r="J546" s="49"/>
      <c r="K546" s="49"/>
      <c r="L546" s="49"/>
      <c r="M546" s="49"/>
      <c r="N546" s="49"/>
      <c r="O546" s="49"/>
      <c r="P546" s="49"/>
      <c r="Q546" s="49"/>
      <c r="R546" s="49"/>
      <c r="S546" s="49"/>
      <c r="T546" s="49"/>
      <c r="U546" s="49"/>
      <c r="V546" s="49"/>
      <c r="W546" s="49"/>
      <c r="X546" s="49"/>
      <c r="Y546" s="49"/>
      <c r="Z546" s="49"/>
      <c r="AA546" s="49"/>
      <c r="AB546" s="49"/>
      <c r="AC546" s="49"/>
    </row>
    <row r="547" spans="1:29">
      <c r="A547" s="63" t="s">
        <v>234</v>
      </c>
      <c r="B547" s="61" t="s">
        <v>235</v>
      </c>
      <c r="C547" s="271">
        <f>VLOOKUP($A$8:$A$1487,'[7]MFP''s'!A$8:C$1502,3,FALSE)</f>
        <v>600</v>
      </c>
      <c r="D547" s="364">
        <v>273</v>
      </c>
      <c r="E547" s="274">
        <f t="shared" si="49"/>
        <v>0.54499999999999993</v>
      </c>
      <c r="F547" s="196">
        <f t="shared" si="56"/>
        <v>10.25661</v>
      </c>
      <c r="G547" s="196">
        <f t="shared" si="57"/>
        <v>8.0944500000000001</v>
      </c>
      <c r="H547" s="199">
        <f t="shared" si="58"/>
        <v>6.8331900000000001</v>
      </c>
      <c r="I547" s="49"/>
      <c r="J547" s="49"/>
      <c r="K547" s="49"/>
      <c r="L547" s="49"/>
      <c r="M547" s="49"/>
      <c r="N547" s="49"/>
      <c r="O547" s="49"/>
      <c r="P547" s="49"/>
      <c r="Q547" s="49"/>
      <c r="R547" s="49"/>
      <c r="S547" s="49"/>
      <c r="T547" s="49"/>
      <c r="U547" s="49"/>
      <c r="V547" s="49"/>
      <c r="W547" s="49"/>
      <c r="X547" s="49"/>
      <c r="Y547" s="49"/>
      <c r="Z547" s="49"/>
      <c r="AA547" s="49"/>
      <c r="AB547" s="49"/>
      <c r="AC547" s="49"/>
    </row>
    <row r="548" spans="1:29">
      <c r="A548" s="63" t="s">
        <v>246</v>
      </c>
      <c r="B548" s="61" t="s">
        <v>247</v>
      </c>
      <c r="C548" s="271">
        <f>VLOOKUP($A$8:$A$1487,'[7]MFP''s'!A$8:C$1502,3,FALSE)</f>
        <v>1484</v>
      </c>
      <c r="D548" s="364">
        <v>673</v>
      </c>
      <c r="E548" s="274">
        <f t="shared" si="49"/>
        <v>0.54649595687331542</v>
      </c>
      <c r="F548" s="196">
        <f t="shared" si="56"/>
        <v>25.284610000000001</v>
      </c>
      <c r="G548" s="196">
        <f t="shared" si="57"/>
        <v>19.954449999999998</v>
      </c>
      <c r="H548" s="199">
        <f t="shared" si="58"/>
        <v>16.845189999999999</v>
      </c>
      <c r="M548" s="49"/>
      <c r="N548" s="49"/>
      <c r="O548" s="49"/>
      <c r="P548" s="49"/>
      <c r="Q548" s="49"/>
      <c r="R548" s="49"/>
      <c r="S548" s="49"/>
      <c r="T548" s="49"/>
      <c r="U548" s="49"/>
      <c r="V548" s="49"/>
      <c r="W548" s="49"/>
      <c r="X548" s="49"/>
      <c r="Y548" s="49"/>
      <c r="Z548" s="49"/>
      <c r="AA548" s="49"/>
      <c r="AB548" s="49"/>
      <c r="AC548" s="49"/>
    </row>
    <row r="549" spans="1:29">
      <c r="A549" s="63" t="s">
        <v>248</v>
      </c>
      <c r="B549" s="61" t="s">
        <v>249</v>
      </c>
      <c r="C549" s="271">
        <f>VLOOKUP($A$8:$A$1487,'[7]MFP''s'!A$8:C$1502,3,FALSE)</f>
        <v>1484</v>
      </c>
      <c r="D549" s="364">
        <v>673</v>
      </c>
      <c r="E549" s="274">
        <f t="shared" si="49"/>
        <v>0.54649595687331542</v>
      </c>
      <c r="F549" s="196">
        <f t="shared" si="56"/>
        <v>25.284610000000001</v>
      </c>
      <c r="G549" s="196">
        <f t="shared" si="57"/>
        <v>19.954449999999998</v>
      </c>
      <c r="H549" s="199">
        <f t="shared" si="58"/>
        <v>16.845189999999999</v>
      </c>
      <c r="M549" s="49"/>
      <c r="N549" s="49"/>
      <c r="O549" s="49"/>
      <c r="P549" s="49"/>
      <c r="Q549" s="49"/>
      <c r="R549" s="49"/>
      <c r="S549" s="49"/>
      <c r="T549" s="49"/>
      <c r="U549" s="49"/>
      <c r="V549" s="49"/>
      <c r="W549" s="49"/>
      <c r="X549" s="49"/>
      <c r="Y549" s="49"/>
      <c r="Z549" s="49"/>
      <c r="AA549" s="49"/>
      <c r="AB549" s="49"/>
      <c r="AC549" s="49"/>
    </row>
    <row r="550" spans="1:29">
      <c r="A550" s="63" t="s">
        <v>250</v>
      </c>
      <c r="B550" s="61" t="s">
        <v>251</v>
      </c>
      <c r="C550" s="271">
        <f>VLOOKUP($A$8:$A$1487,'[7]MFP''s'!A$8:C$1502,3,FALSE)</f>
        <v>1484</v>
      </c>
      <c r="D550" s="364">
        <v>673</v>
      </c>
      <c r="E550" s="274">
        <f t="shared" si="49"/>
        <v>0.54649595687331542</v>
      </c>
      <c r="F550" s="196">
        <f t="shared" si="56"/>
        <v>25.284610000000001</v>
      </c>
      <c r="G550" s="196">
        <f t="shared" si="57"/>
        <v>19.954449999999998</v>
      </c>
      <c r="H550" s="199">
        <f t="shared" si="58"/>
        <v>16.845189999999999</v>
      </c>
      <c r="M550" s="49"/>
      <c r="N550" s="49"/>
      <c r="O550" s="49"/>
      <c r="P550" s="49"/>
      <c r="Q550" s="49"/>
      <c r="R550" s="49"/>
      <c r="S550" s="49"/>
      <c r="T550" s="49"/>
      <c r="U550" s="49"/>
      <c r="V550" s="49"/>
      <c r="W550" s="49"/>
      <c r="X550" s="49"/>
      <c r="Y550" s="49"/>
      <c r="Z550" s="49"/>
      <c r="AA550" s="49"/>
      <c r="AB550" s="49"/>
      <c r="AC550" s="49"/>
    </row>
    <row r="551" spans="1:29">
      <c r="A551" s="63" t="s">
        <v>271</v>
      </c>
      <c r="B551" s="61" t="s">
        <v>272</v>
      </c>
      <c r="C551" s="271">
        <f>VLOOKUP($A$8:$A$1487,'[7]MFP''s'!A$8:C$1502,3,FALSE)</f>
        <v>44838</v>
      </c>
      <c r="D551" s="364">
        <v>24846</v>
      </c>
      <c r="E551" s="274">
        <f t="shared" si="49"/>
        <v>0.44587180516526159</v>
      </c>
      <c r="F551" s="196">
        <f t="shared" si="56"/>
        <v>933.46421999999995</v>
      </c>
      <c r="G551" s="196">
        <f t="shared" si="57"/>
        <v>736.68389999999999</v>
      </c>
      <c r="H551" s="199">
        <f t="shared" si="58"/>
        <v>621.89538000000005</v>
      </c>
      <c r="M551" s="49"/>
      <c r="N551" s="49"/>
      <c r="O551" s="49"/>
      <c r="P551" s="49"/>
      <c r="Q551" s="49"/>
      <c r="R551" s="49"/>
      <c r="S551" s="49"/>
      <c r="T551" s="49"/>
      <c r="U551" s="49"/>
      <c r="V551" s="49"/>
      <c r="W551" s="49"/>
      <c r="X551" s="49"/>
      <c r="Y551" s="49"/>
      <c r="Z551" s="49"/>
      <c r="AA551" s="49"/>
      <c r="AB551" s="49"/>
      <c r="AC551" s="49"/>
    </row>
    <row r="552" spans="1:29">
      <c r="A552" s="63" t="s">
        <v>273</v>
      </c>
      <c r="B552" s="61" t="s">
        <v>274</v>
      </c>
      <c r="C552" s="271">
        <f>VLOOKUP($A$8:$A$1487,'[7]MFP''s'!A$8:C$1502,3,FALSE)</f>
        <v>890</v>
      </c>
      <c r="D552" s="364">
        <v>494</v>
      </c>
      <c r="E552" s="274">
        <f t="shared" si="49"/>
        <v>0.44494382022471912</v>
      </c>
      <c r="F552" s="196">
        <f t="shared" si="56"/>
        <v>18.55958</v>
      </c>
      <c r="G552" s="196">
        <f t="shared" si="57"/>
        <v>14.6471</v>
      </c>
      <c r="H552" s="199">
        <f t="shared" si="58"/>
        <v>12.36482</v>
      </c>
      <c r="M552" s="49"/>
      <c r="N552" s="49"/>
      <c r="O552" s="49"/>
      <c r="P552" s="49"/>
      <c r="Q552" s="49"/>
      <c r="R552" s="49"/>
      <c r="S552" s="49"/>
      <c r="T552" s="49"/>
      <c r="U552" s="49"/>
      <c r="V552" s="49"/>
      <c r="W552" s="49"/>
      <c r="X552" s="49"/>
      <c r="Y552" s="49"/>
      <c r="Z552" s="49"/>
      <c r="AA552" s="49"/>
      <c r="AB552" s="49"/>
      <c r="AC552" s="49"/>
    </row>
    <row r="553" spans="1:29">
      <c r="A553" s="63" t="s">
        <v>275</v>
      </c>
      <c r="B553" s="61" t="s">
        <v>276</v>
      </c>
      <c r="C553" s="271">
        <f>VLOOKUP($A$8:$A$1487,'[7]MFP''s'!A$8:C$1502,3,FALSE)</f>
        <v>6360</v>
      </c>
      <c r="D553" s="364">
        <v>3525</v>
      </c>
      <c r="E553" s="274">
        <f t="shared" si="49"/>
        <v>0.44575471698113212</v>
      </c>
      <c r="F553" s="196">
        <f t="shared" si="56"/>
        <v>132.43424999999999</v>
      </c>
      <c r="G553" s="196">
        <f t="shared" si="57"/>
        <v>104.51625</v>
      </c>
      <c r="H553" s="199">
        <f t="shared" si="58"/>
        <v>88.23075</v>
      </c>
      <c r="M553" s="49"/>
      <c r="N553" s="49"/>
      <c r="O553" s="49"/>
      <c r="P553" s="49"/>
      <c r="Q553" s="49"/>
      <c r="R553" s="49"/>
      <c r="S553" s="49"/>
      <c r="T553" s="49"/>
      <c r="U553" s="49"/>
      <c r="V553" s="49"/>
      <c r="W553" s="49"/>
      <c r="X553" s="49"/>
      <c r="Y553" s="49"/>
      <c r="Z553" s="49"/>
      <c r="AA553" s="49"/>
      <c r="AB553" s="49"/>
      <c r="AC553" s="49"/>
    </row>
    <row r="554" spans="1:29">
      <c r="A554" s="63" t="s">
        <v>277</v>
      </c>
      <c r="B554" s="61" t="s">
        <v>278</v>
      </c>
      <c r="C554" s="271">
        <f>VLOOKUP($A$8:$A$1487,'[7]MFP''s'!A$8:C$1502,3,FALSE)</f>
        <v>11660</v>
      </c>
      <c r="D554" s="364">
        <v>6462</v>
      </c>
      <c r="E554" s="274">
        <f t="shared" si="49"/>
        <v>0.44579759862778734</v>
      </c>
      <c r="F554" s="196">
        <f t="shared" si="56"/>
        <v>242.77733999999998</v>
      </c>
      <c r="G554" s="196">
        <f t="shared" si="57"/>
        <v>191.59829999999999</v>
      </c>
      <c r="H554" s="199">
        <f t="shared" si="58"/>
        <v>161.74386000000001</v>
      </c>
      <c r="M554" s="49"/>
      <c r="N554" s="49"/>
      <c r="O554" s="49"/>
      <c r="P554" s="49"/>
      <c r="Q554" s="49"/>
      <c r="R554" s="49"/>
      <c r="S554" s="49"/>
      <c r="T554" s="49"/>
      <c r="U554" s="49"/>
      <c r="V554" s="49"/>
      <c r="W554" s="49"/>
      <c r="X554" s="49"/>
      <c r="Y554" s="49"/>
      <c r="Z554" s="49"/>
      <c r="AA554" s="49"/>
      <c r="AB554" s="49"/>
      <c r="AC554" s="49"/>
    </row>
    <row r="555" spans="1:29">
      <c r="A555" s="63" t="s">
        <v>279</v>
      </c>
      <c r="B555" s="61" t="s">
        <v>280</v>
      </c>
      <c r="C555" s="271">
        <f>VLOOKUP($A$8:$A$1487,'[7]MFP''s'!A$8:C$1502,3,FALSE)</f>
        <v>4435</v>
      </c>
      <c r="D555" s="364">
        <v>2458</v>
      </c>
      <c r="E555" s="274">
        <f t="shared" si="49"/>
        <v>0.445772266065389</v>
      </c>
      <c r="F555" s="196">
        <f t="shared" si="56"/>
        <v>92.347059999999999</v>
      </c>
      <c r="G555" s="196">
        <f t="shared" si="57"/>
        <v>72.8797</v>
      </c>
      <c r="H555" s="199">
        <f t="shared" si="58"/>
        <v>61.523740000000004</v>
      </c>
      <c r="M555" s="49"/>
      <c r="N555" s="49"/>
      <c r="O555" s="49"/>
      <c r="P555" s="49"/>
      <c r="Q555" s="49"/>
      <c r="R555" s="49"/>
      <c r="S555" s="49"/>
      <c r="T555" s="49"/>
      <c r="U555" s="49"/>
      <c r="V555" s="49"/>
      <c r="W555" s="49"/>
      <c r="X555" s="49"/>
      <c r="Y555" s="49"/>
      <c r="Z555" s="49"/>
      <c r="AA555" s="49"/>
      <c r="AB555" s="49"/>
      <c r="AC555" s="49"/>
    </row>
    <row r="556" spans="1:29" s="173" customFormat="1">
      <c r="A556" s="63" t="s">
        <v>468</v>
      </c>
      <c r="B556" s="78" t="s">
        <v>469</v>
      </c>
      <c r="C556" s="271">
        <f>VLOOKUP($A$8:$A$1487,'[7]MFP''s'!A$8:C$1502,3,FALSE)</f>
        <v>5205</v>
      </c>
      <c r="D556" s="364">
        <v>2360</v>
      </c>
      <c r="E556" s="274">
        <f t="shared" si="49"/>
        <v>0.54658981748318924</v>
      </c>
      <c r="F556" s="196">
        <f t="shared" si="56"/>
        <v>88.665199999999999</v>
      </c>
      <c r="G556" s="196">
        <f t="shared" si="57"/>
        <v>69.974000000000004</v>
      </c>
      <c r="H556" s="199">
        <f t="shared" si="58"/>
        <v>59.070799999999998</v>
      </c>
      <c r="J556" s="172"/>
      <c r="K556" s="172"/>
      <c r="L556" s="172"/>
    </row>
    <row r="557" spans="1:29">
      <c r="A557" s="63" t="s">
        <v>214</v>
      </c>
      <c r="B557" s="61" t="s">
        <v>215</v>
      </c>
      <c r="C557" s="271">
        <f>VLOOKUP($A$8:$A$1487,'[7]MFP''s'!A$8:C$1502,3,FALSE)</f>
        <v>1977</v>
      </c>
      <c r="D557" s="364">
        <v>897</v>
      </c>
      <c r="E557" s="274">
        <f t="shared" si="49"/>
        <v>0.54628224582701068</v>
      </c>
      <c r="F557" s="196">
        <f t="shared" si="56"/>
        <v>33.700290000000003</v>
      </c>
      <c r="G557" s="196">
        <f t="shared" si="57"/>
        <v>26.596049999999998</v>
      </c>
      <c r="H557" s="199">
        <f t="shared" si="58"/>
        <v>22.451910000000002</v>
      </c>
      <c r="M557" s="49"/>
      <c r="N557" s="49"/>
      <c r="O557" s="49"/>
      <c r="P557" s="49"/>
      <c r="Q557" s="49"/>
      <c r="R557" s="49"/>
      <c r="S557" s="49"/>
      <c r="T557" s="49"/>
      <c r="U557" s="49"/>
      <c r="V557" s="49"/>
      <c r="W557" s="49"/>
      <c r="X557" s="49"/>
      <c r="Y557" s="49"/>
      <c r="Z557" s="49"/>
      <c r="AA557" s="49"/>
      <c r="AB557" s="49"/>
      <c r="AC557" s="49"/>
    </row>
    <row r="558" spans="1:29">
      <c r="A558" s="63" t="s">
        <v>220</v>
      </c>
      <c r="B558" s="61" t="s">
        <v>221</v>
      </c>
      <c r="C558" s="271">
        <f>VLOOKUP($A$8:$A$1487,'[7]MFP''s'!A$8:C$1502,3,FALSE)</f>
        <v>445</v>
      </c>
      <c r="D558" s="364">
        <v>202</v>
      </c>
      <c r="E558" s="274">
        <f t="shared" si="49"/>
        <v>0.54606741573033712</v>
      </c>
      <c r="F558" s="196">
        <f t="shared" si="56"/>
        <v>7.5891399999999996</v>
      </c>
      <c r="G558" s="196">
        <f t="shared" si="57"/>
        <v>5.9893000000000001</v>
      </c>
      <c r="H558" s="199">
        <f t="shared" si="58"/>
        <v>5.0560600000000004</v>
      </c>
      <c r="M558" s="49"/>
      <c r="N558" s="49"/>
      <c r="O558" s="49"/>
      <c r="P558" s="49"/>
      <c r="Q558" s="49"/>
      <c r="R558" s="49"/>
      <c r="S558" s="49"/>
      <c r="T558" s="49"/>
      <c r="U558" s="49"/>
      <c r="V558" s="49"/>
      <c r="W558" s="49"/>
      <c r="X558" s="49"/>
      <c r="Y558" s="49"/>
      <c r="Z558" s="49"/>
      <c r="AA558" s="49"/>
      <c r="AB558" s="49"/>
      <c r="AC558" s="49"/>
    </row>
    <row r="559" spans="1:29">
      <c r="A559" s="63" t="s">
        <v>216</v>
      </c>
      <c r="B559" s="61" t="s">
        <v>217</v>
      </c>
      <c r="C559" s="271">
        <f>VLOOKUP($A$8:$A$1487,'[7]MFP''s'!A$8:C$1502,3,FALSE)</f>
        <v>835</v>
      </c>
      <c r="D559" s="364">
        <v>379</v>
      </c>
      <c r="E559" s="274">
        <f t="shared" si="49"/>
        <v>0.54610778443113772</v>
      </c>
      <c r="F559" s="196">
        <f t="shared" si="56"/>
        <v>14.23903</v>
      </c>
      <c r="G559" s="196">
        <f t="shared" si="57"/>
        <v>11.237349999999999</v>
      </c>
      <c r="H559" s="199">
        <f t="shared" si="58"/>
        <v>9.4863700000000009</v>
      </c>
      <c r="M559" s="49"/>
      <c r="N559" s="49"/>
      <c r="O559" s="49"/>
      <c r="P559" s="49"/>
      <c r="Q559" s="49"/>
      <c r="R559" s="49"/>
      <c r="S559" s="49"/>
      <c r="T559" s="49"/>
      <c r="U559" s="49"/>
      <c r="V559" s="49"/>
      <c r="W559" s="49"/>
      <c r="X559" s="49"/>
      <c r="Y559" s="49"/>
      <c r="Z559" s="49"/>
      <c r="AA559" s="49"/>
      <c r="AB559" s="49"/>
      <c r="AC559" s="49"/>
    </row>
    <row r="560" spans="1:29">
      <c r="A560" s="63" t="s">
        <v>281</v>
      </c>
      <c r="B560" s="61" t="s">
        <v>282</v>
      </c>
      <c r="C560" s="271">
        <f>VLOOKUP($A$8:$A$1487,'[7]MFP''s'!A$8:C$1502,3,FALSE)</f>
        <v>2980</v>
      </c>
      <c r="D560" s="364">
        <v>1652</v>
      </c>
      <c r="E560" s="274">
        <f t="shared" si="49"/>
        <v>0.44563758389261743</v>
      </c>
      <c r="F560" s="196">
        <f t="shared" si="56"/>
        <v>62.065640000000002</v>
      </c>
      <c r="G560" s="196">
        <f t="shared" si="57"/>
        <v>48.9818</v>
      </c>
      <c r="H560" s="199">
        <f t="shared" si="58"/>
        <v>41.349559999999997</v>
      </c>
      <c r="M560" s="49"/>
      <c r="N560" s="49"/>
      <c r="O560" s="49"/>
      <c r="P560" s="49"/>
      <c r="Q560" s="49"/>
      <c r="R560" s="49"/>
      <c r="S560" s="49"/>
      <c r="T560" s="49"/>
      <c r="U560" s="49"/>
      <c r="V560" s="49"/>
      <c r="W560" s="49"/>
      <c r="X560" s="49"/>
      <c r="Y560" s="49"/>
      <c r="Z560" s="49"/>
      <c r="AA560" s="49"/>
      <c r="AB560" s="49"/>
      <c r="AC560" s="49"/>
    </row>
    <row r="561" spans="1:29">
      <c r="A561" s="63" t="s">
        <v>222</v>
      </c>
      <c r="B561" s="61" t="s">
        <v>223</v>
      </c>
      <c r="C561" s="271">
        <f>VLOOKUP($A$8:$A$1487,'[7]MFP''s'!A$8:C$1502,3,FALSE)</f>
        <v>35</v>
      </c>
      <c r="D561" s="364">
        <v>16</v>
      </c>
      <c r="E561" s="274">
        <f t="shared" si="49"/>
        <v>0.54285714285714293</v>
      </c>
      <c r="F561" s="196">
        <f t="shared" si="56"/>
        <v>0.60111999999999999</v>
      </c>
      <c r="G561" s="196">
        <f t="shared" si="57"/>
        <v>0.47439999999999999</v>
      </c>
      <c r="H561" s="199">
        <f t="shared" si="58"/>
        <v>0.40048</v>
      </c>
      <c r="M561" s="49"/>
      <c r="N561" s="49"/>
      <c r="O561" s="49"/>
      <c r="P561" s="49"/>
      <c r="Q561" s="49"/>
      <c r="R561" s="49"/>
      <c r="S561" s="49"/>
      <c r="T561" s="49"/>
      <c r="U561" s="49"/>
      <c r="V561" s="49"/>
      <c r="W561" s="49"/>
      <c r="X561" s="49"/>
      <c r="Y561" s="49"/>
      <c r="Z561" s="49"/>
      <c r="AA561" s="49"/>
      <c r="AB561" s="49"/>
      <c r="AC561" s="49"/>
    </row>
    <row r="562" spans="1:29">
      <c r="A562" s="63" t="s">
        <v>473</v>
      </c>
      <c r="B562" s="61" t="s">
        <v>474</v>
      </c>
      <c r="C562" s="271">
        <f>VLOOKUP($A$8:$A$1487,'[7]MFP''s'!A$8:C$1502,3,FALSE)</f>
        <v>2124</v>
      </c>
      <c r="D562" s="364">
        <v>963.23</v>
      </c>
      <c r="E562" s="274">
        <f t="shared" si="49"/>
        <v>0.54650188323917137</v>
      </c>
      <c r="F562" s="196">
        <f t="shared" si="56"/>
        <v>36.188551099999998</v>
      </c>
      <c r="G562" s="196">
        <f t="shared" si="57"/>
        <v>28.559769500000002</v>
      </c>
      <c r="H562" s="199">
        <f t="shared" si="58"/>
        <v>24.109646900000001</v>
      </c>
      <c r="M562" s="49"/>
      <c r="N562" s="49"/>
      <c r="O562" s="49"/>
      <c r="P562" s="49"/>
      <c r="Q562" s="49"/>
      <c r="R562" s="49"/>
      <c r="S562" s="49"/>
      <c r="T562" s="49"/>
      <c r="U562" s="49"/>
      <c r="V562" s="49"/>
      <c r="W562" s="49"/>
      <c r="X562" s="49"/>
      <c r="Y562" s="49"/>
      <c r="Z562" s="49"/>
      <c r="AA562" s="49"/>
      <c r="AB562" s="49"/>
      <c r="AC562" s="49"/>
    </row>
    <row r="563" spans="1:29">
      <c r="A563" s="63" t="s">
        <v>475</v>
      </c>
      <c r="B563" s="61" t="s">
        <v>476</v>
      </c>
      <c r="C563" s="271">
        <f>VLOOKUP($A$8:$A$1487,'[7]MFP''s'!A$8:C$1502,3,FALSE)</f>
        <v>4265</v>
      </c>
      <c r="D563" s="364">
        <v>1934.18</v>
      </c>
      <c r="E563" s="274">
        <f t="shared" si="49"/>
        <v>0.54649941383352862</v>
      </c>
      <c r="F563" s="196">
        <f t="shared" si="56"/>
        <v>72.667142600000005</v>
      </c>
      <c r="G563" s="196">
        <f t="shared" si="57"/>
        <v>57.348436999999997</v>
      </c>
      <c r="H563" s="199">
        <f t="shared" si="58"/>
        <v>48.4125254</v>
      </c>
      <c r="M563" s="49"/>
      <c r="N563" s="49"/>
      <c r="O563" s="49"/>
      <c r="P563" s="49"/>
      <c r="Q563" s="49"/>
      <c r="R563" s="49"/>
      <c r="S563" s="49"/>
      <c r="T563" s="49"/>
      <c r="U563" s="49"/>
      <c r="V563" s="49"/>
      <c r="W563" s="49"/>
      <c r="X563" s="49"/>
      <c r="Y563" s="49"/>
      <c r="Z563" s="49"/>
      <c r="AA563" s="49"/>
      <c r="AB563" s="49"/>
      <c r="AC563" s="49"/>
    </row>
    <row r="564" spans="1:29">
      <c r="A564" s="63" t="s">
        <v>508</v>
      </c>
      <c r="B564" s="61" t="s">
        <v>572</v>
      </c>
      <c r="C564" s="271">
        <f>VLOOKUP($A$8:$A$1487,'[7]MFP''s'!A$8:C$1502,3,FALSE)</f>
        <v>2015</v>
      </c>
      <c r="D564" s="364">
        <v>1648</v>
      </c>
      <c r="E564" s="274">
        <f t="shared" si="49"/>
        <v>0.18213399503722083</v>
      </c>
      <c r="F564" s="196">
        <f t="shared" si="56"/>
        <v>61.91536</v>
      </c>
      <c r="G564" s="196">
        <f t="shared" si="57"/>
        <v>48.863199999999999</v>
      </c>
      <c r="H564" s="199">
        <f t="shared" si="58"/>
        <v>41.24944</v>
      </c>
      <c r="M564" s="49"/>
      <c r="N564" s="49"/>
      <c r="O564" s="49"/>
      <c r="P564" s="49"/>
      <c r="Q564" s="49"/>
      <c r="R564" s="49"/>
      <c r="S564" s="49"/>
      <c r="T564" s="49"/>
      <c r="U564" s="49"/>
      <c r="V564" s="49"/>
      <c r="W564" s="49"/>
      <c r="X564" s="49"/>
      <c r="Y564" s="49"/>
      <c r="Z564" s="49"/>
      <c r="AA564" s="49"/>
      <c r="AB564" s="49"/>
      <c r="AC564" s="49"/>
    </row>
    <row r="565" spans="1:29">
      <c r="A565" s="60" t="s">
        <v>283</v>
      </c>
      <c r="B565" s="61"/>
      <c r="C565" s="271"/>
      <c r="D565" s="364"/>
      <c r="E565" s="274"/>
      <c r="F565" s="196"/>
      <c r="G565" s="196"/>
      <c r="H565" s="199"/>
      <c r="M565" s="49"/>
      <c r="N565" s="49"/>
      <c r="O565" s="49"/>
      <c r="P565" s="49"/>
      <c r="Q565" s="49"/>
      <c r="R565" s="49"/>
      <c r="S565" s="49"/>
      <c r="T565" s="49"/>
      <c r="U565" s="49"/>
      <c r="V565" s="49"/>
      <c r="W565" s="49"/>
      <c r="X565" s="49"/>
      <c r="Y565" s="49"/>
      <c r="Z565" s="49"/>
      <c r="AA565" s="49"/>
      <c r="AB565" s="49"/>
      <c r="AC565" s="49"/>
    </row>
    <row r="566" spans="1:29">
      <c r="A566" s="63" t="s">
        <v>252</v>
      </c>
      <c r="B566" s="61" t="s">
        <v>634</v>
      </c>
      <c r="C566" s="271">
        <f>VLOOKUP($A$8:$A$1487,'[7]MFP''s'!A$8:C$1502,3,FALSE)</f>
        <v>1410</v>
      </c>
      <c r="D566" s="364">
        <v>640</v>
      </c>
      <c r="E566" s="274">
        <f t="shared" si="49"/>
        <v>0.54609929078014185</v>
      </c>
      <c r="F566" s="196">
        <f t="shared" si="56"/>
        <v>24.044799999999999</v>
      </c>
      <c r="G566" s="196">
        <f t="shared" si="57"/>
        <v>18.975999999999999</v>
      </c>
      <c r="H566" s="199">
        <f t="shared" si="58"/>
        <v>16.019200000000001</v>
      </c>
      <c r="M566" s="49"/>
      <c r="N566" s="49"/>
      <c r="O566" s="49"/>
      <c r="P566" s="49"/>
      <c r="Q566" s="49"/>
      <c r="R566" s="49"/>
      <c r="S566" s="49"/>
      <c r="T566" s="49"/>
      <c r="U566" s="49"/>
      <c r="V566" s="49"/>
      <c r="W566" s="49"/>
      <c r="X566" s="49"/>
      <c r="Y566" s="49"/>
      <c r="Z566" s="49"/>
      <c r="AA566" s="49"/>
      <c r="AB566" s="49"/>
      <c r="AC566" s="49"/>
    </row>
    <row r="567" spans="1:29">
      <c r="A567" s="62" t="s">
        <v>635</v>
      </c>
      <c r="B567" s="61" t="s">
        <v>636</v>
      </c>
      <c r="C567" s="271">
        <f>VLOOKUP($A$8:$A$1487,'[7]MFP''s'!A$8:C$1502,3,FALSE)</f>
        <v>3487</v>
      </c>
      <c r="D567" s="364">
        <v>1582</v>
      </c>
      <c r="E567" s="274">
        <f t="shared" si="49"/>
        <v>0.54631488385431604</v>
      </c>
      <c r="F567" s="196">
        <f t="shared" si="56"/>
        <v>59.435739999999996</v>
      </c>
      <c r="G567" s="196">
        <f t="shared" si="57"/>
        <v>46.906300000000002</v>
      </c>
      <c r="H567" s="199">
        <f t="shared" si="58"/>
        <v>39.597459999999998</v>
      </c>
      <c r="M567" s="49"/>
      <c r="N567" s="49"/>
      <c r="O567" s="49"/>
      <c r="P567" s="49"/>
      <c r="Q567" s="49"/>
      <c r="R567" s="49"/>
      <c r="S567" s="49"/>
      <c r="T567" s="49"/>
      <c r="U567" s="49"/>
      <c r="V567" s="49"/>
      <c r="W567" s="49"/>
      <c r="X567" s="49"/>
      <c r="Y567" s="49"/>
      <c r="Z567" s="49"/>
      <c r="AA567" s="49"/>
      <c r="AB567" s="49"/>
      <c r="AC567" s="49"/>
    </row>
    <row r="568" spans="1:29">
      <c r="A568" s="60" t="s">
        <v>285</v>
      </c>
      <c r="B568" s="61"/>
      <c r="C568" s="271"/>
      <c r="D568" s="364"/>
      <c r="E568" s="274"/>
      <c r="F568" s="196"/>
      <c r="G568" s="196"/>
      <c r="H568" s="199"/>
      <c r="M568" s="49"/>
      <c r="N568" s="49"/>
      <c r="O568" s="49"/>
      <c r="P568" s="49"/>
      <c r="Q568" s="49"/>
      <c r="R568" s="49"/>
      <c r="S568" s="49"/>
      <c r="T568" s="49"/>
      <c r="U568" s="49"/>
      <c r="V568" s="49"/>
      <c r="W568" s="49"/>
      <c r="X568" s="49"/>
      <c r="Y568" s="49"/>
      <c r="Z568" s="49"/>
      <c r="AA568" s="49"/>
      <c r="AB568" s="49"/>
      <c r="AC568" s="49"/>
    </row>
    <row r="569" spans="1:29" s="173" customFormat="1">
      <c r="A569" s="62" t="s">
        <v>637</v>
      </c>
      <c r="B569" s="78" t="s">
        <v>638</v>
      </c>
      <c r="C569" s="271">
        <f>VLOOKUP($A$8:$A$1487,'[7]MFP''s'!A$8:C$1502,3,FALSE)</f>
        <v>21275</v>
      </c>
      <c r="D569" s="364">
        <v>11063</v>
      </c>
      <c r="E569" s="274">
        <f t="shared" si="49"/>
        <v>0.48</v>
      </c>
      <c r="F569" s="196">
        <f t="shared" si="56"/>
        <v>415.63691</v>
      </c>
      <c r="G569" s="196">
        <f t="shared" si="57"/>
        <v>328.01794999999998</v>
      </c>
      <c r="H569" s="199">
        <f t="shared" si="58"/>
        <v>276.90688999999998</v>
      </c>
      <c r="J569" s="172"/>
      <c r="K569" s="172"/>
      <c r="L569" s="172"/>
    </row>
    <row r="570" spans="1:29" s="173" customFormat="1">
      <c r="A570" s="62" t="s">
        <v>540</v>
      </c>
      <c r="B570" s="78" t="s">
        <v>541</v>
      </c>
      <c r="C570" s="271">
        <f>VLOOKUP($A$8:$A$1487,'[7]MFP''s'!A$8:C$1502,3,FALSE)</f>
        <v>5200</v>
      </c>
      <c r="D570" s="364">
        <v>2888.89</v>
      </c>
      <c r="E570" s="274">
        <f t="shared" si="49"/>
        <v>0.44444423076923079</v>
      </c>
      <c r="F570" s="196">
        <f t="shared" si="56"/>
        <v>108.53559729999999</v>
      </c>
      <c r="G570" s="196">
        <f t="shared" si="57"/>
        <v>85.655588499999993</v>
      </c>
      <c r="H570" s="199">
        <f t="shared" si="58"/>
        <v>72.308916699999997</v>
      </c>
      <c r="J570" s="172"/>
      <c r="K570" s="172"/>
      <c r="L570" s="172"/>
    </row>
    <row r="571" spans="1:29" s="173" customFormat="1">
      <c r="A571" s="62" t="s">
        <v>542</v>
      </c>
      <c r="B571" s="78" t="s">
        <v>543</v>
      </c>
      <c r="C571" s="271">
        <f>VLOOKUP($A$8:$A$1487,'[7]MFP''s'!A$8:C$1502,3,FALSE)</f>
        <v>5200</v>
      </c>
      <c r="D571" s="364">
        <v>2888.89</v>
      </c>
      <c r="E571" s="274">
        <f t="shared" si="49"/>
        <v>0.44444423076923079</v>
      </c>
      <c r="F571" s="196">
        <f t="shared" si="56"/>
        <v>108.53559729999999</v>
      </c>
      <c r="G571" s="196">
        <f t="shared" si="57"/>
        <v>85.655588499999993</v>
      </c>
      <c r="H571" s="199">
        <f t="shared" si="58"/>
        <v>72.308916699999997</v>
      </c>
      <c r="J571" s="172"/>
      <c r="K571" s="172"/>
      <c r="L571" s="172"/>
    </row>
    <row r="572" spans="1:29" s="173" customFormat="1">
      <c r="A572" s="62" t="s">
        <v>546</v>
      </c>
      <c r="B572" s="78" t="s">
        <v>547</v>
      </c>
      <c r="C572" s="271">
        <f>VLOOKUP($A$8:$A$1487,'[7]MFP''s'!A$8:C$1502,3,FALSE)</f>
        <v>2395</v>
      </c>
      <c r="D572" s="364">
        <v>1328.89</v>
      </c>
      <c r="E572" s="274">
        <f t="shared" ref="E572:E635" si="59">100%-(D572/C572)</f>
        <v>0.4451398747390396</v>
      </c>
      <c r="F572" s="196">
        <f t="shared" si="56"/>
        <v>49.926397300000005</v>
      </c>
      <c r="G572" s="196">
        <f t="shared" si="57"/>
        <v>39.401588500000003</v>
      </c>
      <c r="H572" s="199">
        <f t="shared" si="58"/>
        <v>33.2621167</v>
      </c>
      <c r="J572" s="172"/>
      <c r="K572" s="172"/>
      <c r="L572" s="172"/>
    </row>
    <row r="573" spans="1:29" s="173" customFormat="1">
      <c r="A573" s="62" t="s">
        <v>548</v>
      </c>
      <c r="B573" s="78" t="s">
        <v>549</v>
      </c>
      <c r="C573" s="271">
        <f>VLOOKUP($A$8:$A$1487,'[7]MFP''s'!A$8:C$1502,3,FALSE)</f>
        <v>9995</v>
      </c>
      <c r="D573" s="364">
        <v>5488.89</v>
      </c>
      <c r="E573" s="274">
        <f t="shared" si="59"/>
        <v>0.45083641820910447</v>
      </c>
      <c r="F573" s="196">
        <f t="shared" si="56"/>
        <v>206.21759729999999</v>
      </c>
      <c r="G573" s="196">
        <f t="shared" si="57"/>
        <v>162.7455885</v>
      </c>
      <c r="H573" s="199">
        <f t="shared" si="58"/>
        <v>137.3869167</v>
      </c>
      <c r="J573" s="172"/>
      <c r="K573" s="172"/>
      <c r="L573" s="172"/>
    </row>
    <row r="574" spans="1:29" s="173" customFormat="1">
      <c r="A574" s="62" t="s">
        <v>550</v>
      </c>
      <c r="B574" s="78" t="s">
        <v>317</v>
      </c>
      <c r="C574" s="271">
        <f>VLOOKUP($A$8:$A$1487,'[7]MFP''s'!A$8:C$1502,3,FALSE)</f>
        <v>954</v>
      </c>
      <c r="D574" s="364">
        <v>529</v>
      </c>
      <c r="E574" s="274">
        <f t="shared" si="59"/>
        <v>0.4454926624737946</v>
      </c>
      <c r="F574" s="196">
        <f t="shared" si="56"/>
        <v>19.87453</v>
      </c>
      <c r="G574" s="196">
        <f t="shared" si="57"/>
        <v>15.684849999999999</v>
      </c>
      <c r="H574" s="199">
        <f t="shared" si="58"/>
        <v>13.240869999999999</v>
      </c>
      <c r="J574" s="172"/>
      <c r="K574" s="172"/>
      <c r="L574" s="172"/>
    </row>
    <row r="575" spans="1:29" s="173" customFormat="1">
      <c r="A575" s="60" t="s">
        <v>47</v>
      </c>
      <c r="B575" s="78"/>
      <c r="C575" s="271"/>
      <c r="D575" s="364"/>
      <c r="E575" s="274"/>
      <c r="F575" s="196"/>
      <c r="G575" s="196"/>
      <c r="H575" s="199"/>
      <c r="J575" s="172"/>
      <c r="K575" s="172"/>
      <c r="L575" s="172"/>
    </row>
    <row r="576" spans="1:29" s="173" customFormat="1">
      <c r="A576" s="62" t="s">
        <v>440</v>
      </c>
      <c r="B576" s="78" t="s">
        <v>585</v>
      </c>
      <c r="C576" s="271">
        <f>VLOOKUP($A$8:$A$1487,'[7]MFP''s'!A$8:C$1502,3,FALSE)</f>
        <v>350</v>
      </c>
      <c r="D576" s="364">
        <v>209.81</v>
      </c>
      <c r="E576" s="274">
        <f t="shared" si="59"/>
        <v>0.40054285714285709</v>
      </c>
      <c r="F576" s="196">
        <f t="shared" si="56"/>
        <v>7.8825617000000001</v>
      </c>
      <c r="G576" s="196">
        <f t="shared" si="57"/>
        <v>6.2208664999999996</v>
      </c>
      <c r="H576" s="199">
        <f t="shared" si="58"/>
        <v>5.2515442999999999</v>
      </c>
      <c r="J576" s="172"/>
      <c r="K576" s="172"/>
      <c r="L576" s="172"/>
    </row>
    <row r="577" spans="1:29" s="173" customFormat="1">
      <c r="A577" s="62" t="s">
        <v>144</v>
      </c>
      <c r="B577" s="78" t="s">
        <v>145</v>
      </c>
      <c r="C577" s="271">
        <f>VLOOKUP($A$8:$A$1487,'[7]MFP''s'!A$8:C$1502,3,FALSE)</f>
        <v>947</v>
      </c>
      <c r="D577" s="364">
        <v>430</v>
      </c>
      <c r="E577" s="274">
        <f t="shared" si="59"/>
        <v>0.5459345300950369</v>
      </c>
      <c r="F577" s="196">
        <f t="shared" si="56"/>
        <v>16.155100000000001</v>
      </c>
      <c r="G577" s="196">
        <f t="shared" si="57"/>
        <v>12.749499999999999</v>
      </c>
      <c r="H577" s="199">
        <f t="shared" si="58"/>
        <v>10.7629</v>
      </c>
      <c r="J577" s="172"/>
      <c r="K577" s="172"/>
      <c r="L577" s="172"/>
    </row>
    <row r="578" spans="1:29" s="173" customFormat="1">
      <c r="A578" s="62" t="s">
        <v>497</v>
      </c>
      <c r="B578" s="78" t="s">
        <v>67</v>
      </c>
      <c r="C578" s="271">
        <f>VLOOKUP($A$8:$A$1487,'[7]MFP''s'!A$8:C$1502,3,FALSE)</f>
        <v>423</v>
      </c>
      <c r="D578" s="364">
        <v>201</v>
      </c>
      <c r="E578" s="274">
        <f t="shared" si="59"/>
        <v>0.52482269503546097</v>
      </c>
      <c r="F578" s="196">
        <f t="shared" si="56"/>
        <v>7.5515699999999999</v>
      </c>
      <c r="G578" s="196">
        <f t="shared" si="57"/>
        <v>5.9596499999999999</v>
      </c>
      <c r="H578" s="199">
        <f t="shared" si="58"/>
        <v>5.0310300000000003</v>
      </c>
      <c r="J578" s="172"/>
      <c r="K578" s="172"/>
      <c r="L578" s="172"/>
    </row>
    <row r="579" spans="1:29" s="173" customFormat="1">
      <c r="A579" s="62" t="s">
        <v>442</v>
      </c>
      <c r="B579" s="78" t="s">
        <v>443</v>
      </c>
      <c r="C579" s="271">
        <f>VLOOKUP($A$8:$A$1487,'[7]MFP''s'!A$8:C$1502,3,FALSE)</f>
        <v>1059</v>
      </c>
      <c r="D579" s="364">
        <v>875</v>
      </c>
      <c r="E579" s="274">
        <f t="shared" si="59"/>
        <v>0.17374881964117095</v>
      </c>
      <c r="F579" s="196">
        <f t="shared" si="56"/>
        <v>32.873750000000001</v>
      </c>
      <c r="G579" s="196">
        <f t="shared" si="57"/>
        <v>25.943749999999998</v>
      </c>
      <c r="H579" s="199">
        <f t="shared" si="58"/>
        <v>21.901250000000001</v>
      </c>
      <c r="J579" s="172"/>
      <c r="K579" s="172"/>
      <c r="L579" s="172"/>
    </row>
    <row r="580" spans="1:29" s="173" customFormat="1">
      <c r="A580" s="62" t="s">
        <v>385</v>
      </c>
      <c r="B580" s="78" t="s">
        <v>386</v>
      </c>
      <c r="C580" s="271">
        <f>VLOOKUP($A$8:$A$1487,'[7]MFP''s'!A$8:C$1502,3,FALSE)</f>
        <v>275</v>
      </c>
      <c r="D580" s="364">
        <v>227</v>
      </c>
      <c r="E580" s="274">
        <f t="shared" si="59"/>
        <v>0.17454545454545456</v>
      </c>
      <c r="F580" s="196">
        <f t="shared" si="56"/>
        <v>8.5283899999999999</v>
      </c>
      <c r="G580" s="196">
        <f t="shared" si="57"/>
        <v>6.73055</v>
      </c>
      <c r="H580" s="199">
        <f t="shared" si="58"/>
        <v>5.6818100000000005</v>
      </c>
      <c r="J580" s="172"/>
      <c r="K580" s="172"/>
      <c r="L580" s="172"/>
    </row>
    <row r="581" spans="1:29" s="173" customFormat="1">
      <c r="A581" s="60" t="s">
        <v>553</v>
      </c>
      <c r="B581" s="78"/>
      <c r="C581" s="271"/>
      <c r="D581" s="364"/>
      <c r="E581" s="274"/>
      <c r="F581" s="196"/>
      <c r="G581" s="196"/>
      <c r="H581" s="199"/>
      <c r="J581" s="172"/>
      <c r="K581" s="172"/>
      <c r="L581" s="172"/>
    </row>
    <row r="582" spans="1:29" s="173" customFormat="1" ht="30">
      <c r="A582" s="62" t="s">
        <v>639</v>
      </c>
      <c r="B582" s="78" t="s">
        <v>640</v>
      </c>
      <c r="C582" s="271">
        <f>VLOOKUP($A$8:$A$1487,'[7]MFP''s'!A$8:C$1502,3,FALSE)</f>
        <v>5399</v>
      </c>
      <c r="D582" s="364">
        <v>2807.48</v>
      </c>
      <c r="E582" s="274">
        <f t="shared" si="59"/>
        <v>0.48</v>
      </c>
      <c r="F582" s="196">
        <f t="shared" si="56"/>
        <v>105.4770236</v>
      </c>
      <c r="G582" s="196">
        <f t="shared" si="57"/>
        <v>83.241782000000001</v>
      </c>
      <c r="H582" s="199">
        <f t="shared" si="58"/>
        <v>70.271224399999994</v>
      </c>
      <c r="J582" s="172"/>
      <c r="K582" s="172"/>
      <c r="L582" s="172"/>
    </row>
    <row r="583" spans="1:29" s="173" customFormat="1">
      <c r="A583" s="62" t="s">
        <v>556</v>
      </c>
      <c r="B583" s="78" t="s">
        <v>557</v>
      </c>
      <c r="C583" s="271">
        <f>VLOOKUP($A$8:$A$1487,'[7]MFP''s'!A$8:C$1502,3,FALSE)</f>
        <v>650</v>
      </c>
      <c r="D583" s="364">
        <v>650</v>
      </c>
      <c r="E583" s="274">
        <f t="shared" si="59"/>
        <v>0</v>
      </c>
      <c r="F583" s="196">
        <f t="shared" si="56"/>
        <v>24.420500000000001</v>
      </c>
      <c r="G583" s="196">
        <f t="shared" si="57"/>
        <v>19.272500000000001</v>
      </c>
      <c r="H583" s="199">
        <f t="shared" si="58"/>
        <v>16.269500000000001</v>
      </c>
      <c r="J583" s="172"/>
      <c r="K583" s="172"/>
      <c r="L583" s="172"/>
    </row>
    <row r="584" spans="1:29">
      <c r="A584" s="212"/>
      <c r="B584" s="213"/>
      <c r="C584" s="214"/>
      <c r="D584" s="360"/>
      <c r="E584" s="215"/>
      <c r="F584" s="215"/>
      <c r="G584" s="215"/>
      <c r="H584" s="216"/>
      <c r="M584" s="49"/>
      <c r="N584" s="49"/>
      <c r="O584" s="49"/>
      <c r="P584" s="49"/>
      <c r="Q584" s="49"/>
      <c r="R584" s="49"/>
      <c r="S584" s="49"/>
      <c r="T584" s="49"/>
      <c r="U584" s="49"/>
      <c r="V584" s="49"/>
      <c r="W584" s="49"/>
      <c r="X584" s="49"/>
      <c r="Y584" s="49"/>
      <c r="Z584" s="49"/>
      <c r="AA584" s="49"/>
      <c r="AB584" s="49"/>
      <c r="AC584" s="49"/>
    </row>
    <row r="585" spans="1:29" ht="120">
      <c r="A585" s="220" t="s">
        <v>284</v>
      </c>
      <c r="B585" s="221" t="s">
        <v>685</v>
      </c>
      <c r="C585" s="271">
        <f>VLOOKUP($A$8:$A$1487,'[7]MFP''s'!A$8:C$1502,3,FALSE)</f>
        <v>9980</v>
      </c>
      <c r="D585" s="366">
        <v>4990</v>
      </c>
      <c r="E585" s="274">
        <f t="shared" si="59"/>
        <v>0.5</v>
      </c>
      <c r="F585" s="196">
        <f t="shared" ref="F585:F598" si="60">D585*$F$1</f>
        <v>187.4743</v>
      </c>
      <c r="G585" s="196">
        <f t="shared" ref="G585:G606" si="61">D585*$G$1</f>
        <v>147.95349999999999</v>
      </c>
      <c r="H585" s="199">
        <f t="shared" ref="H585:H606" si="62">D585*$H$1</f>
        <v>124.8997</v>
      </c>
      <c r="M585" s="49"/>
      <c r="N585" s="49"/>
      <c r="O585" s="49"/>
      <c r="P585" s="49"/>
      <c r="Q585" s="49"/>
      <c r="R585" s="49"/>
      <c r="S585" s="49"/>
      <c r="T585" s="49"/>
      <c r="U585" s="49"/>
      <c r="V585" s="49"/>
      <c r="W585" s="49"/>
      <c r="X585" s="49"/>
      <c r="Y585" s="49"/>
      <c r="Z585" s="49"/>
      <c r="AA585" s="49"/>
      <c r="AB585" s="49"/>
      <c r="AC585" s="49"/>
    </row>
    <row r="586" spans="1:29">
      <c r="A586" s="195" t="s">
        <v>384</v>
      </c>
      <c r="B586" s="197"/>
      <c r="C586" s="271"/>
      <c r="D586" s="357"/>
      <c r="E586" s="274"/>
      <c r="F586" s="196"/>
      <c r="G586" s="196"/>
      <c r="H586" s="199"/>
      <c r="M586" s="49"/>
      <c r="N586" s="49"/>
      <c r="O586" s="49"/>
      <c r="P586" s="49"/>
      <c r="Q586" s="49"/>
      <c r="R586" s="49"/>
      <c r="S586" s="49"/>
      <c r="T586" s="49"/>
      <c r="U586" s="49"/>
      <c r="V586" s="49"/>
      <c r="W586" s="49"/>
      <c r="X586" s="49"/>
      <c r="Y586" s="49"/>
      <c r="Z586" s="49"/>
      <c r="AA586" s="49"/>
      <c r="AB586" s="49"/>
      <c r="AC586" s="49"/>
    </row>
    <row r="587" spans="1:29">
      <c r="A587" s="60" t="s">
        <v>378</v>
      </c>
      <c r="B587" s="65"/>
      <c r="C587" s="271"/>
      <c r="D587" s="364"/>
      <c r="E587" s="274"/>
      <c r="F587" s="196"/>
      <c r="G587" s="196"/>
      <c r="H587" s="199"/>
      <c r="K587" s="183"/>
      <c r="M587" s="49"/>
      <c r="N587" s="49"/>
      <c r="O587" s="49"/>
      <c r="P587" s="49"/>
      <c r="Q587" s="49"/>
      <c r="R587" s="49"/>
      <c r="S587" s="49"/>
      <c r="T587" s="49"/>
      <c r="U587" s="49"/>
      <c r="V587" s="49"/>
      <c r="W587" s="49"/>
      <c r="X587" s="49"/>
      <c r="Y587" s="49"/>
      <c r="Z587" s="49"/>
      <c r="AA587" s="49"/>
      <c r="AB587" s="49"/>
      <c r="AC587" s="49"/>
    </row>
    <row r="588" spans="1:29" s="318" customFormat="1">
      <c r="A588" s="323" t="s">
        <v>96</v>
      </c>
      <c r="B588" s="324" t="s">
        <v>97</v>
      </c>
      <c r="C588" s="312">
        <f>VLOOKUP($A$8:$A$1487,'[7]MFP''s'!A$8:C$1502,3,FALSE)</f>
        <v>1631</v>
      </c>
      <c r="D588" s="367">
        <v>773</v>
      </c>
      <c r="E588" s="313">
        <f>100%-(D588/C588)</f>
        <v>0.52605763335377076</v>
      </c>
      <c r="F588" s="314">
        <f>D588*$F$1</f>
        <v>29.041609999999999</v>
      </c>
      <c r="G588" s="314">
        <f>D588*$G$1</f>
        <v>22.919450000000001</v>
      </c>
      <c r="H588" s="315">
        <f>D588*$H$1</f>
        <v>19.348189999999999</v>
      </c>
      <c r="I588" s="316"/>
      <c r="J588" s="317"/>
      <c r="K588" s="322"/>
      <c r="L588" s="317"/>
    </row>
    <row r="589" spans="1:29">
      <c r="A589" s="62" t="s">
        <v>94</v>
      </c>
      <c r="B589" s="61" t="s">
        <v>95</v>
      </c>
      <c r="C589" s="271">
        <f>VLOOKUP($A$8:$A$1487,'[7]MFP''s'!A$8:C$1502,3,FALSE)</f>
        <v>94</v>
      </c>
      <c r="D589" s="364">
        <v>45</v>
      </c>
      <c r="E589" s="274">
        <f t="shared" si="59"/>
        <v>0.52127659574468077</v>
      </c>
      <c r="F589" s="196">
        <f t="shared" si="60"/>
        <v>1.69065</v>
      </c>
      <c r="G589" s="196">
        <f t="shared" si="61"/>
        <v>1.3342499999999999</v>
      </c>
      <c r="H589" s="199">
        <f t="shared" si="62"/>
        <v>1.12635</v>
      </c>
      <c r="K589" s="183"/>
      <c r="M589" s="49"/>
      <c r="N589" s="49"/>
      <c r="O589" s="49"/>
      <c r="P589" s="49"/>
      <c r="Q589" s="49"/>
      <c r="R589" s="49"/>
      <c r="S589" s="49"/>
      <c r="T589" s="49"/>
      <c r="U589" s="49"/>
      <c r="V589" s="49"/>
      <c r="W589" s="49"/>
      <c r="X589" s="49"/>
      <c r="Y589" s="49"/>
      <c r="Z589" s="49"/>
      <c r="AA589" s="49"/>
      <c r="AB589" s="49"/>
      <c r="AC589" s="49"/>
    </row>
    <row r="590" spans="1:29">
      <c r="A590" s="62" t="s">
        <v>98</v>
      </c>
      <c r="B590" s="61" t="s">
        <v>99</v>
      </c>
      <c r="C590" s="271">
        <f>VLOOKUP($A$8:$A$1487,'[7]MFP''s'!A$8:C$1502,3,FALSE)</f>
        <v>1802</v>
      </c>
      <c r="D590" s="364">
        <v>854</v>
      </c>
      <c r="E590" s="274">
        <f t="shared" si="59"/>
        <v>0.52608213096559386</v>
      </c>
      <c r="F590" s="196">
        <f t="shared" si="60"/>
        <v>32.084780000000002</v>
      </c>
      <c r="G590" s="196">
        <f t="shared" si="61"/>
        <v>25.321099999999998</v>
      </c>
      <c r="H590" s="199">
        <f t="shared" si="62"/>
        <v>21.375620000000001</v>
      </c>
      <c r="K590" s="183"/>
      <c r="M590" s="49"/>
      <c r="N590" s="49"/>
      <c r="O590" s="49"/>
      <c r="P590" s="49"/>
      <c r="Q590" s="49"/>
      <c r="R590" s="49"/>
      <c r="S590" s="49"/>
      <c r="T590" s="49"/>
      <c r="U590" s="49"/>
      <c r="V590" s="49"/>
      <c r="W590" s="49"/>
      <c r="X590" s="49"/>
      <c r="Y590" s="49"/>
      <c r="Z590" s="49"/>
      <c r="AA590" s="49"/>
      <c r="AB590" s="49"/>
      <c r="AC590" s="49"/>
    </row>
    <row r="591" spans="1:29">
      <c r="A591" s="60" t="s">
        <v>379</v>
      </c>
      <c r="B591" s="65"/>
      <c r="C591" s="271"/>
      <c r="D591" s="364"/>
      <c r="E591" s="274"/>
      <c r="F591" s="196"/>
      <c r="G591" s="196"/>
      <c r="H591" s="199"/>
      <c r="K591" s="183"/>
      <c r="M591" s="49"/>
      <c r="N591" s="49"/>
      <c r="O591" s="49"/>
      <c r="P591" s="49"/>
      <c r="Q591" s="49"/>
      <c r="R591" s="49"/>
      <c r="S591" s="49"/>
      <c r="T591" s="49"/>
      <c r="U591" s="49"/>
      <c r="V591" s="49"/>
      <c r="W591" s="49"/>
      <c r="X591" s="49"/>
      <c r="Y591" s="49"/>
      <c r="Z591" s="49"/>
      <c r="AA591" s="49"/>
      <c r="AB591" s="49"/>
      <c r="AC591" s="49"/>
    </row>
    <row r="592" spans="1:29">
      <c r="A592" s="62" t="s">
        <v>100</v>
      </c>
      <c r="B592" s="61" t="s">
        <v>101</v>
      </c>
      <c r="C592" s="271">
        <f>VLOOKUP($A$8:$A$1487,'[7]MFP''s'!A$8:C$1502,3,FALSE)</f>
        <v>1402</v>
      </c>
      <c r="D592" s="364">
        <v>664</v>
      </c>
      <c r="E592" s="274">
        <f t="shared" si="59"/>
        <v>0.52639087018544939</v>
      </c>
      <c r="F592" s="196">
        <f t="shared" si="60"/>
        <v>24.946480000000001</v>
      </c>
      <c r="G592" s="196">
        <f t="shared" si="61"/>
        <v>19.6876</v>
      </c>
      <c r="H592" s="199">
        <f t="shared" si="62"/>
        <v>16.61992</v>
      </c>
      <c r="K592" s="183"/>
      <c r="M592" s="49"/>
      <c r="N592" s="49"/>
      <c r="O592" s="49"/>
      <c r="P592" s="49"/>
      <c r="Q592" s="49"/>
      <c r="R592" s="49"/>
      <c r="S592" s="49"/>
      <c r="T592" s="49"/>
      <c r="U592" s="49"/>
      <c r="V592" s="49"/>
      <c r="W592" s="49"/>
      <c r="X592" s="49"/>
      <c r="Y592" s="49"/>
      <c r="Z592" s="49"/>
      <c r="AA592" s="49"/>
      <c r="AB592" s="49"/>
      <c r="AC592" s="49"/>
    </row>
    <row r="593" spans="1:29">
      <c r="A593" s="62" t="s">
        <v>102</v>
      </c>
      <c r="B593" s="61" t="s">
        <v>103</v>
      </c>
      <c r="C593" s="271">
        <f>VLOOKUP($A$8:$A$1487,'[7]MFP''s'!A$8:C$1502,3,FALSE)</f>
        <v>1191</v>
      </c>
      <c r="D593" s="364">
        <v>564</v>
      </c>
      <c r="E593" s="274">
        <f t="shared" si="59"/>
        <v>0.52644836272040307</v>
      </c>
      <c r="F593" s="196">
        <f t="shared" si="60"/>
        <v>21.18948</v>
      </c>
      <c r="G593" s="196">
        <f t="shared" si="61"/>
        <v>16.7226</v>
      </c>
      <c r="H593" s="199">
        <f t="shared" si="62"/>
        <v>14.11692</v>
      </c>
      <c r="M593" s="49"/>
      <c r="N593" s="49"/>
      <c r="O593" s="49"/>
      <c r="P593" s="49"/>
      <c r="Q593" s="49"/>
      <c r="R593" s="49"/>
      <c r="S593" s="49"/>
      <c r="T593" s="49"/>
      <c r="U593" s="49"/>
      <c r="V593" s="49"/>
      <c r="W593" s="49"/>
      <c r="X593" s="49"/>
      <c r="Y593" s="49"/>
      <c r="Z593" s="49"/>
      <c r="AA593" s="49"/>
      <c r="AB593" s="49"/>
      <c r="AC593" s="49"/>
    </row>
    <row r="594" spans="1:29">
      <c r="A594" s="62" t="s">
        <v>104</v>
      </c>
      <c r="B594" s="61" t="s">
        <v>105</v>
      </c>
      <c r="C594" s="271">
        <f>VLOOKUP($A$8:$A$1487,'[7]MFP''s'!A$8:C$1502,3,FALSE)</f>
        <v>913</v>
      </c>
      <c r="D594" s="364">
        <v>433</v>
      </c>
      <c r="E594" s="274">
        <f t="shared" si="59"/>
        <v>0.52573932092004383</v>
      </c>
      <c r="F594" s="196">
        <f t="shared" si="60"/>
        <v>16.267810000000001</v>
      </c>
      <c r="G594" s="196">
        <f t="shared" si="61"/>
        <v>12.83845</v>
      </c>
      <c r="H594" s="199">
        <f t="shared" si="62"/>
        <v>10.83799</v>
      </c>
      <c r="M594" s="49"/>
      <c r="N594" s="49"/>
      <c r="O594" s="49"/>
      <c r="P594" s="49"/>
      <c r="Q594" s="49"/>
      <c r="R594" s="49"/>
      <c r="S594" s="49"/>
      <c r="T594" s="49"/>
      <c r="U594" s="49"/>
      <c r="V594" s="49"/>
      <c r="W594" s="49"/>
      <c r="X594" s="49"/>
      <c r="Y594" s="49"/>
      <c r="Z594" s="49"/>
      <c r="AA594" s="49"/>
      <c r="AB594" s="49"/>
      <c r="AC594" s="49"/>
    </row>
    <row r="595" spans="1:29">
      <c r="A595" s="63" t="s">
        <v>382</v>
      </c>
      <c r="B595" s="61" t="s">
        <v>106</v>
      </c>
      <c r="C595" s="271">
        <f>VLOOKUP($A$8:$A$1487,'[7]MFP''s'!A$8:C$1502,3,FALSE)</f>
        <v>222</v>
      </c>
      <c r="D595" s="364">
        <v>106</v>
      </c>
      <c r="E595" s="274">
        <f t="shared" si="59"/>
        <v>0.52252252252252251</v>
      </c>
      <c r="F595" s="196">
        <f t="shared" si="60"/>
        <v>3.9824199999999998</v>
      </c>
      <c r="G595" s="196">
        <f t="shared" si="61"/>
        <v>3.1429</v>
      </c>
      <c r="H595" s="199">
        <f t="shared" si="62"/>
        <v>2.6531799999999999</v>
      </c>
      <c r="J595" s="184"/>
      <c r="K595" s="183"/>
      <c r="M595" s="49"/>
      <c r="N595" s="49"/>
      <c r="O595" s="49"/>
      <c r="P595" s="49"/>
      <c r="Q595" s="49"/>
      <c r="R595" s="49"/>
      <c r="S595" s="49"/>
      <c r="T595" s="49"/>
      <c r="U595" s="49"/>
      <c r="V595" s="49"/>
      <c r="W595" s="49"/>
      <c r="X595" s="49"/>
      <c r="Y595" s="49"/>
      <c r="Z595" s="49"/>
      <c r="AA595" s="49"/>
      <c r="AB595" s="49"/>
      <c r="AC595" s="49"/>
    </row>
    <row r="596" spans="1:29">
      <c r="A596" s="60" t="s">
        <v>66</v>
      </c>
      <c r="B596" s="65"/>
      <c r="C596" s="271"/>
      <c r="D596" s="364"/>
      <c r="E596" s="274"/>
      <c r="F596" s="196"/>
      <c r="G596" s="196"/>
      <c r="H596" s="199"/>
      <c r="J596" s="72"/>
      <c r="K596" s="183"/>
      <c r="L596" s="49"/>
      <c r="M596" s="49"/>
      <c r="N596" s="49"/>
      <c r="O596" s="49"/>
      <c r="P596" s="49"/>
      <c r="Q596" s="49"/>
      <c r="R596" s="49"/>
      <c r="S596" s="49"/>
      <c r="T596" s="49"/>
      <c r="U596" s="49"/>
      <c r="V596" s="49"/>
      <c r="W596" s="49"/>
      <c r="X596" s="49"/>
      <c r="Y596" s="49"/>
      <c r="Z596" s="49"/>
      <c r="AA596" s="49"/>
      <c r="AB596" s="49"/>
      <c r="AC596" s="49"/>
    </row>
    <row r="597" spans="1:29">
      <c r="A597" s="79" t="s">
        <v>107</v>
      </c>
      <c r="B597" s="61" t="s">
        <v>108</v>
      </c>
      <c r="C597" s="271">
        <f>VLOOKUP($A$8:$A$1487,'[7]MFP''s'!A$8:C$1502,3,FALSE)</f>
        <v>500</v>
      </c>
      <c r="D597" s="364">
        <v>237</v>
      </c>
      <c r="E597" s="274">
        <f t="shared" si="59"/>
        <v>0.52600000000000002</v>
      </c>
      <c r="F597" s="196">
        <f t="shared" si="60"/>
        <v>8.9040900000000001</v>
      </c>
      <c r="G597" s="196">
        <f t="shared" si="61"/>
        <v>7.02705</v>
      </c>
      <c r="H597" s="199">
        <f t="shared" si="62"/>
        <v>5.9321099999999998</v>
      </c>
      <c r="J597" s="72"/>
      <c r="K597" s="183"/>
      <c r="L597" s="49"/>
      <c r="M597" s="49"/>
      <c r="N597" s="49"/>
      <c r="O597" s="49"/>
      <c r="P597" s="49"/>
      <c r="Q597" s="49"/>
      <c r="R597" s="49"/>
      <c r="S597" s="49"/>
      <c r="T597" s="49"/>
      <c r="U597" s="49"/>
      <c r="V597" s="49"/>
      <c r="W597" s="49"/>
      <c r="X597" s="49"/>
      <c r="Y597" s="49"/>
      <c r="Z597" s="49"/>
      <c r="AA597" s="49"/>
      <c r="AB597" s="49"/>
      <c r="AC597" s="49"/>
    </row>
    <row r="598" spans="1:29" ht="30">
      <c r="A598" s="330" t="s">
        <v>748</v>
      </c>
      <c r="B598" s="70" t="s">
        <v>783</v>
      </c>
      <c r="C598" s="271">
        <v>1855</v>
      </c>
      <c r="D598" s="364">
        <v>879</v>
      </c>
      <c r="E598" s="274">
        <f t="shared" si="59"/>
        <v>0.52614555256064688</v>
      </c>
      <c r="F598" s="196">
        <f t="shared" si="60"/>
        <v>33.024029999999996</v>
      </c>
      <c r="G598" s="196">
        <f t="shared" si="61"/>
        <v>26.062349999999999</v>
      </c>
      <c r="H598" s="199">
        <f t="shared" si="62"/>
        <v>22.001370000000001</v>
      </c>
      <c r="J598" s="72"/>
      <c r="K598" s="183"/>
      <c r="L598" s="49"/>
      <c r="M598" s="49"/>
      <c r="N598" s="49"/>
      <c r="O598" s="49"/>
      <c r="P598" s="49"/>
      <c r="Q598" s="49"/>
      <c r="R598" s="49"/>
      <c r="S598" s="49"/>
      <c r="T598" s="49"/>
      <c r="U598" s="49"/>
      <c r="V598" s="49"/>
      <c r="W598" s="49"/>
      <c r="X598" s="49"/>
      <c r="Y598" s="49"/>
      <c r="Z598" s="49"/>
      <c r="AA598" s="49"/>
      <c r="AB598" s="49"/>
      <c r="AC598" s="49"/>
    </row>
    <row r="599" spans="1:29">
      <c r="A599" s="62" t="s">
        <v>109</v>
      </c>
      <c r="B599" s="61" t="s">
        <v>110</v>
      </c>
      <c r="C599" s="271">
        <f>VLOOKUP($A$8:$A$1487,'[7]MFP''s'!A$8:C$1502,3,FALSE)</f>
        <v>1553</v>
      </c>
      <c r="D599" s="364">
        <v>736</v>
      </c>
      <c r="E599" s="274">
        <f t="shared" si="59"/>
        <v>0.5260785576303928</v>
      </c>
      <c r="F599" s="196">
        <f t="shared" ref="F599:F657" si="63">D599*$F$1</f>
        <v>27.651519999999998</v>
      </c>
      <c r="G599" s="196">
        <f t="shared" si="61"/>
        <v>21.822399999999998</v>
      </c>
      <c r="H599" s="199">
        <f t="shared" si="62"/>
        <v>18.422080000000001</v>
      </c>
      <c r="J599" s="72"/>
      <c r="K599" s="183"/>
      <c r="L599" s="49"/>
      <c r="M599" s="49"/>
      <c r="N599" s="49"/>
      <c r="O599" s="49"/>
      <c r="P599" s="49"/>
      <c r="Q599" s="49"/>
      <c r="R599" s="49"/>
      <c r="S599" s="49"/>
      <c r="T599" s="49"/>
      <c r="U599" s="49"/>
      <c r="V599" s="49"/>
      <c r="W599" s="49"/>
      <c r="X599" s="49"/>
      <c r="Y599" s="49"/>
      <c r="Z599" s="49"/>
      <c r="AA599" s="49"/>
      <c r="AB599" s="49"/>
      <c r="AC599" s="49"/>
    </row>
    <row r="600" spans="1:29">
      <c r="A600" s="62" t="s">
        <v>111</v>
      </c>
      <c r="B600" s="61" t="s">
        <v>112</v>
      </c>
      <c r="C600" s="271">
        <f>VLOOKUP($A$8:$A$1487,'[7]MFP''s'!A$8:C$1502,3,FALSE)</f>
        <v>585</v>
      </c>
      <c r="D600" s="364">
        <v>278</v>
      </c>
      <c r="E600" s="274">
        <f t="shared" si="59"/>
        <v>0.52478632478632481</v>
      </c>
      <c r="F600" s="196">
        <f t="shared" si="63"/>
        <v>10.444459999999999</v>
      </c>
      <c r="G600" s="196">
        <f t="shared" si="61"/>
        <v>8.2426999999999992</v>
      </c>
      <c r="H600" s="199">
        <f t="shared" si="62"/>
        <v>6.9583399999999997</v>
      </c>
      <c r="J600" s="72"/>
      <c r="K600" s="183"/>
      <c r="L600" s="49"/>
      <c r="M600" s="49"/>
      <c r="N600" s="49"/>
      <c r="O600" s="49"/>
      <c r="P600" s="49"/>
      <c r="Q600" s="49"/>
      <c r="R600" s="49"/>
      <c r="S600" s="49"/>
      <c r="T600" s="49"/>
      <c r="U600" s="49"/>
      <c r="V600" s="49"/>
      <c r="W600" s="49"/>
      <c r="X600" s="49"/>
      <c r="Y600" s="49"/>
      <c r="Z600" s="49"/>
      <c r="AA600" s="49"/>
      <c r="AB600" s="49"/>
      <c r="AC600" s="49"/>
    </row>
    <row r="601" spans="1:29">
      <c r="A601" s="62" t="s">
        <v>113</v>
      </c>
      <c r="B601" s="61" t="s">
        <v>114</v>
      </c>
      <c r="C601" s="271">
        <f>VLOOKUP($A$8:$A$1487,'[7]MFP''s'!A$8:C$1502,3,FALSE)</f>
        <v>586</v>
      </c>
      <c r="D601" s="364">
        <v>278</v>
      </c>
      <c r="E601" s="274">
        <f t="shared" si="59"/>
        <v>0.52559726962457343</v>
      </c>
      <c r="F601" s="196">
        <f t="shared" si="63"/>
        <v>10.444459999999999</v>
      </c>
      <c r="G601" s="196">
        <f t="shared" si="61"/>
        <v>8.2426999999999992</v>
      </c>
      <c r="H601" s="199">
        <f t="shared" si="62"/>
        <v>6.9583399999999997</v>
      </c>
      <c r="J601" s="72"/>
      <c r="K601" s="183"/>
      <c r="L601" s="49"/>
      <c r="M601" s="49"/>
      <c r="N601" s="49"/>
      <c r="O601" s="49"/>
      <c r="P601" s="49"/>
      <c r="Q601" s="49"/>
      <c r="R601" s="49"/>
      <c r="S601" s="49"/>
      <c r="T601" s="49"/>
      <c r="U601" s="49"/>
      <c r="V601" s="49"/>
      <c r="W601" s="49"/>
      <c r="X601" s="49"/>
      <c r="Y601" s="49"/>
      <c r="Z601" s="49"/>
      <c r="AA601" s="49"/>
      <c r="AB601" s="49"/>
      <c r="AC601" s="49"/>
    </row>
    <row r="602" spans="1:29" ht="30">
      <c r="A602" s="330" t="s">
        <v>750</v>
      </c>
      <c r="B602" s="331" t="s">
        <v>784</v>
      </c>
      <c r="C602" s="332">
        <v>3305</v>
      </c>
      <c r="D602" s="364">
        <v>1566</v>
      </c>
      <c r="E602" s="274">
        <f t="shared" si="59"/>
        <v>0.52617246596066569</v>
      </c>
      <c r="F602" s="196">
        <f t="shared" si="63"/>
        <v>58.834620000000001</v>
      </c>
      <c r="G602" s="196">
        <f t="shared" si="61"/>
        <v>46.431899999999999</v>
      </c>
      <c r="H602" s="199">
        <f t="shared" si="62"/>
        <v>39.196980000000003</v>
      </c>
      <c r="J602" s="72"/>
      <c r="K602" s="183"/>
      <c r="L602" s="49"/>
      <c r="M602" s="49"/>
      <c r="N602" s="49"/>
      <c r="O602" s="49"/>
      <c r="P602" s="49"/>
      <c r="Q602" s="49"/>
      <c r="R602" s="49"/>
      <c r="S602" s="49"/>
      <c r="T602" s="49"/>
      <c r="U602" s="49"/>
      <c r="V602" s="49"/>
      <c r="W602" s="49"/>
      <c r="X602" s="49"/>
      <c r="Y602" s="49"/>
      <c r="Z602" s="49"/>
      <c r="AA602" s="49"/>
      <c r="AB602" s="49"/>
      <c r="AC602" s="49"/>
    </row>
    <row r="603" spans="1:29">
      <c r="A603" s="60" t="s">
        <v>69</v>
      </c>
      <c r="B603" s="65"/>
      <c r="C603" s="271"/>
      <c r="D603" s="364"/>
      <c r="E603" s="274"/>
      <c r="F603" s="196"/>
      <c r="G603" s="196"/>
      <c r="H603" s="199"/>
      <c r="J603" s="72"/>
      <c r="L603" s="49"/>
      <c r="M603" s="49"/>
      <c r="N603" s="49"/>
      <c r="O603" s="49"/>
      <c r="P603" s="49"/>
      <c r="Q603" s="49"/>
      <c r="R603" s="49"/>
      <c r="S603" s="49"/>
      <c r="T603" s="49"/>
      <c r="U603" s="49"/>
      <c r="V603" s="49"/>
      <c r="W603" s="49"/>
      <c r="X603" s="49"/>
      <c r="Y603" s="49"/>
      <c r="Z603" s="49"/>
      <c r="AA603" s="49"/>
      <c r="AB603" s="49"/>
      <c r="AC603" s="49"/>
    </row>
    <row r="604" spans="1:29">
      <c r="A604" s="62" t="s">
        <v>115</v>
      </c>
      <c r="B604" s="61" t="s">
        <v>116</v>
      </c>
      <c r="C604" s="271">
        <f>VLOOKUP($A$8:$A$1487,'[7]MFP''s'!A$8:C$1502,3,FALSE)</f>
        <v>1070</v>
      </c>
      <c r="D604" s="364">
        <v>507</v>
      </c>
      <c r="E604" s="274">
        <f t="shared" si="59"/>
        <v>0.5261682242990654</v>
      </c>
      <c r="F604" s="196">
        <f t="shared" si="63"/>
        <v>19.047989999999999</v>
      </c>
      <c r="G604" s="196">
        <f t="shared" si="61"/>
        <v>15.032549999999999</v>
      </c>
      <c r="H604" s="199">
        <f t="shared" si="62"/>
        <v>12.69021</v>
      </c>
      <c r="J604" s="72"/>
      <c r="L604" s="49"/>
      <c r="M604" s="49"/>
      <c r="N604" s="49"/>
      <c r="O604" s="49"/>
      <c r="P604" s="49"/>
      <c r="Q604" s="49"/>
      <c r="R604" s="49"/>
      <c r="S604" s="49"/>
      <c r="T604" s="49"/>
      <c r="U604" s="49"/>
      <c r="V604" s="49"/>
      <c r="W604" s="49"/>
      <c r="X604" s="49"/>
      <c r="Y604" s="49"/>
      <c r="Z604" s="49"/>
      <c r="AA604" s="49"/>
      <c r="AB604" s="49"/>
      <c r="AC604" s="49"/>
    </row>
    <row r="605" spans="1:29">
      <c r="A605" s="62">
        <v>4614506</v>
      </c>
      <c r="B605" s="61" t="s">
        <v>117</v>
      </c>
      <c r="C605" s="271">
        <f>VLOOKUP($A$8:$A$1487,'[7]MFP''s'!A$8:C$1502,3,FALSE)</f>
        <v>48</v>
      </c>
      <c r="D605" s="364">
        <v>23</v>
      </c>
      <c r="E605" s="274">
        <f t="shared" si="59"/>
        <v>0.52083333333333326</v>
      </c>
      <c r="F605" s="196">
        <f t="shared" si="63"/>
        <v>0.86410999999999993</v>
      </c>
      <c r="G605" s="196">
        <f t="shared" si="61"/>
        <v>0.68194999999999995</v>
      </c>
      <c r="H605" s="199">
        <f t="shared" si="62"/>
        <v>0.57569000000000004</v>
      </c>
      <c r="L605" s="49"/>
      <c r="M605" s="49"/>
      <c r="N605" s="49"/>
      <c r="O605" s="49"/>
      <c r="P605" s="49"/>
      <c r="Q605" s="49"/>
      <c r="R605" s="49"/>
      <c r="S605" s="49"/>
      <c r="T605" s="49"/>
      <c r="U605" s="49"/>
      <c r="V605" s="49"/>
      <c r="W605" s="49"/>
      <c r="X605" s="49"/>
      <c r="Y605" s="49"/>
      <c r="Z605" s="49"/>
      <c r="AA605" s="49"/>
      <c r="AB605" s="49"/>
      <c r="AC605" s="49"/>
    </row>
    <row r="606" spans="1:29">
      <c r="A606" s="62">
        <v>4614511</v>
      </c>
      <c r="B606" s="61" t="s">
        <v>118</v>
      </c>
      <c r="C606" s="271">
        <f>VLOOKUP($A$8:$A$1487,'[7]MFP''s'!A$8:C$1502,3,FALSE)</f>
        <v>27</v>
      </c>
      <c r="D606" s="364">
        <v>13</v>
      </c>
      <c r="E606" s="274">
        <f t="shared" si="59"/>
        <v>0.5185185185185186</v>
      </c>
      <c r="F606" s="196">
        <f t="shared" si="63"/>
        <v>0.48841000000000001</v>
      </c>
      <c r="G606" s="196">
        <f t="shared" si="61"/>
        <v>0.38545000000000001</v>
      </c>
      <c r="H606" s="199">
        <f t="shared" si="62"/>
        <v>0.32539000000000001</v>
      </c>
      <c r="L606" s="49"/>
      <c r="M606" s="49"/>
      <c r="N606" s="49"/>
      <c r="O606" s="49"/>
      <c r="P606" s="49"/>
      <c r="Q606" s="49"/>
      <c r="R606" s="49"/>
      <c r="S606" s="49"/>
      <c r="T606" s="49"/>
      <c r="U606" s="49"/>
      <c r="V606" s="49"/>
      <c r="W606" s="49"/>
      <c r="X606" s="49"/>
      <c r="Y606" s="49"/>
      <c r="Z606" s="49"/>
      <c r="AA606" s="49"/>
      <c r="AB606" s="49"/>
      <c r="AC606" s="49"/>
    </row>
    <row r="607" spans="1:29">
      <c r="A607" s="62" t="s">
        <v>119</v>
      </c>
      <c r="B607" s="61" t="s">
        <v>120</v>
      </c>
      <c r="C607" s="271">
        <f>VLOOKUP($A$8:$A$1487,'[7]MFP''s'!A$8:C$1502,3,FALSE)</f>
        <v>120</v>
      </c>
      <c r="D607" s="364">
        <v>57</v>
      </c>
      <c r="E607" s="274">
        <f t="shared" si="59"/>
        <v>0.52500000000000002</v>
      </c>
      <c r="F607" s="196">
        <f t="shared" si="63"/>
        <v>2.1414900000000001</v>
      </c>
      <c r="G607" s="196">
        <f t="shared" ref="G607:G664" si="64">D607*$G$1</f>
        <v>1.6900500000000001</v>
      </c>
      <c r="H607" s="199">
        <f t="shared" ref="H607:H664" si="65">D607*$H$1</f>
        <v>1.4267099999999999</v>
      </c>
      <c r="L607" s="49"/>
      <c r="M607" s="49"/>
      <c r="N607" s="49"/>
      <c r="O607" s="49"/>
      <c r="P607" s="49"/>
      <c r="Q607" s="49"/>
      <c r="R607" s="49"/>
      <c r="S607" s="49"/>
      <c r="T607" s="49"/>
      <c r="U607" s="49"/>
      <c r="V607" s="49"/>
      <c r="W607" s="49"/>
      <c r="X607" s="49"/>
      <c r="Y607" s="49"/>
      <c r="Z607" s="49"/>
      <c r="AA607" s="49"/>
      <c r="AB607" s="49"/>
      <c r="AC607" s="49"/>
    </row>
    <row r="608" spans="1:29">
      <c r="A608" s="62" t="s">
        <v>121</v>
      </c>
      <c r="B608" s="61" t="s">
        <v>122</v>
      </c>
      <c r="C608" s="271">
        <f>VLOOKUP($A$8:$A$1487,'[7]MFP''s'!A$8:C$1502,3,FALSE)</f>
        <v>1068</v>
      </c>
      <c r="D608" s="364">
        <v>506</v>
      </c>
      <c r="E608" s="274">
        <f t="shared" si="59"/>
        <v>0.52621722846441954</v>
      </c>
      <c r="F608" s="196">
        <f t="shared" si="63"/>
        <v>19.01042</v>
      </c>
      <c r="G608" s="196">
        <f t="shared" si="64"/>
        <v>15.0029</v>
      </c>
      <c r="H608" s="199">
        <f t="shared" si="65"/>
        <v>12.665179999999999</v>
      </c>
      <c r="L608" s="49"/>
      <c r="M608" s="49"/>
      <c r="N608" s="49"/>
      <c r="O608" s="49"/>
      <c r="P608" s="49"/>
      <c r="Q608" s="49"/>
      <c r="R608" s="49"/>
      <c r="S608" s="49"/>
      <c r="T608" s="49"/>
      <c r="U608" s="49"/>
      <c r="V608" s="49"/>
      <c r="W608" s="49"/>
      <c r="X608" s="49"/>
      <c r="Y608" s="49"/>
      <c r="Z608" s="49"/>
      <c r="AA608" s="49"/>
      <c r="AB608" s="49"/>
      <c r="AC608" s="49"/>
    </row>
    <row r="609" spans="1:29">
      <c r="A609" s="60" t="s">
        <v>123</v>
      </c>
      <c r="B609" s="65"/>
      <c r="C609" s="271"/>
      <c r="D609" s="364"/>
      <c r="E609" s="274"/>
      <c r="F609" s="196"/>
      <c r="G609" s="196"/>
      <c r="H609" s="199"/>
      <c r="L609" s="49"/>
      <c r="M609" s="49"/>
      <c r="N609" s="49"/>
      <c r="O609" s="49"/>
      <c r="P609" s="49"/>
      <c r="Q609" s="49"/>
      <c r="R609" s="49"/>
      <c r="S609" s="49"/>
      <c r="T609" s="49"/>
      <c r="U609" s="49"/>
      <c r="V609" s="49"/>
      <c r="W609" s="49"/>
      <c r="X609" s="49"/>
      <c r="Y609" s="49"/>
      <c r="Z609" s="49"/>
      <c r="AA609" s="49"/>
      <c r="AB609" s="49"/>
      <c r="AC609" s="49"/>
    </row>
    <row r="610" spans="1:29">
      <c r="A610" s="62" t="s">
        <v>124</v>
      </c>
      <c r="B610" s="61" t="s">
        <v>125</v>
      </c>
      <c r="C610" s="271">
        <f>VLOOKUP($A$8:$A$1487,'[7]MFP''s'!A$8:C$1502,3,FALSE)</f>
        <v>53</v>
      </c>
      <c r="D610" s="364">
        <v>26</v>
      </c>
      <c r="E610" s="274">
        <f t="shared" si="59"/>
        <v>0.50943396226415094</v>
      </c>
      <c r="F610" s="196">
        <f t="shared" si="63"/>
        <v>0.97682000000000002</v>
      </c>
      <c r="G610" s="196">
        <f t="shared" si="64"/>
        <v>0.77090000000000003</v>
      </c>
      <c r="H610" s="199">
        <f t="shared" si="65"/>
        <v>0.65078000000000003</v>
      </c>
      <c r="L610" s="49"/>
      <c r="M610" s="49"/>
      <c r="N610" s="49"/>
      <c r="O610" s="49"/>
      <c r="P610" s="49"/>
      <c r="Q610" s="49"/>
      <c r="R610" s="49"/>
      <c r="S610" s="49"/>
      <c r="T610" s="49"/>
      <c r="U610" s="49"/>
      <c r="V610" s="49"/>
      <c r="W610" s="49"/>
      <c r="X610" s="49"/>
      <c r="Y610" s="49"/>
      <c r="Z610" s="49"/>
      <c r="AA610" s="49"/>
      <c r="AB610" s="49"/>
      <c r="AC610" s="49"/>
    </row>
    <row r="611" spans="1:29" ht="30">
      <c r="A611" s="62" t="s">
        <v>126</v>
      </c>
      <c r="B611" s="61" t="s">
        <v>127</v>
      </c>
      <c r="C611" s="271">
        <f>VLOOKUP($A$8:$A$1487,'[7]MFP''s'!A$8:C$1502,3,FALSE)</f>
        <v>1100</v>
      </c>
      <c r="D611" s="364">
        <v>521</v>
      </c>
      <c r="E611" s="274">
        <f t="shared" si="59"/>
        <v>0.52636363636363637</v>
      </c>
      <c r="F611" s="196">
        <f t="shared" si="63"/>
        <v>19.573969999999999</v>
      </c>
      <c r="G611" s="196">
        <f t="shared" si="64"/>
        <v>15.447649999999999</v>
      </c>
      <c r="H611" s="199">
        <f t="shared" si="65"/>
        <v>13.04063</v>
      </c>
      <c r="L611" s="49"/>
      <c r="M611" s="49"/>
      <c r="N611" s="49"/>
      <c r="O611" s="49"/>
      <c r="P611" s="49"/>
      <c r="Q611" s="49"/>
      <c r="R611" s="49"/>
      <c r="S611" s="49"/>
      <c r="T611" s="49"/>
      <c r="U611" s="49"/>
      <c r="V611" s="49"/>
      <c r="W611" s="49"/>
      <c r="X611" s="49"/>
      <c r="Y611" s="49"/>
      <c r="Z611" s="49"/>
      <c r="AA611" s="49"/>
      <c r="AB611" s="49"/>
      <c r="AC611" s="49"/>
    </row>
    <row r="612" spans="1:29">
      <c r="A612" s="62" t="s">
        <v>128</v>
      </c>
      <c r="B612" s="61" t="s">
        <v>129</v>
      </c>
      <c r="C612" s="271">
        <f>VLOOKUP($A$8:$A$1487,'[7]MFP''s'!A$8:C$1502,3,FALSE)</f>
        <v>785</v>
      </c>
      <c r="D612" s="364">
        <v>372</v>
      </c>
      <c r="E612" s="274">
        <f t="shared" si="59"/>
        <v>0.52611464968152866</v>
      </c>
      <c r="F612" s="196">
        <f t="shared" si="63"/>
        <v>13.976039999999999</v>
      </c>
      <c r="G612" s="196">
        <f t="shared" si="64"/>
        <v>11.0298</v>
      </c>
      <c r="H612" s="199">
        <f t="shared" si="65"/>
        <v>9.3111599999999992</v>
      </c>
      <c r="I612" s="49"/>
      <c r="J612" s="49"/>
      <c r="K612" s="49"/>
      <c r="L612" s="49"/>
      <c r="M612" s="49"/>
      <c r="N612" s="49"/>
      <c r="O612" s="49"/>
      <c r="P612" s="49"/>
      <c r="Q612" s="49"/>
      <c r="R612" s="49"/>
      <c r="S612" s="49"/>
      <c r="T612" s="49"/>
      <c r="U612" s="49"/>
      <c r="V612" s="49"/>
      <c r="W612" s="49"/>
      <c r="X612" s="49"/>
      <c r="Y612" s="49"/>
      <c r="Z612" s="49"/>
      <c r="AA612" s="49"/>
      <c r="AB612" s="49"/>
      <c r="AC612" s="49"/>
    </row>
    <row r="613" spans="1:29">
      <c r="A613" s="62" t="s">
        <v>130</v>
      </c>
      <c r="B613" s="61" t="s">
        <v>131</v>
      </c>
      <c r="C613" s="271">
        <f>VLOOKUP($A$8:$A$1487,'[7]MFP''s'!A$8:C$1502,3,FALSE)</f>
        <v>668</v>
      </c>
      <c r="D613" s="364">
        <v>317</v>
      </c>
      <c r="E613" s="274">
        <f t="shared" si="59"/>
        <v>0.52544910179640714</v>
      </c>
      <c r="F613" s="196">
        <f t="shared" si="63"/>
        <v>11.909689999999999</v>
      </c>
      <c r="G613" s="196">
        <f t="shared" si="64"/>
        <v>9.399049999999999</v>
      </c>
      <c r="H613" s="199">
        <f t="shared" si="65"/>
        <v>7.9345100000000004</v>
      </c>
      <c r="I613" s="49"/>
      <c r="J613" s="49"/>
      <c r="K613" s="49"/>
      <c r="L613" s="49"/>
      <c r="M613" s="49"/>
      <c r="N613" s="49"/>
      <c r="O613" s="49"/>
      <c r="P613" s="49"/>
      <c r="Q613" s="49"/>
      <c r="R613" s="49"/>
      <c r="S613" s="49"/>
      <c r="T613" s="49"/>
      <c r="U613" s="49"/>
      <c r="V613" s="49"/>
      <c r="W613" s="49"/>
      <c r="X613" s="49"/>
      <c r="Y613" s="49"/>
      <c r="Z613" s="49"/>
      <c r="AA613" s="49"/>
      <c r="AB613" s="49"/>
      <c r="AC613" s="49"/>
    </row>
    <row r="614" spans="1:29">
      <c r="A614" s="62" t="s">
        <v>132</v>
      </c>
      <c r="B614" s="61" t="s">
        <v>133</v>
      </c>
      <c r="C614" s="271">
        <f>VLOOKUP($A$8:$A$1487,'[7]MFP''s'!A$8:C$1502,3,FALSE)</f>
        <v>821</v>
      </c>
      <c r="D614" s="364">
        <v>389</v>
      </c>
      <c r="E614" s="274">
        <f t="shared" si="59"/>
        <v>0.52618757612667477</v>
      </c>
      <c r="F614" s="196">
        <f t="shared" si="63"/>
        <v>14.61473</v>
      </c>
      <c r="G614" s="196">
        <f t="shared" si="64"/>
        <v>11.533849999999999</v>
      </c>
      <c r="H614" s="199">
        <f t="shared" si="65"/>
        <v>9.7366700000000002</v>
      </c>
      <c r="I614" s="49"/>
      <c r="J614" s="49"/>
      <c r="K614" s="49"/>
      <c r="L614" s="49"/>
      <c r="M614" s="49"/>
      <c r="N614" s="49"/>
      <c r="O614" s="49"/>
      <c r="P614" s="49"/>
      <c r="Q614" s="49"/>
      <c r="R614" s="49"/>
      <c r="S614" s="49"/>
      <c r="T614" s="49"/>
      <c r="U614" s="49"/>
      <c r="V614" s="49"/>
      <c r="W614" s="49"/>
      <c r="X614" s="49"/>
      <c r="Y614" s="49"/>
      <c r="Z614" s="49"/>
      <c r="AA614" s="49"/>
      <c r="AB614" s="49"/>
      <c r="AC614" s="49"/>
    </row>
    <row r="615" spans="1:29">
      <c r="A615" s="62" t="s">
        <v>134</v>
      </c>
      <c r="B615" s="61" t="s">
        <v>135</v>
      </c>
      <c r="C615" s="271">
        <f>VLOOKUP($A$8:$A$1487,'[7]MFP''s'!A$8:C$1502,3,FALSE)</f>
        <v>690</v>
      </c>
      <c r="D615" s="364">
        <v>327</v>
      </c>
      <c r="E615" s="274">
        <f t="shared" si="59"/>
        <v>0.5260869565217392</v>
      </c>
      <c r="F615" s="196">
        <f t="shared" si="63"/>
        <v>12.28539</v>
      </c>
      <c r="G615" s="196">
        <f t="shared" si="64"/>
        <v>9.695549999999999</v>
      </c>
      <c r="H615" s="199">
        <f t="shared" si="65"/>
        <v>8.1848100000000006</v>
      </c>
      <c r="I615" s="49"/>
      <c r="J615" s="49"/>
      <c r="K615" s="49"/>
      <c r="L615" s="49"/>
      <c r="M615" s="49"/>
      <c r="N615" s="49"/>
      <c r="O615" s="49"/>
      <c r="P615" s="49"/>
      <c r="Q615" s="49"/>
      <c r="R615" s="49"/>
      <c r="S615" s="49"/>
      <c r="T615" s="49"/>
      <c r="U615" s="49"/>
      <c r="V615" s="49"/>
      <c r="W615" s="49"/>
      <c r="X615" s="49"/>
      <c r="Y615" s="49"/>
      <c r="Z615" s="49"/>
      <c r="AA615" s="49"/>
      <c r="AB615" s="49"/>
      <c r="AC615" s="49"/>
    </row>
    <row r="616" spans="1:29">
      <c r="A616" s="62" t="s">
        <v>136</v>
      </c>
      <c r="B616" s="61" t="s">
        <v>137</v>
      </c>
      <c r="C616" s="271">
        <f>VLOOKUP($A$8:$A$1487,'[7]MFP''s'!A$8:C$1502,3,FALSE)</f>
        <v>191</v>
      </c>
      <c r="D616" s="364">
        <v>91</v>
      </c>
      <c r="E616" s="274">
        <f t="shared" si="59"/>
        <v>0.52356020942408377</v>
      </c>
      <c r="F616" s="196">
        <f t="shared" si="63"/>
        <v>3.4188700000000001</v>
      </c>
      <c r="G616" s="196">
        <f t="shared" si="64"/>
        <v>2.69815</v>
      </c>
      <c r="H616" s="199">
        <f t="shared" si="65"/>
        <v>2.27773</v>
      </c>
      <c r="I616" s="49"/>
      <c r="J616" s="49"/>
      <c r="K616" s="49"/>
      <c r="L616" s="49"/>
      <c r="M616" s="49"/>
      <c r="N616" s="49"/>
      <c r="O616" s="49"/>
      <c r="P616" s="49"/>
      <c r="Q616" s="49"/>
      <c r="R616" s="49"/>
      <c r="S616" s="49"/>
      <c r="T616" s="49"/>
      <c r="U616" s="49"/>
      <c r="V616" s="49"/>
      <c r="W616" s="49"/>
      <c r="X616" s="49"/>
      <c r="Y616" s="49"/>
      <c r="Z616" s="49"/>
      <c r="AA616" s="49"/>
      <c r="AB616" s="49"/>
      <c r="AC616" s="49"/>
    </row>
    <row r="617" spans="1:29" ht="30">
      <c r="A617" s="79" t="s">
        <v>138</v>
      </c>
      <c r="B617" s="61" t="s">
        <v>139</v>
      </c>
      <c r="C617" s="271">
        <f>VLOOKUP($A$8:$A$1487,'[7]MFP''s'!A$8:C$1502,3,FALSE)</f>
        <v>1500</v>
      </c>
      <c r="D617" s="364">
        <v>711</v>
      </c>
      <c r="E617" s="274">
        <f t="shared" si="59"/>
        <v>0.52600000000000002</v>
      </c>
      <c r="F617" s="196">
        <f t="shared" si="63"/>
        <v>26.71227</v>
      </c>
      <c r="G617" s="196">
        <f t="shared" si="64"/>
        <v>21.081150000000001</v>
      </c>
      <c r="H617" s="199">
        <f t="shared" si="65"/>
        <v>17.796330000000001</v>
      </c>
      <c r="I617" s="49"/>
      <c r="J617" s="49"/>
      <c r="K617" s="49"/>
      <c r="L617" s="49"/>
      <c r="M617" s="49"/>
      <c r="N617" s="49"/>
      <c r="O617" s="49"/>
      <c r="P617" s="49"/>
      <c r="Q617" s="49"/>
      <c r="R617" s="49"/>
      <c r="S617" s="49"/>
      <c r="T617" s="49"/>
      <c r="U617" s="49"/>
      <c r="V617" s="49"/>
      <c r="W617" s="49"/>
      <c r="X617" s="49"/>
      <c r="Y617" s="49"/>
      <c r="Z617" s="49"/>
      <c r="AA617" s="49"/>
      <c r="AB617" s="49"/>
      <c r="AC617" s="49"/>
    </row>
    <row r="618" spans="1:29">
      <c r="A618" s="62" t="s">
        <v>140</v>
      </c>
      <c r="B618" s="61" t="s">
        <v>141</v>
      </c>
      <c r="C618" s="271">
        <f>VLOOKUP($A$8:$A$1487,'[7]MFP''s'!A$8:C$1502,3,FALSE)</f>
        <v>250</v>
      </c>
      <c r="D618" s="364">
        <v>119</v>
      </c>
      <c r="E618" s="274">
        <f t="shared" si="59"/>
        <v>0.52400000000000002</v>
      </c>
      <c r="F618" s="196">
        <f t="shared" si="63"/>
        <v>4.4708300000000003</v>
      </c>
      <c r="G618" s="196">
        <f t="shared" si="64"/>
        <v>3.5283500000000001</v>
      </c>
      <c r="H618" s="199">
        <f t="shared" si="65"/>
        <v>2.9785699999999999</v>
      </c>
      <c r="I618" s="49"/>
      <c r="J618" s="49"/>
      <c r="K618" s="49"/>
      <c r="L618" s="49"/>
      <c r="M618" s="49"/>
      <c r="N618" s="49"/>
      <c r="O618" s="49"/>
      <c r="P618" s="49"/>
      <c r="Q618" s="49"/>
      <c r="R618" s="49"/>
      <c r="S618" s="49"/>
      <c r="T618" s="49"/>
      <c r="U618" s="49"/>
      <c r="V618" s="49"/>
      <c r="W618" s="49"/>
      <c r="X618" s="49"/>
      <c r="Y618" s="49"/>
      <c r="Z618" s="49"/>
      <c r="AA618" s="49"/>
      <c r="AB618" s="49"/>
      <c r="AC618" s="49"/>
    </row>
    <row r="619" spans="1:29">
      <c r="A619" s="62" t="s">
        <v>142</v>
      </c>
      <c r="B619" s="61" t="s">
        <v>143</v>
      </c>
      <c r="C619" s="271">
        <f>VLOOKUP($A$8:$A$1487,'[7]MFP''s'!A$8:C$1502,3,FALSE)</f>
        <v>290</v>
      </c>
      <c r="D619" s="364">
        <v>138</v>
      </c>
      <c r="E619" s="274">
        <f t="shared" si="59"/>
        <v>0.5241379310344827</v>
      </c>
      <c r="F619" s="196">
        <f t="shared" si="63"/>
        <v>5.18466</v>
      </c>
      <c r="G619" s="196">
        <f t="shared" si="64"/>
        <v>4.0917000000000003</v>
      </c>
      <c r="H619" s="199">
        <f t="shared" si="65"/>
        <v>3.4541400000000002</v>
      </c>
      <c r="I619" s="49"/>
      <c r="J619" s="49"/>
      <c r="K619" s="49"/>
      <c r="L619" s="49"/>
      <c r="M619" s="49"/>
      <c r="N619" s="49"/>
      <c r="O619" s="49"/>
      <c r="P619" s="49"/>
      <c r="Q619" s="49"/>
      <c r="R619" s="49"/>
      <c r="S619" s="49"/>
      <c r="T619" s="49"/>
      <c r="U619" s="49"/>
      <c r="V619" s="49"/>
      <c r="W619" s="49"/>
      <c r="X619" s="49"/>
      <c r="Y619" s="49"/>
      <c r="Z619" s="49"/>
      <c r="AA619" s="49"/>
      <c r="AB619" s="49"/>
      <c r="AC619" s="49"/>
    </row>
    <row r="620" spans="1:29">
      <c r="A620" s="60" t="s">
        <v>47</v>
      </c>
      <c r="B620" s="65"/>
      <c r="C620" s="271"/>
      <c r="D620" s="364"/>
      <c r="E620" s="274"/>
      <c r="F620" s="196"/>
      <c r="G620" s="196"/>
      <c r="H620" s="199"/>
      <c r="I620" s="49"/>
      <c r="J620" s="49"/>
      <c r="K620" s="49"/>
      <c r="L620" s="49"/>
      <c r="M620" s="49"/>
      <c r="N620" s="49"/>
      <c r="O620" s="49"/>
      <c r="P620" s="49"/>
      <c r="Q620" s="49"/>
      <c r="R620" s="49"/>
      <c r="S620" s="49"/>
      <c r="T620" s="49"/>
      <c r="U620" s="49"/>
      <c r="V620" s="49"/>
      <c r="W620" s="49"/>
      <c r="X620" s="49"/>
      <c r="Y620" s="49"/>
      <c r="Z620" s="49"/>
      <c r="AA620" s="49"/>
      <c r="AB620" s="49"/>
      <c r="AC620" s="49"/>
    </row>
    <row r="621" spans="1:29">
      <c r="A621" s="62" t="s">
        <v>144</v>
      </c>
      <c r="B621" s="61" t="s">
        <v>145</v>
      </c>
      <c r="C621" s="271">
        <f>VLOOKUP($A$8:$A$1487,'[7]MFP''s'!A$8:C$1502,3,FALSE)</f>
        <v>947</v>
      </c>
      <c r="D621" s="364">
        <v>430</v>
      </c>
      <c r="E621" s="274">
        <f t="shared" si="59"/>
        <v>0.5459345300950369</v>
      </c>
      <c r="F621" s="196">
        <f t="shared" si="63"/>
        <v>16.155100000000001</v>
      </c>
      <c r="G621" s="196">
        <f t="shared" si="64"/>
        <v>12.749499999999999</v>
      </c>
      <c r="H621" s="199">
        <f t="shared" si="65"/>
        <v>10.7629</v>
      </c>
      <c r="I621" s="49"/>
      <c r="J621" s="49"/>
      <c r="K621" s="49"/>
      <c r="L621" s="49"/>
      <c r="M621" s="49"/>
      <c r="N621" s="49"/>
      <c r="O621" s="49"/>
      <c r="P621" s="49"/>
      <c r="Q621" s="49"/>
      <c r="R621" s="49"/>
      <c r="S621" s="49"/>
      <c r="T621" s="49"/>
      <c r="U621" s="49"/>
      <c r="V621" s="49"/>
      <c r="W621" s="49"/>
      <c r="X621" s="49"/>
      <c r="Y621" s="49"/>
      <c r="Z621" s="49"/>
      <c r="AA621" s="49"/>
      <c r="AB621" s="49"/>
      <c r="AC621" s="49"/>
    </row>
    <row r="622" spans="1:29">
      <c r="A622" s="62" t="s">
        <v>494</v>
      </c>
      <c r="B622" s="61" t="s">
        <v>146</v>
      </c>
      <c r="C622" s="271">
        <f>VLOOKUP($A$8:$A$1487,'[7]MFP''s'!A$8:C$1502,3,FALSE)</f>
        <v>423</v>
      </c>
      <c r="D622" s="364">
        <v>201</v>
      </c>
      <c r="E622" s="274">
        <f t="shared" si="59"/>
        <v>0.52482269503546097</v>
      </c>
      <c r="F622" s="196">
        <f t="shared" si="63"/>
        <v>7.5515699999999999</v>
      </c>
      <c r="G622" s="196">
        <f t="shared" si="64"/>
        <v>5.9596499999999999</v>
      </c>
      <c r="H622" s="199">
        <f t="shared" si="65"/>
        <v>5.0310300000000003</v>
      </c>
      <c r="I622" s="49"/>
      <c r="J622" s="49"/>
      <c r="K622" s="49"/>
      <c r="L622" s="49"/>
      <c r="M622" s="49"/>
      <c r="N622" s="49"/>
      <c r="O622" s="49"/>
      <c r="P622" s="49"/>
      <c r="Q622" s="49"/>
      <c r="R622" s="49"/>
      <c r="S622" s="49"/>
      <c r="T622" s="49"/>
      <c r="U622" s="49"/>
      <c r="V622" s="49"/>
      <c r="W622" s="49"/>
      <c r="X622" s="49"/>
      <c r="Y622" s="49"/>
      <c r="Z622" s="49"/>
      <c r="AA622" s="49"/>
      <c r="AB622" s="49"/>
      <c r="AC622" s="49"/>
    </row>
    <row r="623" spans="1:29">
      <c r="A623" s="62" t="s">
        <v>147</v>
      </c>
      <c r="B623" s="61" t="s">
        <v>375</v>
      </c>
      <c r="C623" s="271">
        <f>VLOOKUP($A$8:$A$1487,'[7]MFP''s'!A$8:C$1502,3,FALSE)</f>
        <v>846</v>
      </c>
      <c r="D623" s="364">
        <v>401</v>
      </c>
      <c r="E623" s="274">
        <f t="shared" si="59"/>
        <v>0.52600472813238763</v>
      </c>
      <c r="F623" s="196">
        <f t="shared" si="63"/>
        <v>15.065569999999999</v>
      </c>
      <c r="G623" s="196">
        <f t="shared" si="64"/>
        <v>11.88965</v>
      </c>
      <c r="H623" s="199">
        <f t="shared" si="65"/>
        <v>10.03703</v>
      </c>
      <c r="I623" s="49"/>
      <c r="J623" s="49"/>
      <c r="K623" s="49"/>
      <c r="L623" s="49"/>
      <c r="M623" s="49"/>
      <c r="N623" s="49"/>
      <c r="O623" s="49"/>
      <c r="P623" s="49"/>
      <c r="Q623" s="49"/>
      <c r="R623" s="49"/>
      <c r="S623" s="49"/>
      <c r="T623" s="49"/>
      <c r="U623" s="49"/>
      <c r="V623" s="49"/>
      <c r="W623" s="49"/>
      <c r="X623" s="49"/>
      <c r="Y623" s="49"/>
      <c r="Z623" s="49"/>
      <c r="AA623" s="49"/>
      <c r="AB623" s="49"/>
      <c r="AC623" s="49"/>
    </row>
    <row r="624" spans="1:29">
      <c r="A624" s="62" t="s">
        <v>149</v>
      </c>
      <c r="B624" s="61" t="s">
        <v>150</v>
      </c>
      <c r="C624" s="271">
        <f>VLOOKUP($A$8:$A$1487,'[7]MFP''s'!A$8:C$1502,3,FALSE)</f>
        <v>60</v>
      </c>
      <c r="D624" s="364">
        <v>29</v>
      </c>
      <c r="E624" s="274">
        <f t="shared" si="59"/>
        <v>0.51666666666666661</v>
      </c>
      <c r="F624" s="196">
        <f t="shared" si="63"/>
        <v>1.0895299999999999</v>
      </c>
      <c r="G624" s="196">
        <f t="shared" si="64"/>
        <v>0.85985</v>
      </c>
      <c r="H624" s="199">
        <f t="shared" si="65"/>
        <v>0.72587000000000002</v>
      </c>
      <c r="I624" s="49"/>
      <c r="J624" s="49"/>
      <c r="K624" s="49"/>
      <c r="L624" s="49"/>
      <c r="M624" s="49"/>
      <c r="N624" s="49"/>
      <c r="O624" s="49"/>
      <c r="P624" s="49"/>
      <c r="Q624" s="49"/>
      <c r="R624" s="49"/>
      <c r="S624" s="49"/>
      <c r="T624" s="49"/>
      <c r="U624" s="49"/>
      <c r="V624" s="49"/>
      <c r="W624" s="49"/>
      <c r="X624" s="49"/>
      <c r="Y624" s="49"/>
      <c r="Z624" s="49"/>
      <c r="AA624" s="49"/>
      <c r="AB624" s="49"/>
      <c r="AC624" s="49"/>
    </row>
    <row r="625" spans="1:29">
      <c r="A625" s="62" t="s">
        <v>151</v>
      </c>
      <c r="B625" s="61" t="s">
        <v>152</v>
      </c>
      <c r="C625" s="271">
        <f>VLOOKUP($A$8:$A$1487,'[7]MFP''s'!A$8:C$1502,3,FALSE)</f>
        <v>200</v>
      </c>
      <c r="D625" s="364">
        <v>95</v>
      </c>
      <c r="E625" s="274">
        <f t="shared" si="59"/>
        <v>0.52500000000000002</v>
      </c>
      <c r="F625" s="196">
        <f t="shared" si="63"/>
        <v>3.56915</v>
      </c>
      <c r="G625" s="196">
        <f t="shared" si="64"/>
        <v>2.8167499999999999</v>
      </c>
      <c r="H625" s="199">
        <f t="shared" si="65"/>
        <v>2.37785</v>
      </c>
      <c r="I625" s="49"/>
      <c r="J625" s="49"/>
      <c r="K625" s="49"/>
      <c r="L625" s="49"/>
      <c r="M625" s="49"/>
      <c r="N625" s="49"/>
      <c r="O625" s="49"/>
      <c r="P625" s="49"/>
      <c r="Q625" s="49"/>
      <c r="R625" s="49"/>
      <c r="S625" s="49"/>
      <c r="T625" s="49"/>
      <c r="U625" s="49"/>
      <c r="V625" s="49"/>
      <c r="W625" s="49"/>
      <c r="X625" s="49"/>
      <c r="Y625" s="49"/>
      <c r="Z625" s="49"/>
      <c r="AA625" s="49"/>
      <c r="AB625" s="49"/>
      <c r="AC625" s="49"/>
    </row>
    <row r="626" spans="1:29">
      <c r="A626" s="62" t="s">
        <v>153</v>
      </c>
      <c r="B626" s="61" t="s">
        <v>154</v>
      </c>
      <c r="C626" s="271">
        <f>VLOOKUP($A$8:$A$1487,'[7]MFP''s'!A$8:C$1502,3,FALSE)</f>
        <v>279</v>
      </c>
      <c r="D626" s="364">
        <v>133</v>
      </c>
      <c r="E626" s="274">
        <f t="shared" si="59"/>
        <v>0.52329749103942658</v>
      </c>
      <c r="F626" s="196">
        <f t="shared" si="63"/>
        <v>4.99681</v>
      </c>
      <c r="G626" s="196">
        <f t="shared" si="64"/>
        <v>3.9434499999999999</v>
      </c>
      <c r="H626" s="199">
        <f t="shared" si="65"/>
        <v>3.3289900000000001</v>
      </c>
      <c r="I626" s="49"/>
      <c r="J626" s="49"/>
      <c r="K626" s="49"/>
      <c r="L626" s="49"/>
      <c r="M626" s="49"/>
      <c r="N626" s="49"/>
      <c r="O626" s="49"/>
      <c r="P626" s="49"/>
      <c r="Q626" s="49"/>
      <c r="R626" s="49"/>
      <c r="S626" s="49"/>
      <c r="T626" s="49"/>
      <c r="U626" s="49"/>
      <c r="V626" s="49"/>
      <c r="W626" s="49"/>
      <c r="X626" s="49"/>
      <c r="Y626" s="49"/>
      <c r="Z626" s="49"/>
      <c r="AA626" s="49"/>
      <c r="AB626" s="49"/>
      <c r="AC626" s="49"/>
    </row>
    <row r="627" spans="1:29">
      <c r="A627" s="63">
        <v>7640006869</v>
      </c>
      <c r="B627" s="61" t="s">
        <v>155</v>
      </c>
      <c r="C627" s="271">
        <f>VLOOKUP($A$8:$A$1487,'[7]MFP''s'!A$8:C$1502,3,FALSE)</f>
        <v>223</v>
      </c>
      <c r="D627" s="364">
        <v>106</v>
      </c>
      <c r="E627" s="274">
        <f t="shared" si="59"/>
        <v>0.5246636771300448</v>
      </c>
      <c r="F627" s="196">
        <f t="shared" si="63"/>
        <v>3.9824199999999998</v>
      </c>
      <c r="G627" s="196">
        <f t="shared" si="64"/>
        <v>3.1429</v>
      </c>
      <c r="H627" s="199">
        <f t="shared" si="65"/>
        <v>2.6531799999999999</v>
      </c>
      <c r="I627" s="49"/>
      <c r="J627" s="49"/>
      <c r="K627" s="49"/>
      <c r="L627" s="49"/>
      <c r="M627" s="49"/>
      <c r="N627" s="49"/>
      <c r="O627" s="49"/>
      <c r="P627" s="49"/>
      <c r="Q627" s="49"/>
      <c r="R627" s="49"/>
      <c r="S627" s="49"/>
      <c r="T627" s="49"/>
      <c r="U627" s="49"/>
      <c r="V627" s="49"/>
      <c r="W627" s="49"/>
      <c r="X627" s="49"/>
      <c r="Y627" s="49"/>
      <c r="Z627" s="49"/>
      <c r="AA627" s="49"/>
      <c r="AB627" s="49"/>
      <c r="AC627" s="49"/>
    </row>
    <row r="628" spans="1:29">
      <c r="A628" s="62" t="s">
        <v>156</v>
      </c>
      <c r="B628" s="61" t="s">
        <v>157</v>
      </c>
      <c r="C628" s="271">
        <f>VLOOKUP($A$8:$A$1487,'[7]MFP''s'!A$8:C$1502,3,FALSE)</f>
        <v>126</v>
      </c>
      <c r="D628" s="364">
        <v>60</v>
      </c>
      <c r="E628" s="274">
        <f t="shared" si="59"/>
        <v>0.52380952380952384</v>
      </c>
      <c r="F628" s="196">
        <f t="shared" si="63"/>
        <v>2.2542</v>
      </c>
      <c r="G628" s="196">
        <f t="shared" si="64"/>
        <v>1.7789999999999999</v>
      </c>
      <c r="H628" s="199">
        <f t="shared" si="65"/>
        <v>1.5018</v>
      </c>
      <c r="M628" s="49"/>
      <c r="N628" s="49"/>
      <c r="O628" s="49"/>
      <c r="P628" s="49"/>
      <c r="Q628" s="49"/>
      <c r="R628" s="49"/>
      <c r="S628" s="49"/>
      <c r="T628" s="49"/>
      <c r="U628" s="49"/>
      <c r="V628" s="49"/>
      <c r="W628" s="49"/>
      <c r="X628" s="49"/>
      <c r="Y628" s="49"/>
      <c r="Z628" s="49"/>
      <c r="AA628" s="49"/>
      <c r="AB628" s="49"/>
      <c r="AC628" s="49"/>
    </row>
    <row r="629" spans="1:29">
      <c r="A629" s="62" t="s">
        <v>158</v>
      </c>
      <c r="B629" s="61" t="s">
        <v>159</v>
      </c>
      <c r="C629" s="271">
        <f>VLOOKUP($A$8:$A$1487,'[7]MFP''s'!A$8:C$1502,3,FALSE)</f>
        <v>123</v>
      </c>
      <c r="D629" s="364">
        <v>59</v>
      </c>
      <c r="E629" s="274">
        <f t="shared" si="59"/>
        <v>0.52032520325203246</v>
      </c>
      <c r="F629" s="196">
        <f t="shared" si="63"/>
        <v>2.2166299999999999</v>
      </c>
      <c r="G629" s="196">
        <f t="shared" si="64"/>
        <v>1.74935</v>
      </c>
      <c r="H629" s="199">
        <f t="shared" si="65"/>
        <v>1.4767699999999999</v>
      </c>
      <c r="M629" s="49"/>
      <c r="N629" s="49"/>
      <c r="O629" s="49"/>
      <c r="P629" s="49"/>
      <c r="Q629" s="49"/>
      <c r="R629" s="49"/>
      <c r="S629" s="49"/>
      <c r="T629" s="49"/>
      <c r="U629" s="49"/>
      <c r="V629" s="49"/>
      <c r="W629" s="49"/>
      <c r="X629" s="49"/>
      <c r="Y629" s="49"/>
      <c r="Z629" s="49"/>
      <c r="AA629" s="49"/>
      <c r="AB629" s="49"/>
      <c r="AC629" s="49"/>
    </row>
    <row r="630" spans="1:29">
      <c r="A630" s="62" t="s">
        <v>160</v>
      </c>
      <c r="B630" s="61" t="s">
        <v>161</v>
      </c>
      <c r="C630" s="271">
        <f>VLOOKUP($A$8:$A$1487,'[7]MFP''s'!A$8:C$1502,3,FALSE)</f>
        <v>112</v>
      </c>
      <c r="D630" s="364">
        <v>54</v>
      </c>
      <c r="E630" s="274">
        <f t="shared" si="59"/>
        <v>0.51785714285714279</v>
      </c>
      <c r="F630" s="196">
        <f t="shared" si="63"/>
        <v>2.0287799999999998</v>
      </c>
      <c r="G630" s="196">
        <f t="shared" si="64"/>
        <v>1.6011</v>
      </c>
      <c r="H630" s="199">
        <f t="shared" si="65"/>
        <v>1.35162</v>
      </c>
      <c r="M630" s="49"/>
      <c r="N630" s="49"/>
      <c r="O630" s="49"/>
      <c r="P630" s="49"/>
      <c r="Q630" s="49"/>
      <c r="R630" s="49"/>
      <c r="S630" s="49"/>
      <c r="T630" s="49"/>
      <c r="U630" s="49"/>
      <c r="V630" s="49"/>
      <c r="W630" s="49"/>
      <c r="X630" s="49"/>
      <c r="Y630" s="49"/>
      <c r="Z630" s="49"/>
      <c r="AA630" s="49"/>
      <c r="AB630" s="49"/>
      <c r="AC630" s="49"/>
    </row>
    <row r="631" spans="1:29" ht="30">
      <c r="A631" s="62">
        <v>4623474</v>
      </c>
      <c r="B631" s="61" t="s">
        <v>162</v>
      </c>
      <c r="C631" s="271">
        <f>VLOOKUP($A$8:$A$1487,'[7]MFP''s'!A$8:C$1502,3,FALSE)</f>
        <v>86</v>
      </c>
      <c r="D631" s="364">
        <v>41</v>
      </c>
      <c r="E631" s="274">
        <f t="shared" si="59"/>
        <v>0.52325581395348841</v>
      </c>
      <c r="F631" s="196">
        <f t="shared" si="63"/>
        <v>1.54037</v>
      </c>
      <c r="G631" s="196">
        <f t="shared" si="64"/>
        <v>1.2156499999999999</v>
      </c>
      <c r="H631" s="199">
        <f t="shared" si="65"/>
        <v>1.02623</v>
      </c>
      <c r="M631" s="49"/>
      <c r="N631" s="49"/>
      <c r="O631" s="49"/>
      <c r="P631" s="49"/>
      <c r="Q631" s="49"/>
      <c r="R631" s="49"/>
      <c r="S631" s="49"/>
      <c r="T631" s="49"/>
      <c r="U631" s="49"/>
      <c r="V631" s="49"/>
      <c r="W631" s="49"/>
      <c r="X631" s="49"/>
      <c r="Y631" s="49"/>
      <c r="Z631" s="49"/>
      <c r="AA631" s="49"/>
      <c r="AB631" s="49"/>
      <c r="AC631" s="49"/>
    </row>
    <row r="632" spans="1:29">
      <c r="A632" s="63">
        <v>7640005261</v>
      </c>
      <c r="B632" s="61" t="s">
        <v>163</v>
      </c>
      <c r="C632" s="271">
        <f>VLOOKUP($A$8:$A$1487,'[7]MFP''s'!A$8:C$1502,3,FALSE)</f>
        <v>69</v>
      </c>
      <c r="D632" s="364">
        <v>33</v>
      </c>
      <c r="E632" s="274">
        <f t="shared" si="59"/>
        <v>0.52173913043478259</v>
      </c>
      <c r="F632" s="196">
        <f t="shared" si="63"/>
        <v>1.2398100000000001</v>
      </c>
      <c r="G632" s="196">
        <f t="shared" si="64"/>
        <v>0.97844999999999993</v>
      </c>
      <c r="H632" s="199">
        <f t="shared" si="65"/>
        <v>0.82599</v>
      </c>
      <c r="M632" s="49"/>
      <c r="N632" s="49"/>
      <c r="O632" s="49"/>
      <c r="P632" s="49"/>
      <c r="Q632" s="49"/>
      <c r="R632" s="49"/>
      <c r="S632" s="49"/>
      <c r="T632" s="49"/>
      <c r="U632" s="49"/>
      <c r="V632" s="49"/>
      <c r="W632" s="49"/>
      <c r="X632" s="49"/>
      <c r="Y632" s="49"/>
      <c r="Z632" s="49"/>
      <c r="AA632" s="49"/>
      <c r="AB632" s="49"/>
      <c r="AC632" s="49"/>
    </row>
    <row r="633" spans="1:29">
      <c r="A633" s="62" t="s">
        <v>164</v>
      </c>
      <c r="B633" s="61" t="s">
        <v>165</v>
      </c>
      <c r="C633" s="271">
        <f>VLOOKUP($A$8:$A$1487,'[7]MFP''s'!A$8:C$1502,3,FALSE)</f>
        <v>1225</v>
      </c>
      <c r="D633" s="364">
        <v>581</v>
      </c>
      <c r="E633" s="274">
        <f t="shared" si="59"/>
        <v>0.52571428571428569</v>
      </c>
      <c r="F633" s="196">
        <f t="shared" si="63"/>
        <v>21.82817</v>
      </c>
      <c r="G633" s="196">
        <f t="shared" si="64"/>
        <v>17.226649999999999</v>
      </c>
      <c r="H633" s="199">
        <f t="shared" si="65"/>
        <v>14.54243</v>
      </c>
      <c r="M633" s="49"/>
      <c r="N633" s="49"/>
      <c r="O633" s="49"/>
      <c r="P633" s="49"/>
      <c r="Q633" s="49"/>
      <c r="R633" s="49"/>
      <c r="S633" s="49"/>
      <c r="T633" s="49"/>
      <c r="U633" s="49"/>
      <c r="V633" s="49"/>
      <c r="W633" s="49"/>
      <c r="X633" s="49"/>
      <c r="Y633" s="49"/>
      <c r="Z633" s="49"/>
      <c r="AA633" s="49"/>
      <c r="AB633" s="49"/>
      <c r="AC633" s="49"/>
    </row>
    <row r="634" spans="1:29" s="173" customFormat="1">
      <c r="A634" s="194" t="s">
        <v>385</v>
      </c>
      <c r="B634" s="88" t="s">
        <v>386</v>
      </c>
      <c r="C634" s="271">
        <f>VLOOKUP($A$8:$A$1487,'[7]MFP''s'!A$8:C$1502,3,FALSE)</f>
        <v>275</v>
      </c>
      <c r="D634" s="364">
        <v>227</v>
      </c>
      <c r="E634" s="274">
        <f t="shared" si="59"/>
        <v>0.17454545454545456</v>
      </c>
      <c r="F634" s="196">
        <f t="shared" si="63"/>
        <v>8.5283899999999999</v>
      </c>
      <c r="G634" s="196">
        <f t="shared" si="64"/>
        <v>6.73055</v>
      </c>
      <c r="H634" s="199">
        <f t="shared" si="65"/>
        <v>5.6818100000000005</v>
      </c>
      <c r="K634" s="172"/>
      <c r="L634" s="172"/>
    </row>
    <row r="635" spans="1:29">
      <c r="A635" s="93">
        <v>7640013463</v>
      </c>
      <c r="B635" s="61" t="s">
        <v>55</v>
      </c>
      <c r="C635" s="271">
        <f>VLOOKUP($A$8:$A$1487,'[7]MFP''s'!A$8:C$1502,3,FALSE)</f>
        <v>317</v>
      </c>
      <c r="D635" s="364">
        <v>151</v>
      </c>
      <c r="E635" s="274">
        <f t="shared" si="59"/>
        <v>0.52365930599369093</v>
      </c>
      <c r="F635" s="196">
        <f t="shared" si="63"/>
        <v>5.6730700000000001</v>
      </c>
      <c r="G635" s="196">
        <f t="shared" si="64"/>
        <v>4.47715</v>
      </c>
      <c r="H635" s="199">
        <f t="shared" si="65"/>
        <v>3.7795299999999998</v>
      </c>
      <c r="M635" s="49"/>
      <c r="N635" s="49"/>
      <c r="O635" s="49"/>
      <c r="P635" s="49"/>
      <c r="Q635" s="49"/>
      <c r="R635" s="49"/>
      <c r="S635" s="49"/>
      <c r="T635" s="49"/>
      <c r="U635" s="49"/>
      <c r="V635" s="49"/>
      <c r="W635" s="49"/>
      <c r="X635" s="49"/>
      <c r="Y635" s="49"/>
      <c r="Z635" s="49"/>
      <c r="AA635" s="49"/>
      <c r="AB635" s="49"/>
      <c r="AC635" s="49"/>
    </row>
    <row r="636" spans="1:29">
      <c r="A636" s="63" t="s">
        <v>166</v>
      </c>
      <c r="B636" s="61" t="s">
        <v>167</v>
      </c>
      <c r="C636" s="271">
        <f>VLOOKUP($A$8:$A$1487,'[7]MFP''s'!A$8:C$1502,3,FALSE)</f>
        <v>30</v>
      </c>
      <c r="D636" s="364">
        <v>15</v>
      </c>
      <c r="E636" s="274">
        <f t="shared" ref="E636:E691" si="66">100%-(D636/C636)</f>
        <v>0.5</v>
      </c>
      <c r="F636" s="196">
        <f t="shared" si="63"/>
        <v>0.56355</v>
      </c>
      <c r="G636" s="196">
        <f t="shared" si="64"/>
        <v>0.44474999999999998</v>
      </c>
      <c r="H636" s="199">
        <f t="shared" si="65"/>
        <v>0.37545000000000001</v>
      </c>
      <c r="M636" s="49"/>
      <c r="N636" s="49"/>
      <c r="O636" s="49"/>
      <c r="P636" s="49"/>
      <c r="Q636" s="49"/>
      <c r="R636" s="49"/>
      <c r="S636" s="49"/>
      <c r="T636" s="49"/>
      <c r="U636" s="49"/>
      <c r="V636" s="49"/>
      <c r="W636" s="49"/>
      <c r="X636" s="49"/>
      <c r="Y636" s="49"/>
      <c r="Z636" s="49"/>
      <c r="AA636" s="49"/>
      <c r="AB636" s="49"/>
      <c r="AC636" s="49"/>
    </row>
    <row r="637" spans="1:29">
      <c r="A637" s="60" t="s">
        <v>380</v>
      </c>
      <c r="B637" s="61"/>
      <c r="C637" s="271"/>
      <c r="D637" s="364"/>
      <c r="E637" s="274"/>
      <c r="F637" s="196"/>
      <c r="G637" s="196"/>
      <c r="H637" s="199"/>
      <c r="M637" s="49"/>
      <c r="N637" s="49"/>
      <c r="O637" s="49"/>
      <c r="P637" s="49"/>
      <c r="Q637" s="49"/>
      <c r="R637" s="49"/>
      <c r="S637" s="49"/>
      <c r="T637" s="49"/>
      <c r="U637" s="49"/>
      <c r="V637" s="49"/>
      <c r="W637" s="49"/>
      <c r="X637" s="49"/>
      <c r="Y637" s="49"/>
      <c r="Z637" s="49"/>
      <c r="AA637" s="49"/>
      <c r="AB637" s="49"/>
      <c r="AC637" s="49"/>
    </row>
    <row r="638" spans="1:29">
      <c r="A638" s="71" t="s">
        <v>168</v>
      </c>
      <c r="B638" s="61" t="s">
        <v>169</v>
      </c>
      <c r="C638" s="271">
        <f>VLOOKUP($A$8:$A$1487,'[7]MFP''s'!A$8:C$1502,3,FALSE)</f>
        <v>250</v>
      </c>
      <c r="D638" s="364">
        <v>250</v>
      </c>
      <c r="E638" s="274">
        <f t="shared" si="66"/>
        <v>0</v>
      </c>
      <c r="F638" s="196">
        <f t="shared" si="63"/>
        <v>9.3925000000000001</v>
      </c>
      <c r="G638" s="196">
        <f t="shared" si="64"/>
        <v>7.4124999999999996</v>
      </c>
      <c r="H638" s="199">
        <f t="shared" si="65"/>
        <v>6.2575000000000003</v>
      </c>
      <c r="M638" s="49"/>
      <c r="N638" s="49"/>
      <c r="O638" s="49"/>
      <c r="P638" s="49"/>
      <c r="Q638" s="49"/>
      <c r="R638" s="49"/>
      <c r="S638" s="49"/>
      <c r="T638" s="49"/>
      <c r="U638" s="49"/>
      <c r="V638" s="49"/>
      <c r="W638" s="49"/>
      <c r="X638" s="49"/>
      <c r="Y638" s="49"/>
      <c r="Z638" s="49"/>
      <c r="AA638" s="49"/>
      <c r="AB638" s="49"/>
      <c r="AC638" s="49"/>
    </row>
    <row r="639" spans="1:29">
      <c r="A639" s="212"/>
      <c r="B639" s="213"/>
      <c r="C639" s="215"/>
      <c r="D639" s="360"/>
      <c r="E639" s="215"/>
      <c r="F639" s="215"/>
      <c r="G639" s="215"/>
      <c r="H639" s="216"/>
      <c r="M639" s="49"/>
      <c r="N639" s="49"/>
      <c r="O639" s="49"/>
      <c r="P639" s="49"/>
      <c r="Q639" s="49"/>
      <c r="R639" s="49"/>
      <c r="S639" s="49"/>
      <c r="T639" s="49"/>
      <c r="U639" s="49"/>
      <c r="V639" s="49"/>
      <c r="W639" s="49"/>
      <c r="X639" s="49"/>
      <c r="Y639" s="49"/>
      <c r="Z639" s="49"/>
      <c r="AA639" s="49"/>
      <c r="AB639" s="49"/>
      <c r="AC639" s="49"/>
    </row>
    <row r="640" spans="1:29" ht="135">
      <c r="A640" s="220" t="s">
        <v>736</v>
      </c>
      <c r="B640" s="221" t="s">
        <v>737</v>
      </c>
      <c r="C640" s="271">
        <v>11700</v>
      </c>
      <c r="D640" s="364">
        <v>5894</v>
      </c>
      <c r="E640" s="274">
        <f t="shared" si="66"/>
        <v>0.49623931623931627</v>
      </c>
      <c r="F640" s="196">
        <f t="shared" si="63"/>
        <v>221.43758</v>
      </c>
      <c r="G640" s="196">
        <f t="shared" si="64"/>
        <v>174.75710000000001</v>
      </c>
      <c r="H640" s="199">
        <f t="shared" si="65"/>
        <v>147.52682000000001</v>
      </c>
      <c r="M640" s="49"/>
      <c r="N640" s="49"/>
      <c r="O640" s="49"/>
      <c r="P640" s="49"/>
      <c r="Q640" s="49"/>
      <c r="R640" s="49"/>
      <c r="S640" s="49"/>
      <c r="T640" s="49"/>
      <c r="U640" s="49"/>
      <c r="V640" s="49"/>
      <c r="W640" s="49"/>
      <c r="X640" s="49"/>
      <c r="Y640" s="49"/>
      <c r="Z640" s="49"/>
      <c r="AA640" s="49"/>
      <c r="AB640" s="49"/>
      <c r="AC640" s="49"/>
    </row>
    <row r="641" spans="1:29">
      <c r="A641" s="195" t="s">
        <v>384</v>
      </c>
      <c r="B641" s="197"/>
      <c r="C641" s="271"/>
      <c r="D641" s="357"/>
      <c r="E641" s="274"/>
      <c r="F641" s="196"/>
      <c r="G641" s="196"/>
      <c r="H641" s="199"/>
      <c r="M641" s="49"/>
      <c r="N641" s="49"/>
      <c r="O641" s="49"/>
      <c r="P641" s="49"/>
      <c r="Q641" s="49"/>
      <c r="R641" s="49"/>
      <c r="S641" s="49"/>
      <c r="T641" s="49"/>
      <c r="U641" s="49"/>
      <c r="V641" s="49"/>
      <c r="W641" s="49"/>
      <c r="X641" s="49"/>
      <c r="Y641" s="49"/>
      <c r="Z641" s="49"/>
      <c r="AA641" s="49"/>
      <c r="AB641" s="49"/>
      <c r="AC641" s="49"/>
    </row>
    <row r="642" spans="1:29" s="318" customFormat="1">
      <c r="A642" s="323" t="s">
        <v>738</v>
      </c>
      <c r="B642" s="324" t="s">
        <v>739</v>
      </c>
      <c r="C642" s="312">
        <v>1631</v>
      </c>
      <c r="D642" s="367">
        <v>773</v>
      </c>
      <c r="E642" s="313">
        <f>100%-(D642/C642)</f>
        <v>0.52605763335377076</v>
      </c>
      <c r="F642" s="314">
        <f>D642*$F$1</f>
        <v>29.041609999999999</v>
      </c>
      <c r="G642" s="314">
        <f>D642*$G$1</f>
        <v>22.919450000000001</v>
      </c>
      <c r="H642" s="315">
        <f>D642*$H$1</f>
        <v>19.348189999999999</v>
      </c>
      <c r="I642" s="316"/>
      <c r="J642" s="325"/>
      <c r="K642" s="322"/>
    </row>
    <row r="643" spans="1:29">
      <c r="A643" s="62" t="s">
        <v>94</v>
      </c>
      <c r="B643" s="61" t="s">
        <v>95</v>
      </c>
      <c r="C643" s="271">
        <v>94</v>
      </c>
      <c r="D643" s="364">
        <v>45</v>
      </c>
      <c r="E643" s="274">
        <f t="shared" si="66"/>
        <v>0.52127659574468077</v>
      </c>
      <c r="F643" s="196">
        <f t="shared" si="63"/>
        <v>1.69065</v>
      </c>
      <c r="G643" s="196">
        <f t="shared" si="64"/>
        <v>1.3342499999999999</v>
      </c>
      <c r="H643" s="199">
        <f t="shared" si="65"/>
        <v>1.12635</v>
      </c>
      <c r="J643" s="72"/>
      <c r="K643" s="183"/>
      <c r="M643" s="49"/>
      <c r="N643" s="49"/>
      <c r="O643" s="49"/>
      <c r="P643" s="49"/>
      <c r="Q643" s="49"/>
      <c r="R643" s="49"/>
      <c r="S643" s="49"/>
      <c r="T643" s="49"/>
      <c r="U643" s="49"/>
      <c r="V643" s="49"/>
      <c r="W643" s="49"/>
      <c r="X643" s="49"/>
      <c r="Y643" s="49"/>
      <c r="Z643" s="49"/>
      <c r="AA643" s="49"/>
      <c r="AB643" s="49"/>
      <c r="AC643" s="49"/>
    </row>
    <row r="644" spans="1:29">
      <c r="A644" s="62" t="s">
        <v>740</v>
      </c>
      <c r="B644" s="61" t="s">
        <v>741</v>
      </c>
      <c r="C644" s="271">
        <v>1802</v>
      </c>
      <c r="D644" s="364">
        <v>854</v>
      </c>
      <c r="E644" s="274">
        <f t="shared" si="66"/>
        <v>0.52608213096559386</v>
      </c>
      <c r="F644" s="196">
        <f t="shared" si="63"/>
        <v>32.084780000000002</v>
      </c>
      <c r="G644" s="196">
        <f t="shared" si="64"/>
        <v>25.321099999999998</v>
      </c>
      <c r="H644" s="199">
        <f t="shared" si="65"/>
        <v>21.375620000000001</v>
      </c>
      <c r="J644" s="72"/>
      <c r="K644" s="183"/>
      <c r="L644" s="49"/>
      <c r="M644" s="49"/>
      <c r="N644" s="49"/>
      <c r="O644" s="49"/>
      <c r="P644" s="49"/>
      <c r="Q644" s="49"/>
      <c r="R644" s="49"/>
      <c r="S644" s="49"/>
      <c r="T644" s="49"/>
      <c r="U644" s="49"/>
      <c r="V644" s="49"/>
      <c r="W644" s="49"/>
      <c r="X644" s="49"/>
      <c r="Y644" s="49"/>
      <c r="Z644" s="49"/>
      <c r="AA644" s="49"/>
      <c r="AB644" s="49"/>
      <c r="AC644" s="49"/>
    </row>
    <row r="645" spans="1:29">
      <c r="A645" s="62" t="s">
        <v>742</v>
      </c>
      <c r="B645" s="61" t="s">
        <v>101</v>
      </c>
      <c r="C645" s="271">
        <v>1402</v>
      </c>
      <c r="D645" s="364">
        <v>664</v>
      </c>
      <c r="E645" s="274">
        <f t="shared" si="66"/>
        <v>0.52639087018544939</v>
      </c>
      <c r="F645" s="196">
        <f t="shared" si="63"/>
        <v>24.946480000000001</v>
      </c>
      <c r="G645" s="196">
        <f t="shared" si="64"/>
        <v>19.6876</v>
      </c>
      <c r="H645" s="199">
        <f t="shared" si="65"/>
        <v>16.61992</v>
      </c>
      <c r="L645" s="49"/>
      <c r="M645" s="49"/>
      <c r="N645" s="49"/>
      <c r="O645" s="49"/>
      <c r="P645" s="49"/>
      <c r="Q645" s="49"/>
      <c r="R645" s="49"/>
      <c r="S645" s="49"/>
      <c r="T645" s="49"/>
      <c r="U645" s="49"/>
      <c r="V645" s="49"/>
      <c r="W645" s="49"/>
      <c r="X645" s="49"/>
      <c r="Y645" s="49"/>
      <c r="Z645" s="49"/>
      <c r="AA645" s="49"/>
      <c r="AB645" s="49"/>
      <c r="AC645" s="49"/>
    </row>
    <row r="646" spans="1:29">
      <c r="A646" s="62" t="s">
        <v>743</v>
      </c>
      <c r="B646" s="61" t="s">
        <v>103</v>
      </c>
      <c r="C646" s="271">
        <v>1191</v>
      </c>
      <c r="D646" s="364">
        <v>564</v>
      </c>
      <c r="E646" s="274">
        <f t="shared" si="66"/>
        <v>0.52644836272040307</v>
      </c>
      <c r="F646" s="196">
        <f t="shared" si="63"/>
        <v>21.18948</v>
      </c>
      <c r="G646" s="196">
        <f t="shared" si="64"/>
        <v>16.7226</v>
      </c>
      <c r="H646" s="199">
        <f t="shared" si="65"/>
        <v>14.11692</v>
      </c>
      <c r="L646" s="49"/>
      <c r="M646" s="49"/>
      <c r="N646" s="49"/>
      <c r="O646" s="49"/>
      <c r="P646" s="49"/>
      <c r="Q646" s="49"/>
      <c r="R646" s="49"/>
      <c r="S646" s="49"/>
      <c r="T646" s="49"/>
      <c r="U646" s="49"/>
      <c r="V646" s="49"/>
      <c r="W646" s="49"/>
      <c r="X646" s="49"/>
      <c r="Y646" s="49"/>
      <c r="Z646" s="49"/>
      <c r="AA646" s="49"/>
      <c r="AB646" s="49"/>
      <c r="AC646" s="49"/>
    </row>
    <row r="647" spans="1:29">
      <c r="A647" s="63" t="s">
        <v>744</v>
      </c>
      <c r="B647" s="61" t="s">
        <v>105</v>
      </c>
      <c r="C647" s="271">
        <v>913</v>
      </c>
      <c r="D647" s="364">
        <v>433</v>
      </c>
      <c r="E647" s="274">
        <f t="shared" si="66"/>
        <v>0.52573932092004383</v>
      </c>
      <c r="F647" s="196">
        <f t="shared" si="63"/>
        <v>16.267810000000001</v>
      </c>
      <c r="G647" s="196">
        <f t="shared" si="64"/>
        <v>12.83845</v>
      </c>
      <c r="H647" s="199">
        <f t="shared" si="65"/>
        <v>10.83799</v>
      </c>
      <c r="J647" s="184"/>
      <c r="K647" s="183"/>
      <c r="L647" s="49"/>
      <c r="M647" s="49"/>
      <c r="N647" s="49"/>
      <c r="O647" s="49"/>
      <c r="P647" s="49"/>
      <c r="Q647" s="49"/>
      <c r="R647" s="49"/>
      <c r="S647" s="49"/>
      <c r="T647" s="49"/>
      <c r="U647" s="49"/>
      <c r="V647" s="49"/>
      <c r="W647" s="49"/>
      <c r="X647" s="49"/>
      <c r="Y647" s="49"/>
      <c r="Z647" s="49"/>
      <c r="AA647" s="49"/>
      <c r="AB647" s="49"/>
      <c r="AC647" s="49"/>
    </row>
    <row r="648" spans="1:29">
      <c r="A648" s="79" t="s">
        <v>745</v>
      </c>
      <c r="B648" s="61" t="s">
        <v>383</v>
      </c>
      <c r="C648" s="271">
        <v>222</v>
      </c>
      <c r="D648" s="364">
        <v>106</v>
      </c>
      <c r="E648" s="274">
        <f t="shared" si="66"/>
        <v>0.52252252252252251</v>
      </c>
      <c r="F648" s="196">
        <f t="shared" si="63"/>
        <v>3.9824199999999998</v>
      </c>
      <c r="G648" s="196">
        <f t="shared" si="64"/>
        <v>3.1429</v>
      </c>
      <c r="H648" s="199">
        <f t="shared" si="65"/>
        <v>2.6531799999999999</v>
      </c>
      <c r="J648" s="184"/>
      <c r="K648" s="183"/>
      <c r="L648" s="49"/>
      <c r="M648" s="49"/>
      <c r="N648" s="49"/>
      <c r="O648" s="49"/>
      <c r="P648" s="49"/>
      <c r="Q648" s="49"/>
      <c r="R648" s="49"/>
      <c r="S648" s="49"/>
      <c r="T648" s="49"/>
      <c r="U648" s="49"/>
      <c r="V648" s="49"/>
      <c r="W648" s="49"/>
      <c r="X648" s="49"/>
      <c r="Y648" s="49"/>
      <c r="Z648" s="49"/>
      <c r="AA648" s="49"/>
      <c r="AB648" s="49"/>
      <c r="AC648" s="49"/>
    </row>
    <row r="649" spans="1:29">
      <c r="A649" s="62" t="s">
        <v>746</v>
      </c>
      <c r="B649" s="61" t="s">
        <v>747</v>
      </c>
      <c r="C649" s="271">
        <v>1781</v>
      </c>
      <c r="D649" s="364">
        <v>844</v>
      </c>
      <c r="E649" s="274">
        <f t="shared" si="66"/>
        <v>0.52610892756878158</v>
      </c>
      <c r="F649" s="196">
        <f t="shared" si="63"/>
        <v>31.70908</v>
      </c>
      <c r="G649" s="196">
        <f t="shared" si="64"/>
        <v>25.0246</v>
      </c>
      <c r="H649" s="199">
        <f t="shared" si="65"/>
        <v>21.125319999999999</v>
      </c>
      <c r="J649" s="184"/>
      <c r="K649" s="183"/>
      <c r="L649" s="49"/>
      <c r="M649" s="49"/>
      <c r="N649" s="49"/>
      <c r="O649" s="49"/>
      <c r="P649" s="49"/>
      <c r="Q649" s="49"/>
      <c r="R649" s="49"/>
      <c r="S649" s="49"/>
      <c r="T649" s="49"/>
      <c r="U649" s="49"/>
      <c r="V649" s="49"/>
      <c r="W649" s="49"/>
      <c r="X649" s="49"/>
      <c r="Y649" s="49"/>
      <c r="Z649" s="49"/>
      <c r="AA649" s="49"/>
      <c r="AB649" s="49"/>
      <c r="AC649" s="49"/>
    </row>
    <row r="650" spans="1:29">
      <c r="A650" s="62" t="s">
        <v>707</v>
      </c>
      <c r="B650" s="61" t="s">
        <v>108</v>
      </c>
      <c r="C650" s="271">
        <v>500</v>
      </c>
      <c r="D650" s="364">
        <v>237</v>
      </c>
      <c r="E650" s="274">
        <f t="shared" si="66"/>
        <v>0.52600000000000002</v>
      </c>
      <c r="F650" s="196">
        <f t="shared" si="63"/>
        <v>8.9040900000000001</v>
      </c>
      <c r="G650" s="196">
        <f t="shared" si="64"/>
        <v>7.02705</v>
      </c>
      <c r="H650" s="199">
        <f t="shared" si="65"/>
        <v>5.9321099999999998</v>
      </c>
      <c r="J650" s="184"/>
      <c r="K650" s="183"/>
      <c r="L650" s="49"/>
      <c r="M650" s="49"/>
      <c r="N650" s="49"/>
      <c r="O650" s="49"/>
      <c r="P650" s="49"/>
      <c r="Q650" s="49"/>
      <c r="R650" s="49"/>
      <c r="S650" s="49"/>
      <c r="T650" s="49"/>
      <c r="U650" s="49"/>
      <c r="V650" s="49"/>
      <c r="W650" s="49"/>
      <c r="X650" s="49"/>
      <c r="Y650" s="49"/>
      <c r="Z650" s="49"/>
      <c r="AA650" s="49"/>
      <c r="AB650" s="49"/>
      <c r="AC650" s="49"/>
    </row>
    <row r="651" spans="1:29">
      <c r="A651" s="62" t="s">
        <v>748</v>
      </c>
      <c r="B651" s="61" t="s">
        <v>749</v>
      </c>
      <c r="C651" s="271">
        <v>1855</v>
      </c>
      <c r="D651" s="364">
        <v>879</v>
      </c>
      <c r="E651" s="274">
        <f t="shared" si="66"/>
        <v>0.52614555256064688</v>
      </c>
      <c r="F651" s="196">
        <f t="shared" si="63"/>
        <v>33.024029999999996</v>
      </c>
      <c r="G651" s="196">
        <f t="shared" si="64"/>
        <v>26.062349999999999</v>
      </c>
      <c r="H651" s="199">
        <f t="shared" si="65"/>
        <v>22.001370000000001</v>
      </c>
      <c r="J651" s="184"/>
      <c r="K651" s="183"/>
      <c r="L651" s="49"/>
      <c r="M651" s="49"/>
      <c r="N651" s="49"/>
      <c r="O651" s="49"/>
      <c r="P651" s="49"/>
      <c r="Q651" s="49"/>
      <c r="R651" s="49"/>
      <c r="S651" s="49"/>
      <c r="T651" s="49"/>
      <c r="U651" s="49"/>
      <c r="V651" s="49"/>
      <c r="W651" s="49"/>
      <c r="X651" s="49"/>
      <c r="Y651" s="49"/>
      <c r="Z651" s="49"/>
      <c r="AA651" s="49"/>
      <c r="AB651" s="49"/>
      <c r="AC651" s="49"/>
    </row>
    <row r="652" spans="1:29">
      <c r="A652" s="62" t="s">
        <v>750</v>
      </c>
      <c r="B652" s="61" t="s">
        <v>751</v>
      </c>
      <c r="C652" s="271">
        <v>3305</v>
      </c>
      <c r="D652" s="364">
        <v>1566</v>
      </c>
      <c r="E652" s="274">
        <f t="shared" si="66"/>
        <v>0.52617246596066569</v>
      </c>
      <c r="F652" s="196">
        <f t="shared" si="63"/>
        <v>58.834620000000001</v>
      </c>
      <c r="G652" s="196">
        <f t="shared" si="64"/>
        <v>46.431899999999999</v>
      </c>
      <c r="H652" s="199">
        <f t="shared" si="65"/>
        <v>39.196980000000003</v>
      </c>
      <c r="J652" s="184"/>
      <c r="K652" s="183"/>
      <c r="L652" s="49"/>
      <c r="M652" s="49"/>
      <c r="N652" s="49"/>
      <c r="O652" s="49"/>
      <c r="P652" s="49"/>
      <c r="Q652" s="49"/>
      <c r="R652" s="49"/>
      <c r="S652" s="49"/>
      <c r="T652" s="49"/>
      <c r="U652" s="49"/>
      <c r="V652" s="49"/>
      <c r="W652" s="49"/>
      <c r="X652" s="49"/>
      <c r="Y652" s="49"/>
      <c r="Z652" s="49"/>
      <c r="AA652" s="49"/>
      <c r="AB652" s="49"/>
      <c r="AC652" s="49"/>
    </row>
    <row r="653" spans="1:29">
      <c r="A653" s="62" t="s">
        <v>752</v>
      </c>
      <c r="B653" s="61" t="s">
        <v>110</v>
      </c>
      <c r="C653" s="271">
        <v>1553</v>
      </c>
      <c r="D653" s="364">
        <v>736</v>
      </c>
      <c r="E653" s="274">
        <f t="shared" si="66"/>
        <v>0.5260785576303928</v>
      </c>
      <c r="F653" s="196">
        <f t="shared" si="63"/>
        <v>27.651519999999998</v>
      </c>
      <c r="G653" s="196">
        <f t="shared" si="64"/>
        <v>21.822399999999998</v>
      </c>
      <c r="H653" s="199">
        <f t="shared" si="65"/>
        <v>18.422080000000001</v>
      </c>
      <c r="J653" s="184"/>
      <c r="K653" s="183"/>
      <c r="L653" s="49"/>
      <c r="M653" s="49"/>
      <c r="N653" s="49"/>
      <c r="O653" s="49"/>
      <c r="P653" s="49"/>
      <c r="Q653" s="49"/>
      <c r="R653" s="49"/>
      <c r="S653" s="49"/>
      <c r="T653" s="49"/>
      <c r="U653" s="49"/>
      <c r="V653" s="49"/>
      <c r="W653" s="49"/>
      <c r="X653" s="49"/>
      <c r="Y653" s="49"/>
      <c r="Z653" s="49"/>
      <c r="AA653" s="49"/>
      <c r="AB653" s="49"/>
      <c r="AC653" s="49"/>
    </row>
    <row r="654" spans="1:29">
      <c r="A654" s="62" t="s">
        <v>715</v>
      </c>
      <c r="B654" s="61" t="s">
        <v>112</v>
      </c>
      <c r="C654" s="271">
        <v>585</v>
      </c>
      <c r="D654" s="364">
        <v>278</v>
      </c>
      <c r="E654" s="274">
        <f t="shared" si="66"/>
        <v>0.52478632478632481</v>
      </c>
      <c r="F654" s="196">
        <f t="shared" si="63"/>
        <v>10.444459999999999</v>
      </c>
      <c r="G654" s="196">
        <f t="shared" si="64"/>
        <v>8.2426999999999992</v>
      </c>
      <c r="H654" s="199">
        <f t="shared" si="65"/>
        <v>6.9583399999999997</v>
      </c>
      <c r="L654" s="49"/>
      <c r="M654" s="49"/>
      <c r="N654" s="49"/>
      <c r="O654" s="49"/>
      <c r="P654" s="49"/>
      <c r="Q654" s="49"/>
      <c r="R654" s="49"/>
      <c r="S654" s="49"/>
      <c r="T654" s="49"/>
      <c r="U654" s="49"/>
      <c r="V654" s="49"/>
      <c r="W654" s="49"/>
      <c r="X654" s="49"/>
      <c r="Y654" s="49"/>
      <c r="Z654" s="49"/>
      <c r="AA654" s="49"/>
      <c r="AB654" s="49"/>
      <c r="AC654" s="49"/>
    </row>
    <row r="655" spans="1:29">
      <c r="A655" s="62" t="s">
        <v>113</v>
      </c>
      <c r="B655" s="61" t="s">
        <v>114</v>
      </c>
      <c r="C655" s="271">
        <v>586</v>
      </c>
      <c r="D655" s="364">
        <v>278</v>
      </c>
      <c r="E655" s="274">
        <f t="shared" si="66"/>
        <v>0.52559726962457343</v>
      </c>
      <c r="F655" s="196">
        <f t="shared" si="63"/>
        <v>10.444459999999999</v>
      </c>
      <c r="G655" s="196">
        <f t="shared" si="64"/>
        <v>8.2426999999999992</v>
      </c>
      <c r="H655" s="199">
        <f t="shared" si="65"/>
        <v>6.9583399999999997</v>
      </c>
      <c r="I655" s="49"/>
      <c r="J655" s="49"/>
      <c r="K655" s="49"/>
      <c r="L655" s="49"/>
      <c r="M655" s="49"/>
      <c r="N655" s="49"/>
      <c r="O655" s="49"/>
      <c r="P655" s="49"/>
      <c r="Q655" s="49"/>
      <c r="R655" s="49"/>
      <c r="S655" s="49"/>
      <c r="T655" s="49"/>
      <c r="U655" s="49"/>
      <c r="V655" s="49"/>
      <c r="W655" s="49"/>
      <c r="X655" s="49"/>
      <c r="Y655" s="49"/>
      <c r="Z655" s="49"/>
      <c r="AA655" s="49"/>
      <c r="AB655" s="49"/>
      <c r="AC655" s="49"/>
    </row>
    <row r="656" spans="1:29">
      <c r="A656" s="62" t="s">
        <v>753</v>
      </c>
      <c r="B656" s="61" t="s">
        <v>754</v>
      </c>
      <c r="C656" s="271">
        <v>1070</v>
      </c>
      <c r="D656" s="364">
        <v>507</v>
      </c>
      <c r="E656" s="274">
        <f t="shared" si="66"/>
        <v>0.5261682242990654</v>
      </c>
      <c r="F656" s="196">
        <f t="shared" si="63"/>
        <v>19.047989999999999</v>
      </c>
      <c r="G656" s="196">
        <f t="shared" si="64"/>
        <v>15.032549999999999</v>
      </c>
      <c r="H656" s="199">
        <f t="shared" si="65"/>
        <v>12.69021</v>
      </c>
      <c r="I656" s="49"/>
      <c r="J656" s="49"/>
      <c r="K656" s="49"/>
      <c r="L656" s="49"/>
      <c r="M656" s="49"/>
      <c r="N656" s="49"/>
      <c r="O656" s="49"/>
      <c r="P656" s="49"/>
      <c r="Q656" s="49"/>
      <c r="R656" s="49"/>
      <c r="S656" s="49"/>
      <c r="T656" s="49"/>
      <c r="U656" s="49"/>
      <c r="V656" s="49"/>
      <c r="W656" s="49"/>
      <c r="X656" s="49"/>
      <c r="Y656" s="49"/>
      <c r="Z656" s="49"/>
      <c r="AA656" s="49"/>
      <c r="AB656" s="49"/>
      <c r="AC656" s="49"/>
    </row>
    <row r="657" spans="1:29">
      <c r="A657" s="62" t="s">
        <v>755</v>
      </c>
      <c r="B657" s="61" t="s">
        <v>756</v>
      </c>
      <c r="C657" s="271">
        <v>1068</v>
      </c>
      <c r="D657" s="364">
        <v>506</v>
      </c>
      <c r="E657" s="274">
        <f t="shared" si="66"/>
        <v>0.52621722846441954</v>
      </c>
      <c r="F657" s="196">
        <f t="shared" si="63"/>
        <v>19.01042</v>
      </c>
      <c r="G657" s="196">
        <f t="shared" si="64"/>
        <v>15.0029</v>
      </c>
      <c r="H657" s="199">
        <f t="shared" si="65"/>
        <v>12.665179999999999</v>
      </c>
      <c r="I657" s="49"/>
      <c r="J657" s="49"/>
      <c r="K657" s="49"/>
      <c r="L657" s="49"/>
      <c r="M657" s="49"/>
      <c r="N657" s="49"/>
      <c r="O657" s="49"/>
      <c r="P657" s="49"/>
      <c r="Q657" s="49"/>
      <c r="R657" s="49"/>
      <c r="S657" s="49"/>
      <c r="T657" s="49"/>
      <c r="U657" s="49"/>
      <c r="V657" s="49"/>
      <c r="W657" s="49"/>
      <c r="X657" s="49"/>
      <c r="Y657" s="49"/>
      <c r="Z657" s="49"/>
      <c r="AA657" s="49"/>
      <c r="AB657" s="49"/>
      <c r="AC657" s="49"/>
    </row>
    <row r="658" spans="1:29">
      <c r="A658" s="79" t="s">
        <v>719</v>
      </c>
      <c r="B658" s="61" t="s">
        <v>117</v>
      </c>
      <c r="C658" s="271">
        <v>48</v>
      </c>
      <c r="D658" s="364">
        <v>23</v>
      </c>
      <c r="E658" s="274">
        <f t="shared" si="66"/>
        <v>0.52083333333333326</v>
      </c>
      <c r="F658" s="196">
        <f t="shared" ref="F658:F697" si="67">D658*$F$1</f>
        <v>0.86410999999999993</v>
      </c>
      <c r="G658" s="196">
        <f t="shared" si="64"/>
        <v>0.68194999999999995</v>
      </c>
      <c r="H658" s="199">
        <f t="shared" si="65"/>
        <v>0.57569000000000004</v>
      </c>
      <c r="I658" s="49"/>
      <c r="J658" s="49"/>
      <c r="K658" s="49"/>
      <c r="L658" s="49"/>
      <c r="M658" s="49"/>
      <c r="N658" s="49"/>
      <c r="O658" s="49"/>
      <c r="P658" s="49"/>
      <c r="Q658" s="49"/>
      <c r="R658" s="49"/>
      <c r="S658" s="49"/>
      <c r="T658" s="49"/>
      <c r="U658" s="49"/>
      <c r="V658" s="49"/>
      <c r="W658" s="49"/>
      <c r="X658" s="49"/>
      <c r="Y658" s="49"/>
      <c r="Z658" s="49"/>
      <c r="AA658" s="49"/>
      <c r="AB658" s="49"/>
      <c r="AC658" s="49"/>
    </row>
    <row r="659" spans="1:29">
      <c r="A659" s="79" t="s">
        <v>720</v>
      </c>
      <c r="B659" s="61" t="s">
        <v>118</v>
      </c>
      <c r="C659" s="271">
        <v>27</v>
      </c>
      <c r="D659" s="364">
        <v>13</v>
      </c>
      <c r="E659" s="274">
        <f t="shared" si="66"/>
        <v>0.5185185185185186</v>
      </c>
      <c r="F659" s="196">
        <f t="shared" si="67"/>
        <v>0.48841000000000001</v>
      </c>
      <c r="G659" s="196">
        <f t="shared" si="64"/>
        <v>0.38545000000000001</v>
      </c>
      <c r="H659" s="199">
        <f t="shared" si="65"/>
        <v>0.32539000000000001</v>
      </c>
      <c r="I659" s="49"/>
      <c r="J659" s="49"/>
      <c r="K659" s="49"/>
      <c r="L659" s="49"/>
      <c r="M659" s="49"/>
      <c r="N659" s="49"/>
      <c r="O659" s="49"/>
      <c r="P659" s="49"/>
      <c r="Q659" s="49"/>
      <c r="R659" s="49"/>
      <c r="S659" s="49"/>
      <c r="T659" s="49"/>
      <c r="U659" s="49"/>
      <c r="V659" s="49"/>
      <c r="W659" s="49"/>
      <c r="X659" s="49"/>
      <c r="Y659" s="49"/>
      <c r="Z659" s="49"/>
      <c r="AA659" s="49"/>
      <c r="AB659" s="49"/>
      <c r="AC659" s="49"/>
    </row>
    <row r="660" spans="1:29">
      <c r="A660" s="79" t="s">
        <v>757</v>
      </c>
      <c r="B660" s="61" t="s">
        <v>758</v>
      </c>
      <c r="C660" s="271">
        <v>120</v>
      </c>
      <c r="D660" s="364">
        <v>57</v>
      </c>
      <c r="E660" s="274">
        <f t="shared" si="66"/>
        <v>0.52500000000000002</v>
      </c>
      <c r="F660" s="196">
        <f t="shared" si="67"/>
        <v>2.1414900000000001</v>
      </c>
      <c r="G660" s="196">
        <f t="shared" si="64"/>
        <v>1.6900500000000001</v>
      </c>
      <c r="H660" s="199">
        <f t="shared" si="65"/>
        <v>1.4267099999999999</v>
      </c>
      <c r="I660" s="49"/>
      <c r="J660" s="49"/>
      <c r="K660" s="49"/>
      <c r="L660" s="49"/>
      <c r="M660" s="49"/>
      <c r="N660" s="49"/>
      <c r="O660" s="49"/>
      <c r="P660" s="49"/>
      <c r="Q660" s="49"/>
      <c r="R660" s="49"/>
      <c r="S660" s="49"/>
      <c r="T660" s="49"/>
      <c r="U660" s="49"/>
      <c r="V660" s="49"/>
      <c r="W660" s="49"/>
      <c r="X660" s="49"/>
      <c r="Y660" s="49"/>
      <c r="Z660" s="49"/>
      <c r="AA660" s="49"/>
      <c r="AB660" s="49"/>
      <c r="AC660" s="49"/>
    </row>
    <row r="661" spans="1:29">
      <c r="A661" s="79" t="s">
        <v>759</v>
      </c>
      <c r="B661" s="61" t="s">
        <v>760</v>
      </c>
      <c r="C661" s="271">
        <v>4158</v>
      </c>
      <c r="D661" s="364">
        <v>1969</v>
      </c>
      <c r="E661" s="274">
        <f t="shared" si="66"/>
        <v>0.52645502645502651</v>
      </c>
      <c r="F661" s="196">
        <f t="shared" si="67"/>
        <v>73.97533</v>
      </c>
      <c r="G661" s="196">
        <f t="shared" si="64"/>
        <v>58.380849999999995</v>
      </c>
      <c r="H661" s="199">
        <f t="shared" si="65"/>
        <v>49.28407</v>
      </c>
      <c r="I661" s="49"/>
      <c r="J661" s="49"/>
      <c r="K661" s="49"/>
      <c r="L661" s="49"/>
      <c r="M661" s="49"/>
      <c r="N661" s="49"/>
      <c r="O661" s="49"/>
      <c r="P661" s="49"/>
      <c r="Q661" s="49"/>
      <c r="R661" s="49"/>
      <c r="S661" s="49"/>
      <c r="T661" s="49"/>
      <c r="U661" s="49"/>
      <c r="V661" s="49"/>
      <c r="W661" s="49"/>
      <c r="X661" s="49"/>
      <c r="Y661" s="49"/>
      <c r="Z661" s="49"/>
      <c r="AA661" s="49"/>
      <c r="AB661" s="49"/>
      <c r="AC661" s="49"/>
    </row>
    <row r="662" spans="1:29">
      <c r="A662" s="79" t="s">
        <v>761</v>
      </c>
      <c r="B662" s="61" t="s">
        <v>762</v>
      </c>
      <c r="C662" s="271">
        <v>296</v>
      </c>
      <c r="D662" s="364">
        <v>141</v>
      </c>
      <c r="E662" s="274">
        <f t="shared" si="66"/>
        <v>0.52364864864864868</v>
      </c>
      <c r="F662" s="196">
        <f t="shared" si="67"/>
        <v>5.2973699999999999</v>
      </c>
      <c r="G662" s="196">
        <f t="shared" si="64"/>
        <v>4.18065</v>
      </c>
      <c r="H662" s="199">
        <f t="shared" si="65"/>
        <v>3.5292300000000001</v>
      </c>
      <c r="I662" s="49"/>
      <c r="J662" s="49"/>
      <c r="K662" s="49"/>
      <c r="L662" s="49"/>
      <c r="M662" s="49"/>
      <c r="N662" s="49"/>
      <c r="O662" s="49"/>
      <c r="P662" s="49"/>
      <c r="Q662" s="49"/>
      <c r="R662" s="49"/>
      <c r="S662" s="49"/>
      <c r="T662" s="49"/>
      <c r="U662" s="49"/>
      <c r="V662" s="49"/>
      <c r="W662" s="49"/>
      <c r="X662" s="49"/>
      <c r="Y662" s="49"/>
      <c r="Z662" s="49"/>
      <c r="AA662" s="49"/>
      <c r="AB662" s="49"/>
      <c r="AC662" s="49"/>
    </row>
    <row r="663" spans="1:29">
      <c r="A663" s="79" t="s">
        <v>763</v>
      </c>
      <c r="B663" s="61" t="s">
        <v>290</v>
      </c>
      <c r="C663" s="271">
        <v>875</v>
      </c>
      <c r="D663" s="364">
        <v>415</v>
      </c>
      <c r="E663" s="274">
        <f t="shared" si="66"/>
        <v>0.52571428571428569</v>
      </c>
      <c r="F663" s="196">
        <f t="shared" si="67"/>
        <v>15.59155</v>
      </c>
      <c r="G663" s="196">
        <f t="shared" si="64"/>
        <v>12.30475</v>
      </c>
      <c r="H663" s="199">
        <f t="shared" si="65"/>
        <v>10.387449999999999</v>
      </c>
      <c r="I663" s="49"/>
      <c r="J663" s="49"/>
      <c r="K663" s="49"/>
      <c r="L663" s="49"/>
      <c r="M663" s="49"/>
      <c r="N663" s="49"/>
      <c r="O663" s="49"/>
      <c r="P663" s="49"/>
      <c r="Q663" s="49"/>
      <c r="R663" s="49"/>
      <c r="S663" s="49"/>
      <c r="T663" s="49"/>
      <c r="U663" s="49"/>
      <c r="V663" s="49"/>
      <c r="W663" s="49"/>
      <c r="X663" s="49"/>
      <c r="Y663" s="49"/>
      <c r="Z663" s="49"/>
      <c r="AA663" s="49"/>
      <c r="AB663" s="49"/>
      <c r="AC663" s="49"/>
    </row>
    <row r="664" spans="1:29">
      <c r="A664" s="79" t="s">
        <v>764</v>
      </c>
      <c r="B664" s="61" t="s">
        <v>291</v>
      </c>
      <c r="C664" s="271">
        <v>875</v>
      </c>
      <c r="D664" s="364">
        <v>415</v>
      </c>
      <c r="E664" s="274">
        <f t="shared" si="66"/>
        <v>0.52571428571428569</v>
      </c>
      <c r="F664" s="196">
        <f t="shared" si="67"/>
        <v>15.59155</v>
      </c>
      <c r="G664" s="196">
        <f t="shared" si="64"/>
        <v>12.30475</v>
      </c>
      <c r="H664" s="199">
        <f t="shared" si="65"/>
        <v>10.387449999999999</v>
      </c>
      <c r="I664" s="49"/>
      <c r="J664" s="49"/>
      <c r="K664" s="49"/>
      <c r="L664" s="49"/>
      <c r="M664" s="49"/>
      <c r="N664" s="49"/>
      <c r="O664" s="49"/>
      <c r="P664" s="49"/>
      <c r="Q664" s="49"/>
      <c r="R664" s="49"/>
      <c r="S664" s="49"/>
      <c r="T664" s="49"/>
      <c r="U664" s="49"/>
      <c r="V664" s="49"/>
      <c r="W664" s="49"/>
      <c r="X664" s="49"/>
      <c r="Y664" s="49"/>
      <c r="Z664" s="49"/>
      <c r="AA664" s="49"/>
      <c r="AB664" s="49"/>
      <c r="AC664" s="49"/>
    </row>
    <row r="665" spans="1:29">
      <c r="A665" s="79" t="s">
        <v>597</v>
      </c>
      <c r="B665" s="61" t="s">
        <v>292</v>
      </c>
      <c r="C665" s="271">
        <v>1348</v>
      </c>
      <c r="D665" s="364">
        <v>639</v>
      </c>
      <c r="E665" s="274">
        <f t="shared" si="66"/>
        <v>0.52596439169139464</v>
      </c>
      <c r="F665" s="196">
        <f t="shared" si="67"/>
        <v>24.00723</v>
      </c>
      <c r="G665" s="196">
        <f t="shared" ref="G665:G697" si="68">D665*$G$1</f>
        <v>18.946349999999999</v>
      </c>
      <c r="H665" s="199">
        <f t="shared" ref="H665:H697" si="69">D665*$H$1</f>
        <v>15.99417</v>
      </c>
      <c r="I665" s="49"/>
      <c r="J665" s="49"/>
      <c r="K665" s="49"/>
      <c r="L665" s="49"/>
      <c r="M665" s="49"/>
      <c r="N665" s="49"/>
      <c r="O665" s="49"/>
      <c r="P665" s="49"/>
      <c r="Q665" s="49"/>
      <c r="R665" s="49"/>
      <c r="S665" s="49"/>
      <c r="T665" s="49"/>
      <c r="U665" s="49"/>
      <c r="V665" s="49"/>
      <c r="W665" s="49"/>
      <c r="X665" s="49"/>
      <c r="Y665" s="49"/>
      <c r="Z665" s="49"/>
      <c r="AA665" s="49"/>
      <c r="AB665" s="49"/>
      <c r="AC665" s="49"/>
    </row>
    <row r="666" spans="1:29">
      <c r="A666" s="79" t="s">
        <v>765</v>
      </c>
      <c r="B666" s="61" t="s">
        <v>293</v>
      </c>
      <c r="C666" s="271">
        <v>2650</v>
      </c>
      <c r="D666" s="364">
        <v>1255</v>
      </c>
      <c r="E666" s="274">
        <f t="shared" si="66"/>
        <v>0.52641509433962264</v>
      </c>
      <c r="F666" s="196">
        <f t="shared" si="67"/>
        <v>47.150349999999996</v>
      </c>
      <c r="G666" s="196">
        <f t="shared" si="68"/>
        <v>37.210749999999997</v>
      </c>
      <c r="H666" s="199">
        <f t="shared" si="69"/>
        <v>31.412649999999999</v>
      </c>
      <c r="I666" s="49"/>
      <c r="J666" s="49"/>
      <c r="K666" s="49"/>
      <c r="L666" s="49"/>
      <c r="M666" s="49"/>
      <c r="N666" s="49"/>
      <c r="O666" s="49"/>
      <c r="P666" s="49"/>
      <c r="Q666" s="49"/>
      <c r="R666" s="49"/>
      <c r="S666" s="49"/>
      <c r="T666" s="49"/>
      <c r="U666" s="49"/>
      <c r="V666" s="49"/>
      <c r="W666" s="49"/>
      <c r="X666" s="49"/>
      <c r="Y666" s="49"/>
      <c r="Z666" s="49"/>
      <c r="AA666" s="49"/>
      <c r="AB666" s="49"/>
      <c r="AC666" s="49"/>
    </row>
    <row r="667" spans="1:29">
      <c r="A667" s="63" t="s">
        <v>766</v>
      </c>
      <c r="B667" s="61" t="s">
        <v>294</v>
      </c>
      <c r="C667" s="271">
        <v>1166</v>
      </c>
      <c r="D667" s="364">
        <v>553</v>
      </c>
      <c r="E667" s="274">
        <f t="shared" si="66"/>
        <v>0.52572898799313894</v>
      </c>
      <c r="F667" s="196">
        <f t="shared" si="67"/>
        <v>20.776209999999999</v>
      </c>
      <c r="G667" s="196">
        <f t="shared" si="68"/>
        <v>16.396449999999998</v>
      </c>
      <c r="H667" s="199">
        <f t="shared" si="69"/>
        <v>13.84159</v>
      </c>
      <c r="I667" s="49"/>
      <c r="J667" s="49"/>
      <c r="K667" s="49"/>
      <c r="L667" s="49"/>
      <c r="M667" s="49"/>
      <c r="N667" s="49"/>
      <c r="O667" s="49"/>
      <c r="P667" s="49"/>
      <c r="Q667" s="49"/>
      <c r="R667" s="49"/>
      <c r="S667" s="49"/>
      <c r="T667" s="49"/>
      <c r="U667" s="49"/>
      <c r="V667" s="49"/>
      <c r="W667" s="49"/>
      <c r="X667" s="49"/>
      <c r="Y667" s="49"/>
      <c r="Z667" s="49"/>
      <c r="AA667" s="49"/>
      <c r="AB667" s="49"/>
      <c r="AC667" s="49"/>
    </row>
    <row r="668" spans="1:29">
      <c r="A668" s="62" t="s">
        <v>767</v>
      </c>
      <c r="B668" s="61" t="s">
        <v>295</v>
      </c>
      <c r="C668" s="271">
        <v>3179</v>
      </c>
      <c r="D668" s="364">
        <v>1506</v>
      </c>
      <c r="E668" s="274">
        <f t="shared" si="66"/>
        <v>0.52626612142183071</v>
      </c>
      <c r="F668" s="196">
        <f t="shared" si="67"/>
        <v>56.580419999999997</v>
      </c>
      <c r="G668" s="196">
        <f t="shared" si="68"/>
        <v>44.652899999999995</v>
      </c>
      <c r="H668" s="199">
        <f t="shared" si="69"/>
        <v>37.695180000000001</v>
      </c>
      <c r="I668" s="49"/>
      <c r="J668" s="49"/>
      <c r="K668" s="49"/>
      <c r="L668" s="49"/>
      <c r="M668" s="49"/>
      <c r="N668" s="49"/>
      <c r="O668" s="49"/>
      <c r="P668" s="49"/>
      <c r="Q668" s="49"/>
      <c r="R668" s="49"/>
      <c r="S668" s="49"/>
      <c r="T668" s="49"/>
      <c r="U668" s="49"/>
      <c r="V668" s="49"/>
      <c r="W668" s="49"/>
      <c r="X668" s="49"/>
      <c r="Y668" s="49"/>
      <c r="Z668" s="49"/>
      <c r="AA668" s="49"/>
      <c r="AB668" s="49"/>
      <c r="AC668" s="49"/>
    </row>
    <row r="669" spans="1:29" ht="30">
      <c r="A669" s="62" t="s">
        <v>594</v>
      </c>
      <c r="B669" s="61" t="s">
        <v>296</v>
      </c>
      <c r="C669" s="271">
        <v>3400</v>
      </c>
      <c r="D669" s="364">
        <v>1610</v>
      </c>
      <c r="E669" s="274">
        <f t="shared" si="66"/>
        <v>0.52647058823529413</v>
      </c>
      <c r="F669" s="196">
        <f t="shared" si="67"/>
        <v>60.487699999999997</v>
      </c>
      <c r="G669" s="196">
        <f t="shared" si="68"/>
        <v>47.736499999999999</v>
      </c>
      <c r="H669" s="199">
        <f t="shared" si="69"/>
        <v>40.298299999999998</v>
      </c>
      <c r="I669" s="49"/>
      <c r="J669" s="49"/>
      <c r="K669" s="49"/>
      <c r="L669" s="49"/>
      <c r="M669" s="49"/>
      <c r="N669" s="49"/>
      <c r="O669" s="49"/>
      <c r="P669" s="49"/>
      <c r="Q669" s="49"/>
      <c r="R669" s="49"/>
      <c r="S669" s="49"/>
      <c r="T669" s="49"/>
      <c r="U669" s="49"/>
      <c r="V669" s="49"/>
      <c r="W669" s="49"/>
      <c r="X669" s="49"/>
      <c r="Y669" s="49"/>
      <c r="Z669" s="49"/>
      <c r="AA669" s="49"/>
      <c r="AB669" s="49"/>
      <c r="AC669" s="49"/>
    </row>
    <row r="670" spans="1:29">
      <c r="A670" s="62" t="s">
        <v>512</v>
      </c>
      <c r="B670" s="61" t="s">
        <v>768</v>
      </c>
      <c r="C670" s="271">
        <v>5300</v>
      </c>
      <c r="D670" s="364">
        <v>3088.86</v>
      </c>
      <c r="E670" s="274">
        <f t="shared" si="66"/>
        <v>0.41719622641509435</v>
      </c>
      <c r="F670" s="196">
        <f t="shared" si="67"/>
        <v>116.0484702</v>
      </c>
      <c r="G670" s="196">
        <f t="shared" si="68"/>
        <v>91.584699000000001</v>
      </c>
      <c r="H670" s="199">
        <f t="shared" si="69"/>
        <v>77.314165799999998</v>
      </c>
      <c r="I670" s="49"/>
      <c r="J670" s="49"/>
      <c r="K670" s="49"/>
      <c r="L670" s="49"/>
      <c r="M670" s="49"/>
      <c r="N670" s="49"/>
      <c r="O670" s="49"/>
      <c r="P670" s="49"/>
      <c r="Q670" s="49"/>
      <c r="R670" s="49"/>
      <c r="S670" s="49"/>
      <c r="T670" s="49"/>
      <c r="U670" s="49"/>
      <c r="V670" s="49"/>
      <c r="W670" s="49"/>
      <c r="X670" s="49"/>
      <c r="Y670" s="49"/>
      <c r="Z670" s="49"/>
      <c r="AA670" s="49"/>
      <c r="AB670" s="49"/>
      <c r="AC670" s="49"/>
    </row>
    <row r="671" spans="1:29" ht="30">
      <c r="A671" s="62" t="s">
        <v>769</v>
      </c>
      <c r="B671" s="61" t="s">
        <v>127</v>
      </c>
      <c r="C671" s="271">
        <v>1100</v>
      </c>
      <c r="D671" s="364">
        <v>521</v>
      </c>
      <c r="E671" s="274">
        <f t="shared" si="66"/>
        <v>0.52636363636363637</v>
      </c>
      <c r="F671" s="196">
        <f t="shared" si="67"/>
        <v>19.573969999999999</v>
      </c>
      <c r="G671" s="196">
        <f t="shared" si="68"/>
        <v>15.447649999999999</v>
      </c>
      <c r="H671" s="199">
        <f t="shared" si="69"/>
        <v>13.04063</v>
      </c>
      <c r="I671" s="49"/>
      <c r="J671" s="49"/>
      <c r="K671" s="49"/>
      <c r="L671" s="49"/>
      <c r="M671" s="49"/>
      <c r="N671" s="49"/>
      <c r="O671" s="49"/>
      <c r="P671" s="49"/>
      <c r="Q671" s="49"/>
      <c r="R671" s="49"/>
      <c r="S671" s="49"/>
      <c r="T671" s="49"/>
      <c r="U671" s="49"/>
      <c r="V671" s="49"/>
      <c r="W671" s="49"/>
      <c r="X671" s="49"/>
      <c r="Y671" s="49"/>
      <c r="Z671" s="49"/>
      <c r="AA671" s="49"/>
      <c r="AB671" s="49"/>
      <c r="AC671" s="49"/>
    </row>
    <row r="672" spans="1:29">
      <c r="A672" s="62" t="s">
        <v>770</v>
      </c>
      <c r="B672" s="61" t="s">
        <v>129</v>
      </c>
      <c r="C672" s="271">
        <v>785</v>
      </c>
      <c r="D672" s="364">
        <v>372</v>
      </c>
      <c r="E672" s="274">
        <f t="shared" si="66"/>
        <v>0.52611464968152866</v>
      </c>
      <c r="F672" s="196">
        <f t="shared" si="67"/>
        <v>13.976039999999999</v>
      </c>
      <c r="G672" s="196">
        <f t="shared" si="68"/>
        <v>11.0298</v>
      </c>
      <c r="H672" s="199">
        <f t="shared" si="69"/>
        <v>9.3111599999999992</v>
      </c>
      <c r="I672" s="49"/>
      <c r="J672" s="49"/>
      <c r="K672" s="49"/>
      <c r="L672" s="49"/>
      <c r="M672" s="49"/>
      <c r="N672" s="49"/>
      <c r="O672" s="49"/>
      <c r="P672" s="49"/>
      <c r="Q672" s="49"/>
      <c r="R672" s="49"/>
      <c r="S672" s="49"/>
      <c r="T672" s="49"/>
      <c r="U672" s="49"/>
      <c r="V672" s="49"/>
      <c r="W672" s="49"/>
      <c r="X672" s="49"/>
      <c r="Y672" s="49"/>
      <c r="Z672" s="49"/>
      <c r="AA672" s="49"/>
      <c r="AB672" s="49"/>
      <c r="AC672" s="49"/>
    </row>
    <row r="673" spans="1:29">
      <c r="A673" s="62" t="s">
        <v>721</v>
      </c>
      <c r="B673" s="61" t="s">
        <v>771</v>
      </c>
      <c r="C673" s="271">
        <v>668</v>
      </c>
      <c r="D673" s="364">
        <v>317</v>
      </c>
      <c r="E673" s="274">
        <f t="shared" si="66"/>
        <v>0.52544910179640714</v>
      </c>
      <c r="F673" s="196">
        <f t="shared" si="67"/>
        <v>11.909689999999999</v>
      </c>
      <c r="G673" s="196">
        <f t="shared" si="68"/>
        <v>9.399049999999999</v>
      </c>
      <c r="H673" s="199">
        <f t="shared" si="69"/>
        <v>7.9345100000000004</v>
      </c>
      <c r="I673" s="49"/>
      <c r="J673" s="49"/>
      <c r="K673" s="49"/>
      <c r="L673" s="49"/>
      <c r="M673" s="49"/>
      <c r="N673" s="49"/>
      <c r="O673" s="49"/>
      <c r="P673" s="49"/>
      <c r="Q673" s="49"/>
      <c r="R673" s="49"/>
      <c r="S673" s="49"/>
      <c r="T673" s="49"/>
      <c r="U673" s="49"/>
      <c r="V673" s="49"/>
      <c r="W673" s="49"/>
      <c r="X673" s="49"/>
      <c r="Y673" s="49"/>
      <c r="Z673" s="49"/>
      <c r="AA673" s="49"/>
      <c r="AB673" s="49"/>
      <c r="AC673" s="49"/>
    </row>
    <row r="674" spans="1:29">
      <c r="A674" s="62" t="s">
        <v>772</v>
      </c>
      <c r="B674" s="61" t="s">
        <v>133</v>
      </c>
      <c r="C674" s="271">
        <v>821</v>
      </c>
      <c r="D674" s="364">
        <v>389</v>
      </c>
      <c r="E674" s="274">
        <f t="shared" si="66"/>
        <v>0.52618757612667477</v>
      </c>
      <c r="F674" s="196">
        <f t="shared" si="67"/>
        <v>14.61473</v>
      </c>
      <c r="G674" s="196">
        <f t="shared" si="68"/>
        <v>11.533849999999999</v>
      </c>
      <c r="H674" s="199">
        <f t="shared" si="69"/>
        <v>9.7366700000000002</v>
      </c>
      <c r="I674" s="49"/>
      <c r="J674" s="49"/>
      <c r="K674" s="49"/>
      <c r="L674" s="49"/>
      <c r="M674" s="49"/>
      <c r="N674" s="49"/>
      <c r="O674" s="49"/>
      <c r="P674" s="49"/>
      <c r="Q674" s="49"/>
      <c r="R674" s="49"/>
      <c r="S674" s="49"/>
      <c r="T674" s="49"/>
      <c r="U674" s="49"/>
      <c r="V674" s="49"/>
      <c r="W674" s="49"/>
      <c r="X674" s="49"/>
      <c r="Y674" s="49"/>
      <c r="Z674" s="49"/>
      <c r="AA674" s="49"/>
      <c r="AB674" s="49"/>
      <c r="AC674" s="49"/>
    </row>
    <row r="675" spans="1:29">
      <c r="A675" s="62" t="s">
        <v>773</v>
      </c>
      <c r="B675" s="61" t="s">
        <v>135</v>
      </c>
      <c r="C675" s="271">
        <v>690</v>
      </c>
      <c r="D675" s="364">
        <v>327</v>
      </c>
      <c r="E675" s="274">
        <f t="shared" si="66"/>
        <v>0.5260869565217392</v>
      </c>
      <c r="F675" s="196">
        <f t="shared" si="67"/>
        <v>12.28539</v>
      </c>
      <c r="G675" s="196">
        <f t="shared" si="68"/>
        <v>9.695549999999999</v>
      </c>
      <c r="H675" s="199">
        <f t="shared" si="69"/>
        <v>8.1848100000000006</v>
      </c>
      <c r="I675" s="49"/>
      <c r="J675" s="49"/>
      <c r="K675" s="49"/>
      <c r="L675" s="49"/>
      <c r="M675" s="49"/>
      <c r="N675" s="49"/>
      <c r="O675" s="49"/>
      <c r="P675" s="49"/>
      <c r="Q675" s="49"/>
      <c r="R675" s="49"/>
      <c r="S675" s="49"/>
      <c r="T675" s="49"/>
      <c r="U675" s="49"/>
      <c r="V675" s="49"/>
      <c r="W675" s="49"/>
      <c r="X675" s="49"/>
      <c r="Y675" s="49"/>
      <c r="Z675" s="49"/>
      <c r="AA675" s="49"/>
      <c r="AB675" s="49"/>
      <c r="AC675" s="49"/>
    </row>
    <row r="676" spans="1:29">
      <c r="A676" s="79" t="s">
        <v>774</v>
      </c>
      <c r="B676" s="61" t="s">
        <v>137</v>
      </c>
      <c r="C676" s="271">
        <v>191</v>
      </c>
      <c r="D676" s="364">
        <v>91</v>
      </c>
      <c r="E676" s="274">
        <f t="shared" si="66"/>
        <v>0.52356020942408377</v>
      </c>
      <c r="F676" s="196">
        <f t="shared" si="67"/>
        <v>3.4188700000000001</v>
      </c>
      <c r="G676" s="196">
        <f t="shared" si="68"/>
        <v>2.69815</v>
      </c>
      <c r="H676" s="199">
        <f t="shared" si="69"/>
        <v>2.27773</v>
      </c>
      <c r="I676" s="49"/>
      <c r="J676" s="49"/>
      <c r="K676" s="49"/>
      <c r="L676" s="49"/>
      <c r="M676" s="49"/>
      <c r="N676" s="49"/>
      <c r="O676" s="49"/>
      <c r="P676" s="49"/>
      <c r="Q676" s="49"/>
      <c r="R676" s="49"/>
      <c r="S676" s="49"/>
      <c r="T676" s="49"/>
      <c r="U676" s="49"/>
      <c r="V676" s="49"/>
      <c r="W676" s="49"/>
      <c r="X676" s="49"/>
      <c r="Y676" s="49"/>
      <c r="Z676" s="49"/>
      <c r="AA676" s="49"/>
      <c r="AB676" s="49"/>
      <c r="AC676" s="49"/>
    </row>
    <row r="677" spans="1:29" ht="30">
      <c r="A677" s="62" t="s">
        <v>723</v>
      </c>
      <c r="B677" s="61" t="s">
        <v>775</v>
      </c>
      <c r="C677" s="271">
        <v>1500</v>
      </c>
      <c r="D677" s="364">
        <v>711</v>
      </c>
      <c r="E677" s="274">
        <f t="shared" si="66"/>
        <v>0.52600000000000002</v>
      </c>
      <c r="F677" s="196">
        <f t="shared" si="67"/>
        <v>26.71227</v>
      </c>
      <c r="G677" s="196">
        <f t="shared" si="68"/>
        <v>21.081150000000001</v>
      </c>
      <c r="H677" s="199">
        <f t="shared" si="69"/>
        <v>17.796330000000001</v>
      </c>
      <c r="I677" s="49"/>
      <c r="J677" s="49"/>
      <c r="K677" s="49"/>
      <c r="L677" s="49"/>
      <c r="M677" s="49"/>
      <c r="N677" s="49"/>
      <c r="O677" s="49"/>
      <c r="P677" s="49"/>
      <c r="Q677" s="49"/>
      <c r="R677" s="49"/>
      <c r="S677" s="49"/>
      <c r="T677" s="49"/>
      <c r="U677" s="49"/>
      <c r="V677" s="49"/>
      <c r="W677" s="49"/>
      <c r="X677" s="49"/>
      <c r="Y677" s="49"/>
      <c r="Z677" s="49"/>
      <c r="AA677" s="49"/>
      <c r="AB677" s="49"/>
      <c r="AC677" s="49"/>
    </row>
    <row r="678" spans="1:29">
      <c r="A678" s="62" t="s">
        <v>776</v>
      </c>
      <c r="B678" s="61" t="s">
        <v>141</v>
      </c>
      <c r="C678" s="271">
        <v>250</v>
      </c>
      <c r="D678" s="364">
        <v>119</v>
      </c>
      <c r="E678" s="274">
        <f t="shared" si="66"/>
        <v>0.52400000000000002</v>
      </c>
      <c r="F678" s="196">
        <f t="shared" si="67"/>
        <v>4.4708300000000003</v>
      </c>
      <c r="G678" s="196">
        <f t="shared" si="68"/>
        <v>3.5283500000000001</v>
      </c>
      <c r="H678" s="199">
        <f t="shared" si="69"/>
        <v>2.9785699999999999</v>
      </c>
      <c r="I678" s="49"/>
      <c r="J678" s="49"/>
      <c r="K678" s="49"/>
      <c r="L678" s="49"/>
      <c r="M678" s="49"/>
      <c r="N678" s="49"/>
      <c r="O678" s="49"/>
      <c r="P678" s="49"/>
      <c r="Q678" s="49"/>
      <c r="R678" s="49"/>
      <c r="S678" s="49"/>
      <c r="T678" s="49"/>
      <c r="U678" s="49"/>
      <c r="V678" s="49"/>
      <c r="W678" s="49"/>
      <c r="X678" s="49"/>
      <c r="Y678" s="49"/>
      <c r="Z678" s="49"/>
      <c r="AA678" s="49"/>
      <c r="AB678" s="49"/>
      <c r="AC678" s="49"/>
    </row>
    <row r="679" spans="1:29">
      <c r="A679" s="62" t="s">
        <v>725</v>
      </c>
      <c r="B679" s="61" t="s">
        <v>155</v>
      </c>
      <c r="C679" s="271">
        <v>223</v>
      </c>
      <c r="D679" s="364">
        <v>106</v>
      </c>
      <c r="E679" s="274">
        <f t="shared" si="66"/>
        <v>0.5246636771300448</v>
      </c>
      <c r="F679" s="196">
        <f t="shared" si="67"/>
        <v>3.9824199999999998</v>
      </c>
      <c r="G679" s="196">
        <f t="shared" si="68"/>
        <v>3.1429</v>
      </c>
      <c r="H679" s="199">
        <f t="shared" si="69"/>
        <v>2.6531799999999999</v>
      </c>
      <c r="I679" s="49"/>
      <c r="J679" s="49"/>
      <c r="K679" s="49"/>
      <c r="L679" s="49"/>
      <c r="M679" s="49"/>
      <c r="N679" s="49"/>
      <c r="O679" s="49"/>
      <c r="P679" s="49"/>
      <c r="Q679" s="49"/>
      <c r="R679" s="49"/>
      <c r="S679" s="49"/>
      <c r="T679" s="49"/>
      <c r="U679" s="49"/>
      <c r="V679" s="49"/>
      <c r="W679" s="49"/>
      <c r="X679" s="49"/>
      <c r="Y679" s="49"/>
      <c r="Z679" s="49"/>
      <c r="AA679" s="49"/>
      <c r="AB679" s="49"/>
      <c r="AC679" s="49"/>
    </row>
    <row r="680" spans="1:29">
      <c r="A680" s="62" t="s">
        <v>158</v>
      </c>
      <c r="B680" s="61" t="s">
        <v>159</v>
      </c>
      <c r="C680" s="271">
        <v>123</v>
      </c>
      <c r="D680" s="364">
        <v>59</v>
      </c>
      <c r="E680" s="274">
        <f t="shared" si="66"/>
        <v>0.52032520325203246</v>
      </c>
      <c r="F680" s="196">
        <f t="shared" si="67"/>
        <v>2.2166299999999999</v>
      </c>
      <c r="G680" s="196">
        <f t="shared" si="68"/>
        <v>1.74935</v>
      </c>
      <c r="H680" s="199">
        <f t="shared" si="69"/>
        <v>1.4767699999999999</v>
      </c>
      <c r="I680" s="49"/>
      <c r="J680" s="49"/>
      <c r="K680" s="49"/>
      <c r="L680" s="49"/>
      <c r="M680" s="49"/>
      <c r="N680" s="49"/>
      <c r="O680" s="49"/>
      <c r="P680" s="49"/>
      <c r="Q680" s="49"/>
      <c r="R680" s="49"/>
      <c r="S680" s="49"/>
      <c r="T680" s="49"/>
      <c r="U680" s="49"/>
      <c r="V680" s="49"/>
      <c r="W680" s="49"/>
      <c r="X680" s="49"/>
      <c r="Y680" s="49"/>
      <c r="Z680" s="49"/>
      <c r="AA680" s="49"/>
      <c r="AB680" s="49"/>
      <c r="AC680" s="49"/>
    </row>
    <row r="681" spans="1:29">
      <c r="A681" s="62" t="s">
        <v>156</v>
      </c>
      <c r="B681" s="61" t="s">
        <v>777</v>
      </c>
      <c r="C681" s="271">
        <v>126</v>
      </c>
      <c r="D681" s="364">
        <v>60</v>
      </c>
      <c r="E681" s="274">
        <f t="shared" si="66"/>
        <v>0.52380952380952384</v>
      </c>
      <c r="F681" s="196">
        <f t="shared" si="67"/>
        <v>2.2542</v>
      </c>
      <c r="G681" s="196">
        <f t="shared" si="68"/>
        <v>1.7789999999999999</v>
      </c>
      <c r="H681" s="199">
        <f t="shared" si="69"/>
        <v>1.5018</v>
      </c>
      <c r="I681" s="49"/>
      <c r="J681" s="49"/>
      <c r="K681" s="49"/>
      <c r="L681" s="49"/>
      <c r="M681" s="49"/>
      <c r="N681" s="49"/>
      <c r="O681" s="49"/>
      <c r="P681" s="49"/>
      <c r="Q681" s="49"/>
      <c r="R681" s="49"/>
      <c r="S681" s="49"/>
      <c r="T681" s="49"/>
      <c r="U681" s="49"/>
      <c r="V681" s="49"/>
      <c r="W681" s="49"/>
      <c r="X681" s="49"/>
      <c r="Y681" s="49"/>
      <c r="Z681" s="49"/>
      <c r="AA681" s="49"/>
      <c r="AB681" s="49"/>
      <c r="AC681" s="49"/>
    </row>
    <row r="682" spans="1:29">
      <c r="A682" s="62" t="s">
        <v>728</v>
      </c>
      <c r="B682" s="61" t="s">
        <v>778</v>
      </c>
      <c r="C682" s="271">
        <v>200</v>
      </c>
      <c r="D682" s="364">
        <v>95</v>
      </c>
      <c r="E682" s="274">
        <f t="shared" si="66"/>
        <v>0.52500000000000002</v>
      </c>
      <c r="F682" s="196">
        <f t="shared" si="67"/>
        <v>3.56915</v>
      </c>
      <c r="G682" s="196">
        <f t="shared" si="68"/>
        <v>2.8167499999999999</v>
      </c>
      <c r="H682" s="199">
        <f t="shared" si="69"/>
        <v>2.37785</v>
      </c>
      <c r="I682" s="49"/>
      <c r="J682" s="49"/>
      <c r="K682" s="49"/>
      <c r="L682" s="49"/>
      <c r="M682" s="49"/>
      <c r="N682" s="49"/>
      <c r="O682" s="49"/>
      <c r="P682" s="49"/>
      <c r="Q682" s="49"/>
      <c r="R682" s="49"/>
      <c r="S682" s="49"/>
      <c r="T682" s="49"/>
      <c r="U682" s="49"/>
      <c r="V682" s="49"/>
      <c r="W682" s="49"/>
      <c r="X682" s="49"/>
      <c r="Y682" s="49"/>
      <c r="Z682" s="49"/>
      <c r="AA682" s="49"/>
      <c r="AB682" s="49"/>
      <c r="AC682" s="49"/>
    </row>
    <row r="683" spans="1:29">
      <c r="A683" s="62" t="s">
        <v>730</v>
      </c>
      <c r="B683" s="61" t="s">
        <v>779</v>
      </c>
      <c r="C683" s="271">
        <v>279</v>
      </c>
      <c r="D683" s="364">
        <v>133</v>
      </c>
      <c r="E683" s="274">
        <f t="shared" si="66"/>
        <v>0.52329749103942658</v>
      </c>
      <c r="F683" s="196">
        <f t="shared" si="67"/>
        <v>4.99681</v>
      </c>
      <c r="G683" s="196">
        <f t="shared" si="68"/>
        <v>3.9434499999999999</v>
      </c>
      <c r="H683" s="199">
        <f t="shared" si="69"/>
        <v>3.3289900000000001</v>
      </c>
      <c r="I683" s="49"/>
      <c r="J683" s="49"/>
      <c r="K683" s="49"/>
      <c r="L683" s="49"/>
      <c r="M683" s="49"/>
      <c r="N683" s="49"/>
      <c r="O683" s="49"/>
      <c r="P683" s="49"/>
      <c r="Q683" s="49"/>
      <c r="R683" s="49"/>
      <c r="S683" s="49"/>
      <c r="T683" s="49"/>
      <c r="U683" s="49"/>
      <c r="V683" s="49"/>
      <c r="W683" s="49"/>
      <c r="X683" s="49"/>
      <c r="Y683" s="49"/>
      <c r="Z683" s="49"/>
      <c r="AA683" s="49"/>
      <c r="AB683" s="49"/>
      <c r="AC683" s="49"/>
    </row>
    <row r="684" spans="1:29">
      <c r="A684" s="62" t="s">
        <v>160</v>
      </c>
      <c r="B684" s="61" t="s">
        <v>161</v>
      </c>
      <c r="C684" s="271">
        <v>112</v>
      </c>
      <c r="D684" s="364">
        <v>54</v>
      </c>
      <c r="E684" s="274">
        <f t="shared" si="66"/>
        <v>0.51785714285714279</v>
      </c>
      <c r="F684" s="196">
        <f t="shared" si="67"/>
        <v>2.0287799999999998</v>
      </c>
      <c r="G684" s="196">
        <f t="shared" si="68"/>
        <v>1.6011</v>
      </c>
      <c r="H684" s="199">
        <f t="shared" si="69"/>
        <v>1.35162</v>
      </c>
      <c r="M684" s="49"/>
      <c r="N684" s="49"/>
      <c r="O684" s="49"/>
      <c r="P684" s="49"/>
      <c r="Q684" s="49"/>
      <c r="R684" s="49"/>
      <c r="S684" s="49"/>
      <c r="T684" s="49"/>
      <c r="U684" s="49"/>
      <c r="V684" s="49"/>
      <c r="W684" s="49"/>
      <c r="X684" s="49"/>
      <c r="Y684" s="49"/>
      <c r="Z684" s="49"/>
      <c r="AA684" s="49"/>
      <c r="AB684" s="49"/>
      <c r="AC684" s="49"/>
    </row>
    <row r="685" spans="1:29">
      <c r="A685" s="62" t="s">
        <v>144</v>
      </c>
      <c r="B685" s="61" t="s">
        <v>145</v>
      </c>
      <c r="C685" s="271">
        <v>947</v>
      </c>
      <c r="D685" s="364">
        <v>430</v>
      </c>
      <c r="E685" s="274">
        <f t="shared" si="66"/>
        <v>0.5459345300950369</v>
      </c>
      <c r="F685" s="196">
        <f t="shared" si="67"/>
        <v>16.155100000000001</v>
      </c>
      <c r="G685" s="196">
        <f t="shared" si="68"/>
        <v>12.749499999999999</v>
      </c>
      <c r="H685" s="199">
        <f t="shared" si="69"/>
        <v>10.7629</v>
      </c>
      <c r="M685" s="49"/>
      <c r="N685" s="49"/>
      <c r="O685" s="49"/>
      <c r="P685" s="49"/>
      <c r="Q685" s="49"/>
      <c r="R685" s="49"/>
      <c r="S685" s="49"/>
      <c r="T685" s="49"/>
      <c r="U685" s="49"/>
      <c r="V685" s="49"/>
      <c r="W685" s="49"/>
      <c r="X685" s="49"/>
      <c r="Y685" s="49"/>
      <c r="Z685" s="49"/>
      <c r="AA685" s="49"/>
      <c r="AB685" s="49"/>
      <c r="AC685" s="49"/>
    </row>
    <row r="686" spans="1:29">
      <c r="A686" s="62" t="s">
        <v>498</v>
      </c>
      <c r="B686" s="61" t="s">
        <v>163</v>
      </c>
      <c r="C686" s="271">
        <v>69</v>
      </c>
      <c r="D686" s="364">
        <v>33</v>
      </c>
      <c r="E686" s="274">
        <f t="shared" si="66"/>
        <v>0.52173913043478259</v>
      </c>
      <c r="F686" s="196">
        <f t="shared" si="67"/>
        <v>1.2398100000000001</v>
      </c>
      <c r="G686" s="196">
        <f t="shared" si="68"/>
        <v>0.97844999999999993</v>
      </c>
      <c r="H686" s="199">
        <f t="shared" si="69"/>
        <v>0.82599</v>
      </c>
      <c r="M686" s="49"/>
      <c r="N686" s="49"/>
      <c r="O686" s="49"/>
      <c r="P686" s="49"/>
      <c r="Q686" s="49"/>
      <c r="R686" s="49"/>
      <c r="S686" s="49"/>
      <c r="T686" s="49"/>
      <c r="U686" s="49"/>
      <c r="V686" s="49"/>
      <c r="W686" s="49"/>
      <c r="X686" s="49"/>
      <c r="Y686" s="49"/>
      <c r="Z686" s="49"/>
      <c r="AA686" s="49"/>
      <c r="AB686" s="49"/>
      <c r="AC686" s="49"/>
    </row>
    <row r="687" spans="1:29">
      <c r="A687" s="63" t="s">
        <v>494</v>
      </c>
      <c r="B687" s="61" t="s">
        <v>146</v>
      </c>
      <c r="C687" s="271">
        <v>423</v>
      </c>
      <c r="D687" s="364">
        <v>201</v>
      </c>
      <c r="E687" s="274">
        <f t="shared" si="66"/>
        <v>0.52482269503546097</v>
      </c>
      <c r="F687" s="196">
        <f t="shared" si="67"/>
        <v>7.5515699999999999</v>
      </c>
      <c r="G687" s="196">
        <f t="shared" si="68"/>
        <v>5.9596499999999999</v>
      </c>
      <c r="H687" s="199">
        <f t="shared" si="69"/>
        <v>5.0310300000000003</v>
      </c>
      <c r="M687" s="49"/>
      <c r="N687" s="49"/>
      <c r="O687" s="49"/>
      <c r="P687" s="49"/>
      <c r="Q687" s="49"/>
      <c r="R687" s="49"/>
      <c r="S687" s="49"/>
      <c r="T687" s="49"/>
      <c r="U687" s="49"/>
      <c r="V687" s="49"/>
      <c r="W687" s="49"/>
      <c r="X687" s="49"/>
      <c r="Y687" s="49"/>
      <c r="Z687" s="49"/>
      <c r="AA687" s="49"/>
      <c r="AB687" s="49"/>
      <c r="AC687" s="49"/>
    </row>
    <row r="688" spans="1:29">
      <c r="A688" s="62" t="s">
        <v>385</v>
      </c>
      <c r="B688" s="61" t="s">
        <v>386</v>
      </c>
      <c r="C688" s="271">
        <v>275</v>
      </c>
      <c r="D688" s="364">
        <v>227</v>
      </c>
      <c r="E688" s="274">
        <f t="shared" si="66"/>
        <v>0.17454545454545456</v>
      </c>
      <c r="F688" s="196">
        <f t="shared" si="67"/>
        <v>8.5283899999999999</v>
      </c>
      <c r="G688" s="196">
        <f t="shared" si="68"/>
        <v>6.73055</v>
      </c>
      <c r="H688" s="199">
        <f t="shared" si="69"/>
        <v>5.6818100000000005</v>
      </c>
      <c r="M688" s="49"/>
      <c r="N688" s="49"/>
      <c r="O688" s="49"/>
      <c r="P688" s="49"/>
      <c r="Q688" s="49"/>
      <c r="R688" s="49"/>
      <c r="S688" s="49"/>
      <c r="T688" s="49"/>
      <c r="U688" s="49"/>
      <c r="V688" s="49"/>
      <c r="W688" s="49"/>
      <c r="X688" s="49"/>
      <c r="Y688" s="49"/>
      <c r="Z688" s="49"/>
      <c r="AA688" s="49"/>
      <c r="AB688" s="49"/>
      <c r="AC688" s="49"/>
    </row>
    <row r="689" spans="1:29">
      <c r="A689" s="62" t="s">
        <v>54</v>
      </c>
      <c r="B689" s="61" t="s">
        <v>55</v>
      </c>
      <c r="C689" s="271">
        <v>317</v>
      </c>
      <c r="D689" s="364">
        <v>151</v>
      </c>
      <c r="E689" s="274">
        <f t="shared" si="66"/>
        <v>0.52365930599369093</v>
      </c>
      <c r="F689" s="196">
        <f t="shared" si="67"/>
        <v>5.6730700000000001</v>
      </c>
      <c r="G689" s="196">
        <f t="shared" si="68"/>
        <v>4.47715</v>
      </c>
      <c r="H689" s="199">
        <f t="shared" si="69"/>
        <v>3.7795299999999998</v>
      </c>
      <c r="M689" s="49"/>
      <c r="N689" s="49"/>
      <c r="O689" s="49"/>
      <c r="P689" s="49"/>
      <c r="Q689" s="49"/>
      <c r="R689" s="49"/>
      <c r="S689" s="49"/>
      <c r="T689" s="49"/>
      <c r="U689" s="49"/>
      <c r="V689" s="49"/>
      <c r="W689" s="49"/>
      <c r="X689" s="49"/>
      <c r="Y689" s="49"/>
      <c r="Z689" s="49"/>
      <c r="AA689" s="49"/>
      <c r="AB689" s="49"/>
      <c r="AC689" s="49"/>
    </row>
    <row r="690" spans="1:29">
      <c r="A690" s="62" t="s">
        <v>149</v>
      </c>
      <c r="B690" s="61" t="s">
        <v>150</v>
      </c>
      <c r="C690" s="271">
        <v>60</v>
      </c>
      <c r="D690" s="364">
        <v>29</v>
      </c>
      <c r="E690" s="274">
        <f t="shared" si="66"/>
        <v>0.51666666666666661</v>
      </c>
      <c r="F690" s="196">
        <f t="shared" si="67"/>
        <v>1.0895299999999999</v>
      </c>
      <c r="G690" s="196">
        <f t="shared" si="68"/>
        <v>0.85985</v>
      </c>
      <c r="H690" s="199">
        <f t="shared" si="69"/>
        <v>0.72587000000000002</v>
      </c>
      <c r="M690" s="49"/>
      <c r="N690" s="49"/>
      <c r="O690" s="49"/>
      <c r="P690" s="49"/>
      <c r="Q690" s="49"/>
      <c r="R690" s="49"/>
      <c r="S690" s="49"/>
      <c r="T690" s="49"/>
      <c r="U690" s="49"/>
      <c r="V690" s="49"/>
      <c r="W690" s="49"/>
      <c r="X690" s="49"/>
      <c r="Y690" s="49"/>
      <c r="Z690" s="49"/>
      <c r="AA690" s="49"/>
      <c r="AB690" s="49"/>
      <c r="AC690" s="49"/>
    </row>
    <row r="691" spans="1:29">
      <c r="A691" s="62" t="s">
        <v>147</v>
      </c>
      <c r="B691" s="61" t="s">
        <v>148</v>
      </c>
      <c r="C691" s="271">
        <v>846</v>
      </c>
      <c r="D691" s="364">
        <v>401</v>
      </c>
      <c r="E691" s="274">
        <f t="shared" si="66"/>
        <v>0.52600472813238763</v>
      </c>
      <c r="F691" s="196">
        <f t="shared" si="67"/>
        <v>15.065569999999999</v>
      </c>
      <c r="G691" s="196">
        <f t="shared" si="68"/>
        <v>11.88965</v>
      </c>
      <c r="H691" s="199">
        <f t="shared" si="69"/>
        <v>10.03703</v>
      </c>
      <c r="M691" s="49"/>
      <c r="N691" s="49"/>
      <c r="O691" s="49"/>
      <c r="P691" s="49"/>
      <c r="Q691" s="49"/>
      <c r="R691" s="49"/>
      <c r="S691" s="49"/>
      <c r="T691" s="49"/>
      <c r="U691" s="49"/>
      <c r="V691" s="49"/>
      <c r="W691" s="49"/>
      <c r="X691" s="49"/>
      <c r="Y691" s="49"/>
      <c r="Z691" s="49"/>
      <c r="AA691" s="49"/>
      <c r="AB691" s="49"/>
      <c r="AC691" s="49"/>
    </row>
    <row r="692" spans="1:29">
      <c r="A692" s="93" t="s">
        <v>166</v>
      </c>
      <c r="B692" s="61" t="s">
        <v>167</v>
      </c>
      <c r="C692" s="271">
        <v>30</v>
      </c>
      <c r="D692" s="364">
        <v>15</v>
      </c>
      <c r="E692" s="274">
        <f t="shared" ref="E692:E697" si="70">100%-(D692/C692)</f>
        <v>0.5</v>
      </c>
      <c r="F692" s="196">
        <f t="shared" si="67"/>
        <v>0.56355</v>
      </c>
      <c r="G692" s="196">
        <f t="shared" si="68"/>
        <v>0.44474999999999998</v>
      </c>
      <c r="H692" s="199">
        <f t="shared" si="69"/>
        <v>0.37545000000000001</v>
      </c>
      <c r="M692" s="49"/>
      <c r="N692" s="49"/>
      <c r="O692" s="49"/>
      <c r="P692" s="49"/>
      <c r="Q692" s="49"/>
      <c r="R692" s="49"/>
      <c r="S692" s="49"/>
      <c r="T692" s="49"/>
      <c r="U692" s="49"/>
      <c r="V692" s="49"/>
      <c r="W692" s="49"/>
      <c r="X692" s="49"/>
      <c r="Y692" s="49"/>
      <c r="Z692" s="49"/>
      <c r="AA692" s="49"/>
      <c r="AB692" s="49"/>
      <c r="AC692" s="49"/>
    </row>
    <row r="693" spans="1:29">
      <c r="A693" s="62" t="s">
        <v>734</v>
      </c>
      <c r="B693" s="61" t="s">
        <v>780</v>
      </c>
      <c r="C693" s="271">
        <v>260</v>
      </c>
      <c r="D693" s="364">
        <v>123.72413793103451</v>
      </c>
      <c r="E693" s="274">
        <f t="shared" si="70"/>
        <v>0.5241379310344827</v>
      </c>
      <c r="F693" s="196">
        <f t="shared" si="67"/>
        <v>4.6483158620689666</v>
      </c>
      <c r="G693" s="196">
        <f t="shared" si="68"/>
        <v>3.6684206896551732</v>
      </c>
      <c r="H693" s="199">
        <f t="shared" si="69"/>
        <v>3.0968151724137938</v>
      </c>
      <c r="M693" s="49"/>
      <c r="N693" s="49"/>
      <c r="O693" s="49"/>
      <c r="P693" s="49"/>
      <c r="Q693" s="49"/>
      <c r="R693" s="49"/>
      <c r="S693" s="49"/>
      <c r="T693" s="49"/>
      <c r="U693" s="49"/>
      <c r="V693" s="49"/>
      <c r="W693" s="49"/>
      <c r="X693" s="49"/>
      <c r="Y693" s="49"/>
      <c r="Z693" s="49"/>
      <c r="AA693" s="49"/>
      <c r="AB693" s="49"/>
      <c r="AC693" s="49"/>
    </row>
    <row r="694" spans="1:29">
      <c r="A694" s="60" t="s">
        <v>377</v>
      </c>
      <c r="B694" s="61"/>
      <c r="C694" s="271"/>
      <c r="D694" s="364"/>
      <c r="E694" s="274"/>
      <c r="F694" s="196"/>
      <c r="G694" s="196"/>
      <c r="H694" s="199"/>
      <c r="M694" s="49"/>
      <c r="N694" s="49"/>
      <c r="O694" s="49"/>
      <c r="P694" s="49"/>
      <c r="Q694" s="49"/>
      <c r="R694" s="49"/>
      <c r="S694" s="49"/>
      <c r="T694" s="49"/>
      <c r="U694" s="49"/>
      <c r="V694" s="49"/>
      <c r="W694" s="49"/>
      <c r="X694" s="49"/>
      <c r="Y694" s="49"/>
      <c r="Z694" s="49"/>
      <c r="AA694" s="49"/>
      <c r="AB694" s="49"/>
      <c r="AC694" s="49"/>
    </row>
    <row r="695" spans="1:29">
      <c r="A695" s="71" t="s">
        <v>168</v>
      </c>
      <c r="B695" s="61" t="s">
        <v>169</v>
      </c>
      <c r="C695" s="271">
        <f>VLOOKUP($A$8:$A$1487,'[7]MFP''s'!A$8:C$1502,3,FALSE)</f>
        <v>250</v>
      </c>
      <c r="D695" s="364">
        <v>250</v>
      </c>
      <c r="E695" s="274">
        <f t="shared" si="70"/>
        <v>0</v>
      </c>
      <c r="F695" s="196">
        <f t="shared" si="67"/>
        <v>9.3925000000000001</v>
      </c>
      <c r="G695" s="196">
        <f t="shared" si="68"/>
        <v>7.4124999999999996</v>
      </c>
      <c r="H695" s="199">
        <f t="shared" si="69"/>
        <v>6.2575000000000003</v>
      </c>
      <c r="M695" s="49"/>
      <c r="N695" s="49"/>
      <c r="O695" s="49"/>
      <c r="P695" s="49"/>
      <c r="Q695" s="49"/>
      <c r="R695" s="49"/>
      <c r="S695" s="49"/>
      <c r="T695" s="49"/>
      <c r="U695" s="49"/>
      <c r="V695" s="49"/>
      <c r="W695" s="49"/>
      <c r="X695" s="49"/>
      <c r="Y695" s="49"/>
      <c r="Z695" s="49"/>
      <c r="AA695" s="49"/>
      <c r="AB695" s="49"/>
      <c r="AC695" s="49"/>
    </row>
    <row r="696" spans="1:29">
      <c r="A696" s="212"/>
      <c r="B696" s="213"/>
      <c r="C696" s="215"/>
      <c r="D696" s="369"/>
      <c r="E696" s="215"/>
      <c r="F696" s="215"/>
      <c r="G696" s="215"/>
      <c r="H696" s="216"/>
      <c r="M696" s="49"/>
      <c r="N696" s="49"/>
      <c r="O696" s="49"/>
      <c r="P696" s="49"/>
      <c r="Q696" s="49"/>
      <c r="R696" s="49"/>
      <c r="S696" s="49"/>
      <c r="T696" s="49"/>
      <c r="U696" s="49"/>
      <c r="V696" s="49"/>
      <c r="W696" s="49"/>
      <c r="X696" s="49"/>
      <c r="Y696" s="49"/>
      <c r="Z696" s="49"/>
      <c r="AA696" s="49"/>
      <c r="AB696" s="49"/>
      <c r="AC696" s="49"/>
    </row>
    <row r="697" spans="1:29" ht="120">
      <c r="A697" s="220" t="s">
        <v>781</v>
      </c>
      <c r="B697" s="221" t="s">
        <v>782</v>
      </c>
      <c r="C697" s="271">
        <v>15440</v>
      </c>
      <c r="D697" s="364">
        <v>7312</v>
      </c>
      <c r="E697" s="274">
        <f t="shared" si="70"/>
        <v>0.52642487046632125</v>
      </c>
      <c r="F697" s="196">
        <f t="shared" si="67"/>
        <v>274.71184</v>
      </c>
      <c r="G697" s="196">
        <f t="shared" si="68"/>
        <v>216.80079999999998</v>
      </c>
      <c r="H697" s="199">
        <f t="shared" si="69"/>
        <v>183.01936000000001</v>
      </c>
      <c r="L697" s="49"/>
      <c r="M697" s="49"/>
      <c r="N697" s="49"/>
      <c r="O697" s="49"/>
      <c r="P697" s="49"/>
      <c r="Q697" s="49"/>
      <c r="R697" s="49"/>
      <c r="S697" s="49"/>
      <c r="T697" s="49"/>
      <c r="U697" s="49"/>
      <c r="V697" s="49"/>
      <c r="W697" s="49"/>
      <c r="X697" s="49"/>
      <c r="Y697" s="49"/>
      <c r="Z697" s="49"/>
      <c r="AA697" s="49"/>
      <c r="AB697" s="49"/>
      <c r="AC697" s="49"/>
    </row>
    <row r="698" spans="1:29">
      <c r="A698" s="195" t="s">
        <v>384</v>
      </c>
      <c r="B698" s="197"/>
      <c r="C698" s="271"/>
      <c r="D698" s="357"/>
      <c r="E698" s="274"/>
      <c r="F698" s="196"/>
      <c r="G698" s="196"/>
      <c r="H698" s="199"/>
      <c r="M698" s="49"/>
      <c r="N698" s="49"/>
      <c r="O698" s="49"/>
      <c r="P698" s="49"/>
      <c r="Q698" s="49"/>
      <c r="R698" s="49"/>
      <c r="S698" s="49"/>
      <c r="T698" s="49"/>
      <c r="U698" s="49"/>
      <c r="V698" s="49"/>
      <c r="W698" s="49"/>
      <c r="X698" s="49"/>
      <c r="Y698" s="49"/>
      <c r="Z698" s="49"/>
      <c r="AA698" s="49"/>
      <c r="AB698" s="49"/>
      <c r="AC698" s="49"/>
    </row>
    <row r="699" spans="1:29" s="318" customFormat="1">
      <c r="A699" s="323" t="s">
        <v>738</v>
      </c>
      <c r="B699" s="324" t="s">
        <v>739</v>
      </c>
      <c r="C699" s="312">
        <v>1631</v>
      </c>
      <c r="D699" s="367">
        <v>773</v>
      </c>
      <c r="E699" s="313">
        <f>100%-(D699/C699)</f>
        <v>0.52605763335377076</v>
      </c>
      <c r="F699" s="314">
        <f>D699*$F$1</f>
        <v>29.041609999999999</v>
      </c>
      <c r="G699" s="314">
        <f>D699*$G$1</f>
        <v>22.919450000000001</v>
      </c>
      <c r="H699" s="315">
        <f>D699*$H$1</f>
        <v>19.348189999999999</v>
      </c>
      <c r="I699" s="316"/>
      <c r="J699" s="325"/>
      <c r="K699" s="322"/>
    </row>
    <row r="700" spans="1:29">
      <c r="A700" s="62" t="s">
        <v>94</v>
      </c>
      <c r="B700" s="61" t="s">
        <v>95</v>
      </c>
      <c r="C700" s="271">
        <v>94</v>
      </c>
      <c r="D700" s="364">
        <v>45</v>
      </c>
      <c r="E700" s="274">
        <f t="shared" ref="E700:E750" si="71">100%-(D700/C700)</f>
        <v>0.52127659574468077</v>
      </c>
      <c r="F700" s="196">
        <f t="shared" ref="F700:F750" si="72">D700*$F$1</f>
        <v>1.69065</v>
      </c>
      <c r="G700" s="196">
        <f t="shared" ref="G700:G750" si="73">D700*$G$1</f>
        <v>1.3342499999999999</v>
      </c>
      <c r="H700" s="199">
        <f t="shared" ref="H700:H750" si="74">D700*$H$1</f>
        <v>1.12635</v>
      </c>
      <c r="J700" s="72"/>
      <c r="K700" s="183"/>
      <c r="M700" s="49"/>
      <c r="N700" s="49"/>
      <c r="O700" s="49"/>
      <c r="P700" s="49"/>
      <c r="Q700" s="49"/>
      <c r="R700" s="49"/>
      <c r="S700" s="49"/>
      <c r="T700" s="49"/>
      <c r="U700" s="49"/>
      <c r="V700" s="49"/>
      <c r="W700" s="49"/>
      <c r="X700" s="49"/>
      <c r="Y700" s="49"/>
      <c r="Z700" s="49"/>
      <c r="AA700" s="49"/>
      <c r="AB700" s="49"/>
      <c r="AC700" s="49"/>
    </row>
    <row r="701" spans="1:29">
      <c r="A701" s="62" t="s">
        <v>740</v>
      </c>
      <c r="B701" s="61" t="s">
        <v>741</v>
      </c>
      <c r="C701" s="271">
        <v>1802</v>
      </c>
      <c r="D701" s="364">
        <v>854</v>
      </c>
      <c r="E701" s="274">
        <f t="shared" si="71"/>
        <v>0.52608213096559386</v>
      </c>
      <c r="F701" s="196">
        <f t="shared" si="72"/>
        <v>32.084780000000002</v>
      </c>
      <c r="G701" s="196">
        <f t="shared" si="73"/>
        <v>25.321099999999998</v>
      </c>
      <c r="H701" s="199">
        <f t="shared" si="74"/>
        <v>21.375620000000001</v>
      </c>
      <c r="J701" s="72"/>
      <c r="K701" s="183"/>
      <c r="L701" s="49"/>
      <c r="M701" s="49"/>
      <c r="N701" s="49"/>
      <c r="O701" s="49"/>
      <c r="P701" s="49"/>
      <c r="Q701" s="49"/>
      <c r="R701" s="49"/>
      <c r="S701" s="49"/>
      <c r="T701" s="49"/>
      <c r="U701" s="49"/>
      <c r="V701" s="49"/>
      <c r="W701" s="49"/>
      <c r="X701" s="49"/>
      <c r="Y701" s="49"/>
      <c r="Z701" s="49"/>
      <c r="AA701" s="49"/>
      <c r="AB701" s="49"/>
      <c r="AC701" s="49"/>
    </row>
    <row r="702" spans="1:29">
      <c r="A702" s="62" t="s">
        <v>742</v>
      </c>
      <c r="B702" s="61" t="s">
        <v>101</v>
      </c>
      <c r="C702" s="271">
        <v>1402</v>
      </c>
      <c r="D702" s="364">
        <v>664</v>
      </c>
      <c r="E702" s="274">
        <f t="shared" si="71"/>
        <v>0.52639087018544939</v>
      </c>
      <c r="F702" s="196">
        <f t="shared" si="72"/>
        <v>24.946480000000001</v>
      </c>
      <c r="G702" s="196">
        <f t="shared" si="73"/>
        <v>19.6876</v>
      </c>
      <c r="H702" s="199">
        <f t="shared" si="74"/>
        <v>16.61992</v>
      </c>
      <c r="L702" s="49"/>
      <c r="M702" s="49"/>
      <c r="N702" s="49"/>
      <c r="O702" s="49"/>
      <c r="P702" s="49"/>
      <c r="Q702" s="49"/>
      <c r="R702" s="49"/>
      <c r="S702" s="49"/>
      <c r="T702" s="49"/>
      <c r="U702" s="49"/>
      <c r="V702" s="49"/>
      <c r="W702" s="49"/>
      <c r="X702" s="49"/>
      <c r="Y702" s="49"/>
      <c r="Z702" s="49"/>
      <c r="AA702" s="49"/>
      <c r="AB702" s="49"/>
      <c r="AC702" s="49"/>
    </row>
    <row r="703" spans="1:29">
      <c r="A703" s="62" t="s">
        <v>743</v>
      </c>
      <c r="B703" s="61" t="s">
        <v>103</v>
      </c>
      <c r="C703" s="271">
        <v>1191</v>
      </c>
      <c r="D703" s="364">
        <v>564</v>
      </c>
      <c r="E703" s="274">
        <f t="shared" si="71"/>
        <v>0.52644836272040307</v>
      </c>
      <c r="F703" s="196">
        <f t="shared" si="72"/>
        <v>21.18948</v>
      </c>
      <c r="G703" s="196">
        <f t="shared" si="73"/>
        <v>16.7226</v>
      </c>
      <c r="H703" s="199">
        <f t="shared" si="74"/>
        <v>14.11692</v>
      </c>
      <c r="L703" s="49"/>
      <c r="M703" s="49"/>
      <c r="N703" s="49"/>
      <c r="O703" s="49"/>
      <c r="P703" s="49"/>
      <c r="Q703" s="49"/>
      <c r="R703" s="49"/>
      <c r="S703" s="49"/>
      <c r="T703" s="49"/>
      <c r="U703" s="49"/>
      <c r="V703" s="49"/>
      <c r="W703" s="49"/>
      <c r="X703" s="49"/>
      <c r="Y703" s="49"/>
      <c r="Z703" s="49"/>
      <c r="AA703" s="49"/>
      <c r="AB703" s="49"/>
      <c r="AC703" s="49"/>
    </row>
    <row r="704" spans="1:29">
      <c r="A704" s="63" t="s">
        <v>744</v>
      </c>
      <c r="B704" s="61" t="s">
        <v>105</v>
      </c>
      <c r="C704" s="271">
        <v>913</v>
      </c>
      <c r="D704" s="364">
        <v>433</v>
      </c>
      <c r="E704" s="274">
        <f t="shared" si="71"/>
        <v>0.52573932092004383</v>
      </c>
      <c r="F704" s="196">
        <f t="shared" si="72"/>
        <v>16.267810000000001</v>
      </c>
      <c r="G704" s="196">
        <f t="shared" si="73"/>
        <v>12.83845</v>
      </c>
      <c r="H704" s="199">
        <f t="shared" si="74"/>
        <v>10.83799</v>
      </c>
      <c r="J704" s="184"/>
      <c r="K704" s="183"/>
      <c r="L704" s="49"/>
      <c r="M704" s="49"/>
      <c r="N704" s="49"/>
      <c r="O704" s="49"/>
      <c r="P704" s="49"/>
      <c r="Q704" s="49"/>
      <c r="R704" s="49"/>
      <c r="S704" s="49"/>
      <c r="T704" s="49"/>
      <c r="U704" s="49"/>
      <c r="V704" s="49"/>
      <c r="W704" s="49"/>
      <c r="X704" s="49"/>
      <c r="Y704" s="49"/>
      <c r="Z704" s="49"/>
      <c r="AA704" s="49"/>
      <c r="AB704" s="49"/>
      <c r="AC704" s="49"/>
    </row>
    <row r="705" spans="1:29">
      <c r="A705" s="79" t="s">
        <v>745</v>
      </c>
      <c r="B705" s="61" t="s">
        <v>383</v>
      </c>
      <c r="C705" s="271">
        <v>222</v>
      </c>
      <c r="D705" s="364">
        <v>106</v>
      </c>
      <c r="E705" s="274">
        <f t="shared" si="71"/>
        <v>0.52252252252252251</v>
      </c>
      <c r="F705" s="196">
        <f t="shared" si="72"/>
        <v>3.9824199999999998</v>
      </c>
      <c r="G705" s="196">
        <f t="shared" si="73"/>
        <v>3.1429</v>
      </c>
      <c r="H705" s="199">
        <f t="shared" si="74"/>
        <v>2.6531799999999999</v>
      </c>
      <c r="J705" s="184"/>
      <c r="K705" s="183"/>
      <c r="L705" s="49"/>
      <c r="M705" s="49"/>
      <c r="N705" s="49"/>
      <c r="O705" s="49"/>
      <c r="P705" s="49"/>
      <c r="Q705" s="49"/>
      <c r="R705" s="49"/>
      <c r="S705" s="49"/>
      <c r="T705" s="49"/>
      <c r="U705" s="49"/>
      <c r="V705" s="49"/>
      <c r="W705" s="49"/>
      <c r="X705" s="49"/>
      <c r="Y705" s="49"/>
      <c r="Z705" s="49"/>
      <c r="AA705" s="49"/>
      <c r="AB705" s="49"/>
      <c r="AC705" s="49"/>
    </row>
    <row r="706" spans="1:29">
      <c r="A706" s="62" t="s">
        <v>746</v>
      </c>
      <c r="B706" s="61" t="s">
        <v>747</v>
      </c>
      <c r="C706" s="271">
        <v>1781</v>
      </c>
      <c r="D706" s="364">
        <v>844</v>
      </c>
      <c r="E706" s="274">
        <f t="shared" si="71"/>
        <v>0.52610892756878158</v>
      </c>
      <c r="F706" s="196">
        <f t="shared" si="72"/>
        <v>31.70908</v>
      </c>
      <c r="G706" s="196">
        <f t="shared" si="73"/>
        <v>25.0246</v>
      </c>
      <c r="H706" s="199">
        <f t="shared" si="74"/>
        <v>21.125319999999999</v>
      </c>
      <c r="J706" s="184"/>
      <c r="K706" s="183"/>
      <c r="L706" s="49"/>
      <c r="M706" s="49"/>
      <c r="N706" s="49"/>
      <c r="O706" s="49"/>
      <c r="P706" s="49"/>
      <c r="Q706" s="49"/>
      <c r="R706" s="49"/>
      <c r="S706" s="49"/>
      <c r="T706" s="49"/>
      <c r="U706" s="49"/>
      <c r="V706" s="49"/>
      <c r="W706" s="49"/>
      <c r="X706" s="49"/>
      <c r="Y706" s="49"/>
      <c r="Z706" s="49"/>
      <c r="AA706" s="49"/>
      <c r="AB706" s="49"/>
      <c r="AC706" s="49"/>
    </row>
    <row r="707" spans="1:29">
      <c r="A707" s="62" t="s">
        <v>707</v>
      </c>
      <c r="B707" s="61" t="s">
        <v>108</v>
      </c>
      <c r="C707" s="271">
        <v>500</v>
      </c>
      <c r="D707" s="364">
        <v>237</v>
      </c>
      <c r="E707" s="274">
        <f t="shared" si="71"/>
        <v>0.52600000000000002</v>
      </c>
      <c r="F707" s="196">
        <f t="shared" si="72"/>
        <v>8.9040900000000001</v>
      </c>
      <c r="G707" s="196">
        <f t="shared" si="73"/>
        <v>7.02705</v>
      </c>
      <c r="H707" s="199">
        <f t="shared" si="74"/>
        <v>5.9321099999999998</v>
      </c>
      <c r="J707" s="184"/>
      <c r="K707" s="183"/>
      <c r="L707" s="49"/>
      <c r="M707" s="49"/>
      <c r="N707" s="49"/>
      <c r="O707" s="49"/>
      <c r="P707" s="49"/>
      <c r="Q707" s="49"/>
      <c r="R707" s="49"/>
      <c r="S707" s="49"/>
      <c r="T707" s="49"/>
      <c r="U707" s="49"/>
      <c r="V707" s="49"/>
      <c r="W707" s="49"/>
      <c r="X707" s="49"/>
      <c r="Y707" s="49"/>
      <c r="Z707" s="49"/>
      <c r="AA707" s="49"/>
      <c r="AB707" s="49"/>
      <c r="AC707" s="49"/>
    </row>
    <row r="708" spans="1:29">
      <c r="A708" s="62" t="s">
        <v>748</v>
      </c>
      <c r="B708" s="61" t="s">
        <v>749</v>
      </c>
      <c r="C708" s="271">
        <v>1855</v>
      </c>
      <c r="D708" s="364">
        <v>879</v>
      </c>
      <c r="E708" s="274">
        <f t="shared" si="71"/>
        <v>0.52614555256064688</v>
      </c>
      <c r="F708" s="196">
        <f t="shared" si="72"/>
        <v>33.024029999999996</v>
      </c>
      <c r="G708" s="196">
        <f t="shared" si="73"/>
        <v>26.062349999999999</v>
      </c>
      <c r="H708" s="199">
        <f t="shared" si="74"/>
        <v>22.001370000000001</v>
      </c>
      <c r="J708" s="184"/>
      <c r="K708" s="183"/>
      <c r="L708" s="49"/>
      <c r="M708" s="49"/>
      <c r="N708" s="49"/>
      <c r="O708" s="49"/>
      <c r="P708" s="49"/>
      <c r="Q708" s="49"/>
      <c r="R708" s="49"/>
      <c r="S708" s="49"/>
      <c r="T708" s="49"/>
      <c r="U708" s="49"/>
      <c r="V708" s="49"/>
      <c r="W708" s="49"/>
      <c r="X708" s="49"/>
      <c r="Y708" s="49"/>
      <c r="Z708" s="49"/>
      <c r="AA708" s="49"/>
      <c r="AB708" s="49"/>
      <c r="AC708" s="49"/>
    </row>
    <row r="709" spans="1:29">
      <c r="A709" s="62" t="s">
        <v>750</v>
      </c>
      <c r="B709" s="61" t="s">
        <v>751</v>
      </c>
      <c r="C709" s="271">
        <v>3305</v>
      </c>
      <c r="D709" s="364">
        <v>1566</v>
      </c>
      <c r="E709" s="274">
        <f t="shared" si="71"/>
        <v>0.52617246596066569</v>
      </c>
      <c r="F709" s="196">
        <f t="shared" si="72"/>
        <v>58.834620000000001</v>
      </c>
      <c r="G709" s="196">
        <f t="shared" si="73"/>
        <v>46.431899999999999</v>
      </c>
      <c r="H709" s="199">
        <f t="shared" si="74"/>
        <v>39.196980000000003</v>
      </c>
      <c r="J709" s="184"/>
      <c r="K709" s="183"/>
      <c r="L709" s="49"/>
      <c r="M709" s="49"/>
      <c r="N709" s="49"/>
      <c r="O709" s="49"/>
      <c r="P709" s="49"/>
      <c r="Q709" s="49"/>
      <c r="R709" s="49"/>
      <c r="S709" s="49"/>
      <c r="T709" s="49"/>
      <c r="U709" s="49"/>
      <c r="V709" s="49"/>
      <c r="W709" s="49"/>
      <c r="X709" s="49"/>
      <c r="Y709" s="49"/>
      <c r="Z709" s="49"/>
      <c r="AA709" s="49"/>
      <c r="AB709" s="49"/>
      <c r="AC709" s="49"/>
    </row>
    <row r="710" spans="1:29">
      <c r="A710" s="62" t="s">
        <v>752</v>
      </c>
      <c r="B710" s="61" t="s">
        <v>110</v>
      </c>
      <c r="C710" s="271">
        <v>1553</v>
      </c>
      <c r="D710" s="364">
        <v>736</v>
      </c>
      <c r="E710" s="274">
        <f t="shared" si="71"/>
        <v>0.5260785576303928</v>
      </c>
      <c r="F710" s="196">
        <f t="shared" si="72"/>
        <v>27.651519999999998</v>
      </c>
      <c r="G710" s="196">
        <f t="shared" si="73"/>
        <v>21.822399999999998</v>
      </c>
      <c r="H710" s="199">
        <f t="shared" si="74"/>
        <v>18.422080000000001</v>
      </c>
      <c r="J710" s="184"/>
      <c r="K710" s="183"/>
      <c r="L710" s="49"/>
      <c r="M710" s="49"/>
      <c r="N710" s="49"/>
      <c r="O710" s="49"/>
      <c r="P710" s="49"/>
      <c r="Q710" s="49"/>
      <c r="R710" s="49"/>
      <c r="S710" s="49"/>
      <c r="T710" s="49"/>
      <c r="U710" s="49"/>
      <c r="V710" s="49"/>
      <c r="W710" s="49"/>
      <c r="X710" s="49"/>
      <c r="Y710" s="49"/>
      <c r="Z710" s="49"/>
      <c r="AA710" s="49"/>
      <c r="AB710" s="49"/>
      <c r="AC710" s="49"/>
    </row>
    <row r="711" spans="1:29">
      <c r="A711" s="62" t="s">
        <v>715</v>
      </c>
      <c r="B711" s="61" t="s">
        <v>112</v>
      </c>
      <c r="C711" s="271">
        <v>585</v>
      </c>
      <c r="D711" s="364">
        <v>278</v>
      </c>
      <c r="E711" s="274">
        <f t="shared" si="71"/>
        <v>0.52478632478632481</v>
      </c>
      <c r="F711" s="196">
        <f t="shared" si="72"/>
        <v>10.444459999999999</v>
      </c>
      <c r="G711" s="196">
        <f t="shared" si="73"/>
        <v>8.2426999999999992</v>
      </c>
      <c r="H711" s="199">
        <f t="shared" si="74"/>
        <v>6.9583399999999997</v>
      </c>
      <c r="L711" s="49"/>
      <c r="M711" s="49"/>
      <c r="N711" s="49"/>
      <c r="O711" s="49"/>
      <c r="P711" s="49"/>
      <c r="Q711" s="49"/>
      <c r="R711" s="49"/>
      <c r="S711" s="49"/>
      <c r="T711" s="49"/>
      <c r="U711" s="49"/>
      <c r="V711" s="49"/>
      <c r="W711" s="49"/>
      <c r="X711" s="49"/>
      <c r="Y711" s="49"/>
      <c r="Z711" s="49"/>
      <c r="AA711" s="49"/>
      <c r="AB711" s="49"/>
      <c r="AC711" s="49"/>
    </row>
    <row r="712" spans="1:29">
      <c r="A712" s="62" t="s">
        <v>113</v>
      </c>
      <c r="B712" s="61" t="s">
        <v>114</v>
      </c>
      <c r="C712" s="271">
        <v>586</v>
      </c>
      <c r="D712" s="364">
        <v>278</v>
      </c>
      <c r="E712" s="274">
        <f t="shared" si="71"/>
        <v>0.52559726962457343</v>
      </c>
      <c r="F712" s="196">
        <f t="shared" si="72"/>
        <v>10.444459999999999</v>
      </c>
      <c r="G712" s="196">
        <f t="shared" si="73"/>
        <v>8.2426999999999992</v>
      </c>
      <c r="H712" s="199">
        <f t="shared" si="74"/>
        <v>6.9583399999999997</v>
      </c>
      <c r="I712" s="49"/>
      <c r="J712" s="49"/>
      <c r="K712" s="49"/>
      <c r="L712" s="49"/>
      <c r="M712" s="49"/>
      <c r="N712" s="49"/>
      <c r="O712" s="49"/>
      <c r="P712" s="49"/>
      <c r="Q712" s="49"/>
      <c r="R712" s="49"/>
      <c r="S712" s="49"/>
      <c r="T712" s="49"/>
      <c r="U712" s="49"/>
      <c r="V712" s="49"/>
      <c r="W712" s="49"/>
      <c r="X712" s="49"/>
      <c r="Y712" s="49"/>
      <c r="Z712" s="49"/>
      <c r="AA712" s="49"/>
      <c r="AB712" s="49"/>
      <c r="AC712" s="49"/>
    </row>
    <row r="713" spans="1:29">
      <c r="A713" s="62" t="s">
        <v>753</v>
      </c>
      <c r="B713" s="61" t="s">
        <v>754</v>
      </c>
      <c r="C713" s="271">
        <v>1070</v>
      </c>
      <c r="D713" s="364">
        <v>507</v>
      </c>
      <c r="E713" s="274">
        <f t="shared" si="71"/>
        <v>0.5261682242990654</v>
      </c>
      <c r="F713" s="196">
        <f t="shared" si="72"/>
        <v>19.047989999999999</v>
      </c>
      <c r="G713" s="196">
        <f t="shared" si="73"/>
        <v>15.032549999999999</v>
      </c>
      <c r="H713" s="199">
        <f t="shared" si="74"/>
        <v>12.69021</v>
      </c>
      <c r="I713" s="49"/>
      <c r="J713" s="49"/>
      <c r="K713" s="49"/>
      <c r="L713" s="49"/>
      <c r="M713" s="49"/>
      <c r="N713" s="49"/>
      <c r="O713" s="49"/>
      <c r="P713" s="49"/>
      <c r="Q713" s="49"/>
      <c r="R713" s="49"/>
      <c r="S713" s="49"/>
      <c r="T713" s="49"/>
      <c r="U713" s="49"/>
      <c r="V713" s="49"/>
      <c r="W713" s="49"/>
      <c r="X713" s="49"/>
      <c r="Y713" s="49"/>
      <c r="Z713" s="49"/>
      <c r="AA713" s="49"/>
      <c r="AB713" s="49"/>
      <c r="AC713" s="49"/>
    </row>
    <row r="714" spans="1:29">
      <c r="A714" s="62" t="s">
        <v>755</v>
      </c>
      <c r="B714" s="61" t="s">
        <v>756</v>
      </c>
      <c r="C714" s="271">
        <v>1068</v>
      </c>
      <c r="D714" s="364">
        <v>506</v>
      </c>
      <c r="E714" s="274">
        <f t="shared" si="71"/>
        <v>0.52621722846441954</v>
      </c>
      <c r="F714" s="196">
        <f t="shared" si="72"/>
        <v>19.01042</v>
      </c>
      <c r="G714" s="196">
        <f t="shared" si="73"/>
        <v>15.0029</v>
      </c>
      <c r="H714" s="199">
        <f t="shared" si="74"/>
        <v>12.665179999999999</v>
      </c>
      <c r="I714" s="49"/>
      <c r="J714" s="49"/>
      <c r="K714" s="49"/>
      <c r="L714" s="49"/>
      <c r="M714" s="49"/>
      <c r="N714" s="49"/>
      <c r="O714" s="49"/>
      <c r="P714" s="49"/>
      <c r="Q714" s="49"/>
      <c r="R714" s="49"/>
      <c r="S714" s="49"/>
      <c r="T714" s="49"/>
      <c r="U714" s="49"/>
      <c r="V714" s="49"/>
      <c r="W714" s="49"/>
      <c r="X714" s="49"/>
      <c r="Y714" s="49"/>
      <c r="Z714" s="49"/>
      <c r="AA714" s="49"/>
      <c r="AB714" s="49"/>
      <c r="AC714" s="49"/>
    </row>
    <row r="715" spans="1:29">
      <c r="A715" s="79" t="s">
        <v>719</v>
      </c>
      <c r="B715" s="61" t="s">
        <v>117</v>
      </c>
      <c r="C715" s="271">
        <v>48</v>
      </c>
      <c r="D715" s="364">
        <v>23</v>
      </c>
      <c r="E715" s="274">
        <f t="shared" si="71"/>
        <v>0.52083333333333326</v>
      </c>
      <c r="F715" s="196">
        <f t="shared" si="72"/>
        <v>0.86410999999999993</v>
      </c>
      <c r="G715" s="196">
        <f t="shared" si="73"/>
        <v>0.68194999999999995</v>
      </c>
      <c r="H715" s="199">
        <f t="shared" si="74"/>
        <v>0.57569000000000004</v>
      </c>
      <c r="I715" s="49"/>
      <c r="J715" s="49"/>
      <c r="K715" s="49"/>
      <c r="L715" s="49"/>
      <c r="M715" s="49"/>
      <c r="N715" s="49"/>
      <c r="O715" s="49"/>
      <c r="P715" s="49"/>
      <c r="Q715" s="49"/>
      <c r="R715" s="49"/>
      <c r="S715" s="49"/>
      <c r="T715" s="49"/>
      <c r="U715" s="49"/>
      <c r="V715" s="49"/>
      <c r="W715" s="49"/>
      <c r="X715" s="49"/>
      <c r="Y715" s="49"/>
      <c r="Z715" s="49"/>
      <c r="AA715" s="49"/>
      <c r="AB715" s="49"/>
      <c r="AC715" s="49"/>
    </row>
    <row r="716" spans="1:29">
      <c r="A716" s="79" t="s">
        <v>720</v>
      </c>
      <c r="B716" s="61" t="s">
        <v>118</v>
      </c>
      <c r="C716" s="271">
        <v>27</v>
      </c>
      <c r="D716" s="364">
        <v>13</v>
      </c>
      <c r="E716" s="274">
        <f t="shared" si="71"/>
        <v>0.5185185185185186</v>
      </c>
      <c r="F716" s="196">
        <f t="shared" si="72"/>
        <v>0.48841000000000001</v>
      </c>
      <c r="G716" s="196">
        <f t="shared" si="73"/>
        <v>0.38545000000000001</v>
      </c>
      <c r="H716" s="199">
        <f t="shared" si="74"/>
        <v>0.32539000000000001</v>
      </c>
      <c r="I716" s="49"/>
      <c r="J716" s="49"/>
      <c r="K716" s="49"/>
      <c r="L716" s="49"/>
      <c r="M716" s="49"/>
      <c r="N716" s="49"/>
      <c r="O716" s="49"/>
      <c r="P716" s="49"/>
      <c r="Q716" s="49"/>
      <c r="R716" s="49"/>
      <c r="S716" s="49"/>
      <c r="T716" s="49"/>
      <c r="U716" s="49"/>
      <c r="V716" s="49"/>
      <c r="W716" s="49"/>
      <c r="X716" s="49"/>
      <c r="Y716" s="49"/>
      <c r="Z716" s="49"/>
      <c r="AA716" s="49"/>
      <c r="AB716" s="49"/>
      <c r="AC716" s="49"/>
    </row>
    <row r="717" spans="1:29">
      <c r="A717" s="79" t="s">
        <v>757</v>
      </c>
      <c r="B717" s="61" t="s">
        <v>758</v>
      </c>
      <c r="C717" s="271">
        <v>120</v>
      </c>
      <c r="D717" s="364">
        <v>57</v>
      </c>
      <c r="E717" s="274">
        <f t="shared" si="71"/>
        <v>0.52500000000000002</v>
      </c>
      <c r="F717" s="196">
        <f t="shared" si="72"/>
        <v>2.1414900000000001</v>
      </c>
      <c r="G717" s="196">
        <f t="shared" si="73"/>
        <v>1.6900500000000001</v>
      </c>
      <c r="H717" s="199">
        <f t="shared" si="74"/>
        <v>1.4267099999999999</v>
      </c>
      <c r="I717" s="49"/>
      <c r="J717" s="49"/>
      <c r="K717" s="49"/>
      <c r="L717" s="49"/>
      <c r="M717" s="49"/>
      <c r="N717" s="49"/>
      <c r="O717" s="49"/>
      <c r="P717" s="49"/>
      <c r="Q717" s="49"/>
      <c r="R717" s="49"/>
      <c r="S717" s="49"/>
      <c r="T717" s="49"/>
      <c r="U717" s="49"/>
      <c r="V717" s="49"/>
      <c r="W717" s="49"/>
      <c r="X717" s="49"/>
      <c r="Y717" s="49"/>
      <c r="Z717" s="49"/>
      <c r="AA717" s="49"/>
      <c r="AB717" s="49"/>
      <c r="AC717" s="49"/>
    </row>
    <row r="718" spans="1:29">
      <c r="A718" s="79" t="s">
        <v>759</v>
      </c>
      <c r="B718" s="61" t="s">
        <v>760</v>
      </c>
      <c r="C718" s="271">
        <v>4158</v>
      </c>
      <c r="D718" s="364">
        <v>1969</v>
      </c>
      <c r="E718" s="274">
        <f t="shared" si="71"/>
        <v>0.52645502645502651</v>
      </c>
      <c r="F718" s="196">
        <f t="shared" si="72"/>
        <v>73.97533</v>
      </c>
      <c r="G718" s="196">
        <f t="shared" si="73"/>
        <v>58.380849999999995</v>
      </c>
      <c r="H718" s="199">
        <f t="shared" si="74"/>
        <v>49.28407</v>
      </c>
      <c r="I718" s="49"/>
      <c r="J718" s="49"/>
      <c r="K718" s="49"/>
      <c r="L718" s="49"/>
      <c r="M718" s="49"/>
      <c r="N718" s="49"/>
      <c r="O718" s="49"/>
      <c r="P718" s="49"/>
      <c r="Q718" s="49"/>
      <c r="R718" s="49"/>
      <c r="S718" s="49"/>
      <c r="T718" s="49"/>
      <c r="U718" s="49"/>
      <c r="V718" s="49"/>
      <c r="W718" s="49"/>
      <c r="X718" s="49"/>
      <c r="Y718" s="49"/>
      <c r="Z718" s="49"/>
      <c r="AA718" s="49"/>
      <c r="AB718" s="49"/>
      <c r="AC718" s="49"/>
    </row>
    <row r="719" spans="1:29">
      <c r="A719" s="79" t="s">
        <v>761</v>
      </c>
      <c r="B719" s="61" t="s">
        <v>762</v>
      </c>
      <c r="C719" s="271">
        <v>296</v>
      </c>
      <c r="D719" s="364">
        <v>141</v>
      </c>
      <c r="E719" s="274">
        <f t="shared" si="71"/>
        <v>0.52364864864864868</v>
      </c>
      <c r="F719" s="196">
        <f t="shared" si="72"/>
        <v>5.2973699999999999</v>
      </c>
      <c r="G719" s="196">
        <f t="shared" si="73"/>
        <v>4.18065</v>
      </c>
      <c r="H719" s="199">
        <f t="shared" si="74"/>
        <v>3.5292300000000001</v>
      </c>
      <c r="I719" s="49"/>
      <c r="J719" s="49"/>
      <c r="K719" s="49"/>
      <c r="L719" s="49"/>
      <c r="M719" s="49"/>
      <c r="N719" s="49"/>
      <c r="O719" s="49"/>
      <c r="P719" s="49"/>
      <c r="Q719" s="49"/>
      <c r="R719" s="49"/>
      <c r="S719" s="49"/>
      <c r="T719" s="49"/>
      <c r="U719" s="49"/>
      <c r="V719" s="49"/>
      <c r="W719" s="49"/>
      <c r="X719" s="49"/>
      <c r="Y719" s="49"/>
      <c r="Z719" s="49"/>
      <c r="AA719" s="49"/>
      <c r="AB719" s="49"/>
      <c r="AC719" s="49"/>
    </row>
    <row r="720" spans="1:29">
      <c r="A720" s="79" t="s">
        <v>763</v>
      </c>
      <c r="B720" s="61" t="s">
        <v>290</v>
      </c>
      <c r="C720" s="271">
        <v>875</v>
      </c>
      <c r="D720" s="364">
        <v>415</v>
      </c>
      <c r="E720" s="274">
        <f t="shared" si="71"/>
        <v>0.52571428571428569</v>
      </c>
      <c r="F720" s="196">
        <f t="shared" si="72"/>
        <v>15.59155</v>
      </c>
      <c r="G720" s="196">
        <f t="shared" si="73"/>
        <v>12.30475</v>
      </c>
      <c r="H720" s="199">
        <f t="shared" si="74"/>
        <v>10.387449999999999</v>
      </c>
      <c r="I720" s="49"/>
      <c r="J720" s="49"/>
      <c r="K720" s="49"/>
      <c r="L720" s="49"/>
      <c r="M720" s="49"/>
      <c r="N720" s="49"/>
      <c r="O720" s="49"/>
      <c r="P720" s="49"/>
      <c r="Q720" s="49"/>
      <c r="R720" s="49"/>
      <c r="S720" s="49"/>
      <c r="T720" s="49"/>
      <c r="U720" s="49"/>
      <c r="V720" s="49"/>
      <c r="W720" s="49"/>
      <c r="X720" s="49"/>
      <c r="Y720" s="49"/>
      <c r="Z720" s="49"/>
      <c r="AA720" s="49"/>
      <c r="AB720" s="49"/>
      <c r="AC720" s="49"/>
    </row>
    <row r="721" spans="1:29">
      <c r="A721" s="79" t="s">
        <v>764</v>
      </c>
      <c r="B721" s="61" t="s">
        <v>291</v>
      </c>
      <c r="C721" s="271">
        <v>875</v>
      </c>
      <c r="D721" s="364">
        <v>415</v>
      </c>
      <c r="E721" s="274">
        <f t="shared" si="71"/>
        <v>0.52571428571428569</v>
      </c>
      <c r="F721" s="196">
        <f t="shared" si="72"/>
        <v>15.59155</v>
      </c>
      <c r="G721" s="196">
        <f t="shared" si="73"/>
        <v>12.30475</v>
      </c>
      <c r="H721" s="199">
        <f t="shared" si="74"/>
        <v>10.387449999999999</v>
      </c>
      <c r="I721" s="49"/>
      <c r="J721" s="49"/>
      <c r="K721" s="49"/>
      <c r="L721" s="49"/>
      <c r="M721" s="49"/>
      <c r="N721" s="49"/>
      <c r="O721" s="49"/>
      <c r="P721" s="49"/>
      <c r="Q721" s="49"/>
      <c r="R721" s="49"/>
      <c r="S721" s="49"/>
      <c r="T721" s="49"/>
      <c r="U721" s="49"/>
      <c r="V721" s="49"/>
      <c r="W721" s="49"/>
      <c r="X721" s="49"/>
      <c r="Y721" s="49"/>
      <c r="Z721" s="49"/>
      <c r="AA721" s="49"/>
      <c r="AB721" s="49"/>
      <c r="AC721" s="49"/>
    </row>
    <row r="722" spans="1:29">
      <c r="A722" s="79" t="s">
        <v>597</v>
      </c>
      <c r="B722" s="61" t="s">
        <v>292</v>
      </c>
      <c r="C722" s="271">
        <v>1348</v>
      </c>
      <c r="D722" s="364">
        <v>639</v>
      </c>
      <c r="E722" s="274">
        <f t="shared" si="71"/>
        <v>0.52596439169139464</v>
      </c>
      <c r="F722" s="196">
        <f t="shared" si="72"/>
        <v>24.00723</v>
      </c>
      <c r="G722" s="196">
        <f t="shared" si="73"/>
        <v>18.946349999999999</v>
      </c>
      <c r="H722" s="199">
        <f t="shared" si="74"/>
        <v>15.99417</v>
      </c>
      <c r="I722" s="49"/>
      <c r="J722" s="49"/>
      <c r="K722" s="49"/>
      <c r="L722" s="49"/>
      <c r="M722" s="49"/>
      <c r="N722" s="49"/>
      <c r="O722" s="49"/>
      <c r="P722" s="49"/>
      <c r="Q722" s="49"/>
      <c r="R722" s="49"/>
      <c r="S722" s="49"/>
      <c r="T722" s="49"/>
      <c r="U722" s="49"/>
      <c r="V722" s="49"/>
      <c r="W722" s="49"/>
      <c r="X722" s="49"/>
      <c r="Y722" s="49"/>
      <c r="Z722" s="49"/>
      <c r="AA722" s="49"/>
      <c r="AB722" s="49"/>
      <c r="AC722" s="49"/>
    </row>
    <row r="723" spans="1:29">
      <c r="A723" s="79" t="s">
        <v>765</v>
      </c>
      <c r="B723" s="61" t="s">
        <v>293</v>
      </c>
      <c r="C723" s="271">
        <v>2650</v>
      </c>
      <c r="D723" s="364">
        <v>1255</v>
      </c>
      <c r="E723" s="274">
        <f t="shared" si="71"/>
        <v>0.52641509433962264</v>
      </c>
      <c r="F723" s="196">
        <f t="shared" si="72"/>
        <v>47.150349999999996</v>
      </c>
      <c r="G723" s="196">
        <f t="shared" si="73"/>
        <v>37.210749999999997</v>
      </c>
      <c r="H723" s="199">
        <f t="shared" si="74"/>
        <v>31.412649999999999</v>
      </c>
      <c r="I723" s="49"/>
      <c r="J723" s="49"/>
      <c r="K723" s="49"/>
      <c r="L723" s="49"/>
      <c r="M723" s="49"/>
      <c r="N723" s="49"/>
      <c r="O723" s="49"/>
      <c r="P723" s="49"/>
      <c r="Q723" s="49"/>
      <c r="R723" s="49"/>
      <c r="S723" s="49"/>
      <c r="T723" s="49"/>
      <c r="U723" s="49"/>
      <c r="V723" s="49"/>
      <c r="W723" s="49"/>
      <c r="X723" s="49"/>
      <c r="Y723" s="49"/>
      <c r="Z723" s="49"/>
      <c r="AA723" s="49"/>
      <c r="AB723" s="49"/>
      <c r="AC723" s="49"/>
    </row>
    <row r="724" spans="1:29">
      <c r="A724" s="63" t="s">
        <v>766</v>
      </c>
      <c r="B724" s="61" t="s">
        <v>294</v>
      </c>
      <c r="C724" s="271">
        <v>1166</v>
      </c>
      <c r="D724" s="364">
        <v>553</v>
      </c>
      <c r="E724" s="274">
        <f t="shared" si="71"/>
        <v>0.52572898799313894</v>
      </c>
      <c r="F724" s="196">
        <f t="shared" si="72"/>
        <v>20.776209999999999</v>
      </c>
      <c r="G724" s="196">
        <f t="shared" si="73"/>
        <v>16.396449999999998</v>
      </c>
      <c r="H724" s="199">
        <f t="shared" si="74"/>
        <v>13.84159</v>
      </c>
      <c r="I724" s="49"/>
      <c r="J724" s="49"/>
      <c r="K724" s="49"/>
      <c r="L724" s="49"/>
      <c r="M724" s="49"/>
      <c r="N724" s="49"/>
      <c r="O724" s="49"/>
      <c r="P724" s="49"/>
      <c r="Q724" s="49"/>
      <c r="R724" s="49"/>
      <c r="S724" s="49"/>
      <c r="T724" s="49"/>
      <c r="U724" s="49"/>
      <c r="V724" s="49"/>
      <c r="W724" s="49"/>
      <c r="X724" s="49"/>
      <c r="Y724" s="49"/>
      <c r="Z724" s="49"/>
      <c r="AA724" s="49"/>
      <c r="AB724" s="49"/>
      <c r="AC724" s="49"/>
    </row>
    <row r="725" spans="1:29">
      <c r="A725" s="62" t="s">
        <v>767</v>
      </c>
      <c r="B725" s="61" t="s">
        <v>295</v>
      </c>
      <c r="C725" s="271">
        <v>3179</v>
      </c>
      <c r="D725" s="364">
        <v>1506</v>
      </c>
      <c r="E725" s="274">
        <f t="shared" si="71"/>
        <v>0.52626612142183071</v>
      </c>
      <c r="F725" s="196">
        <f t="shared" si="72"/>
        <v>56.580419999999997</v>
      </c>
      <c r="G725" s="196">
        <f t="shared" si="73"/>
        <v>44.652899999999995</v>
      </c>
      <c r="H725" s="199">
        <f t="shared" si="74"/>
        <v>37.695180000000001</v>
      </c>
      <c r="I725" s="49"/>
      <c r="J725" s="49"/>
      <c r="K725" s="49"/>
      <c r="L725" s="49"/>
      <c r="M725" s="49"/>
      <c r="N725" s="49"/>
      <c r="O725" s="49"/>
      <c r="P725" s="49"/>
      <c r="Q725" s="49"/>
      <c r="R725" s="49"/>
      <c r="S725" s="49"/>
      <c r="T725" s="49"/>
      <c r="U725" s="49"/>
      <c r="V725" s="49"/>
      <c r="W725" s="49"/>
      <c r="X725" s="49"/>
      <c r="Y725" s="49"/>
      <c r="Z725" s="49"/>
      <c r="AA725" s="49"/>
      <c r="AB725" s="49"/>
      <c r="AC725" s="49"/>
    </row>
    <row r="726" spans="1:29" ht="30">
      <c r="A726" s="62" t="s">
        <v>594</v>
      </c>
      <c r="B726" s="61" t="s">
        <v>296</v>
      </c>
      <c r="C726" s="271">
        <v>3400</v>
      </c>
      <c r="D726" s="364">
        <v>1610</v>
      </c>
      <c r="E726" s="274">
        <f t="shared" si="71"/>
        <v>0.52647058823529413</v>
      </c>
      <c r="F726" s="196">
        <f t="shared" si="72"/>
        <v>60.487699999999997</v>
      </c>
      <c r="G726" s="196">
        <f t="shared" si="73"/>
        <v>47.736499999999999</v>
      </c>
      <c r="H726" s="199">
        <f t="shared" si="74"/>
        <v>40.298299999999998</v>
      </c>
      <c r="I726" s="49"/>
      <c r="J726" s="49"/>
      <c r="K726" s="49"/>
      <c r="L726" s="49"/>
      <c r="M726" s="49"/>
      <c r="N726" s="49"/>
      <c r="O726" s="49"/>
      <c r="P726" s="49"/>
      <c r="Q726" s="49"/>
      <c r="R726" s="49"/>
      <c r="S726" s="49"/>
      <c r="T726" s="49"/>
      <c r="U726" s="49"/>
      <c r="V726" s="49"/>
      <c r="W726" s="49"/>
      <c r="X726" s="49"/>
      <c r="Y726" s="49"/>
      <c r="Z726" s="49"/>
      <c r="AA726" s="49"/>
      <c r="AB726" s="49"/>
      <c r="AC726" s="49"/>
    </row>
    <row r="727" spans="1:29">
      <c r="A727" s="62" t="s">
        <v>512</v>
      </c>
      <c r="B727" s="61" t="s">
        <v>768</v>
      </c>
      <c r="C727" s="271">
        <v>5300</v>
      </c>
      <c r="D727" s="364">
        <v>3088.86</v>
      </c>
      <c r="E727" s="274">
        <f t="shared" si="71"/>
        <v>0.41719622641509435</v>
      </c>
      <c r="F727" s="196">
        <f t="shared" si="72"/>
        <v>116.0484702</v>
      </c>
      <c r="G727" s="196">
        <f t="shared" si="73"/>
        <v>91.584699000000001</v>
      </c>
      <c r="H727" s="199">
        <f t="shared" si="74"/>
        <v>77.314165799999998</v>
      </c>
      <c r="I727" s="49"/>
      <c r="J727" s="49"/>
      <c r="K727" s="49"/>
      <c r="L727" s="49"/>
      <c r="M727" s="49"/>
      <c r="N727" s="49"/>
      <c r="O727" s="49"/>
      <c r="P727" s="49"/>
      <c r="Q727" s="49"/>
      <c r="R727" s="49"/>
      <c r="S727" s="49"/>
      <c r="T727" s="49"/>
      <c r="U727" s="49"/>
      <c r="V727" s="49"/>
      <c r="W727" s="49"/>
      <c r="X727" s="49"/>
      <c r="Y727" s="49"/>
      <c r="Z727" s="49"/>
      <c r="AA727" s="49"/>
      <c r="AB727" s="49"/>
      <c r="AC727" s="49"/>
    </row>
    <row r="728" spans="1:29" ht="30">
      <c r="A728" s="62" t="s">
        <v>769</v>
      </c>
      <c r="B728" s="61" t="s">
        <v>127</v>
      </c>
      <c r="C728" s="271">
        <v>1100</v>
      </c>
      <c r="D728" s="364">
        <v>521</v>
      </c>
      <c r="E728" s="274">
        <f t="shared" si="71"/>
        <v>0.52636363636363637</v>
      </c>
      <c r="F728" s="196">
        <f t="shared" si="72"/>
        <v>19.573969999999999</v>
      </c>
      <c r="G728" s="196">
        <f t="shared" si="73"/>
        <v>15.447649999999999</v>
      </c>
      <c r="H728" s="199">
        <f t="shared" si="74"/>
        <v>13.04063</v>
      </c>
      <c r="I728" s="49"/>
      <c r="J728" s="49"/>
      <c r="K728" s="49"/>
      <c r="L728" s="49"/>
      <c r="M728" s="49"/>
      <c r="N728" s="49"/>
      <c r="O728" s="49"/>
      <c r="P728" s="49"/>
      <c r="Q728" s="49"/>
      <c r="R728" s="49"/>
      <c r="S728" s="49"/>
      <c r="T728" s="49"/>
      <c r="U728" s="49"/>
      <c r="V728" s="49"/>
      <c r="W728" s="49"/>
      <c r="X728" s="49"/>
      <c r="Y728" s="49"/>
      <c r="Z728" s="49"/>
      <c r="AA728" s="49"/>
      <c r="AB728" s="49"/>
      <c r="AC728" s="49"/>
    </row>
    <row r="729" spans="1:29">
      <c r="A729" s="62" t="s">
        <v>770</v>
      </c>
      <c r="B729" s="61" t="s">
        <v>129</v>
      </c>
      <c r="C729" s="271">
        <v>785</v>
      </c>
      <c r="D729" s="364">
        <v>372</v>
      </c>
      <c r="E729" s="274">
        <f t="shared" si="71"/>
        <v>0.52611464968152866</v>
      </c>
      <c r="F729" s="196">
        <f t="shared" si="72"/>
        <v>13.976039999999999</v>
      </c>
      <c r="G729" s="196">
        <f t="shared" si="73"/>
        <v>11.0298</v>
      </c>
      <c r="H729" s="199">
        <f t="shared" si="74"/>
        <v>9.3111599999999992</v>
      </c>
      <c r="I729" s="49"/>
      <c r="J729" s="49"/>
      <c r="K729" s="49"/>
      <c r="L729" s="49"/>
      <c r="M729" s="49"/>
      <c r="N729" s="49"/>
      <c r="O729" s="49"/>
      <c r="P729" s="49"/>
      <c r="Q729" s="49"/>
      <c r="R729" s="49"/>
      <c r="S729" s="49"/>
      <c r="T729" s="49"/>
      <c r="U729" s="49"/>
      <c r="V729" s="49"/>
      <c r="W729" s="49"/>
      <c r="X729" s="49"/>
      <c r="Y729" s="49"/>
      <c r="Z729" s="49"/>
      <c r="AA729" s="49"/>
      <c r="AB729" s="49"/>
      <c r="AC729" s="49"/>
    </row>
    <row r="730" spans="1:29">
      <c r="A730" s="62" t="s">
        <v>721</v>
      </c>
      <c r="B730" s="61" t="s">
        <v>771</v>
      </c>
      <c r="C730" s="271">
        <v>668</v>
      </c>
      <c r="D730" s="364">
        <v>317</v>
      </c>
      <c r="E730" s="274">
        <f t="shared" si="71"/>
        <v>0.52544910179640714</v>
      </c>
      <c r="F730" s="196">
        <f t="shared" si="72"/>
        <v>11.909689999999999</v>
      </c>
      <c r="G730" s="196">
        <f t="shared" si="73"/>
        <v>9.399049999999999</v>
      </c>
      <c r="H730" s="199">
        <f t="shared" si="74"/>
        <v>7.9345100000000004</v>
      </c>
      <c r="I730" s="49"/>
      <c r="J730" s="49"/>
      <c r="K730" s="49"/>
      <c r="L730" s="49"/>
      <c r="M730" s="49"/>
      <c r="N730" s="49"/>
      <c r="O730" s="49"/>
      <c r="P730" s="49"/>
      <c r="Q730" s="49"/>
      <c r="R730" s="49"/>
      <c r="S730" s="49"/>
      <c r="T730" s="49"/>
      <c r="U730" s="49"/>
      <c r="V730" s="49"/>
      <c r="W730" s="49"/>
      <c r="X730" s="49"/>
      <c r="Y730" s="49"/>
      <c r="Z730" s="49"/>
      <c r="AA730" s="49"/>
      <c r="AB730" s="49"/>
      <c r="AC730" s="49"/>
    </row>
    <row r="731" spans="1:29">
      <c r="A731" s="62" t="s">
        <v>772</v>
      </c>
      <c r="B731" s="61" t="s">
        <v>133</v>
      </c>
      <c r="C731" s="271">
        <v>821</v>
      </c>
      <c r="D731" s="364">
        <v>389</v>
      </c>
      <c r="E731" s="274">
        <f t="shared" si="71"/>
        <v>0.52618757612667477</v>
      </c>
      <c r="F731" s="196">
        <f t="shared" si="72"/>
        <v>14.61473</v>
      </c>
      <c r="G731" s="196">
        <f t="shared" si="73"/>
        <v>11.533849999999999</v>
      </c>
      <c r="H731" s="199">
        <f t="shared" si="74"/>
        <v>9.7366700000000002</v>
      </c>
      <c r="I731" s="49"/>
      <c r="J731" s="49"/>
      <c r="K731" s="49"/>
      <c r="L731" s="49"/>
      <c r="M731" s="49"/>
      <c r="N731" s="49"/>
      <c r="O731" s="49"/>
      <c r="P731" s="49"/>
      <c r="Q731" s="49"/>
      <c r="R731" s="49"/>
      <c r="S731" s="49"/>
      <c r="T731" s="49"/>
      <c r="U731" s="49"/>
      <c r="V731" s="49"/>
      <c r="W731" s="49"/>
      <c r="X731" s="49"/>
      <c r="Y731" s="49"/>
      <c r="Z731" s="49"/>
      <c r="AA731" s="49"/>
      <c r="AB731" s="49"/>
      <c r="AC731" s="49"/>
    </row>
    <row r="732" spans="1:29">
      <c r="A732" s="62" t="s">
        <v>773</v>
      </c>
      <c r="B732" s="61" t="s">
        <v>135</v>
      </c>
      <c r="C732" s="271">
        <v>690</v>
      </c>
      <c r="D732" s="364">
        <v>327</v>
      </c>
      <c r="E732" s="274">
        <f t="shared" si="71"/>
        <v>0.5260869565217392</v>
      </c>
      <c r="F732" s="196">
        <f t="shared" si="72"/>
        <v>12.28539</v>
      </c>
      <c r="G732" s="196">
        <f t="shared" si="73"/>
        <v>9.695549999999999</v>
      </c>
      <c r="H732" s="199">
        <f t="shared" si="74"/>
        <v>8.1848100000000006</v>
      </c>
      <c r="I732" s="49"/>
      <c r="J732" s="49"/>
      <c r="K732" s="49"/>
      <c r="L732" s="49"/>
      <c r="M732" s="49"/>
      <c r="N732" s="49"/>
      <c r="O732" s="49"/>
      <c r="P732" s="49"/>
      <c r="Q732" s="49"/>
      <c r="R732" s="49"/>
      <c r="S732" s="49"/>
      <c r="T732" s="49"/>
      <c r="U732" s="49"/>
      <c r="V732" s="49"/>
      <c r="W732" s="49"/>
      <c r="X732" s="49"/>
      <c r="Y732" s="49"/>
      <c r="Z732" s="49"/>
      <c r="AA732" s="49"/>
      <c r="AB732" s="49"/>
      <c r="AC732" s="49"/>
    </row>
    <row r="733" spans="1:29">
      <c r="A733" s="79" t="s">
        <v>774</v>
      </c>
      <c r="B733" s="61" t="s">
        <v>137</v>
      </c>
      <c r="C733" s="271">
        <v>191</v>
      </c>
      <c r="D733" s="364">
        <v>91</v>
      </c>
      <c r="E733" s="274">
        <f t="shared" si="71"/>
        <v>0.52356020942408377</v>
      </c>
      <c r="F733" s="196">
        <f t="shared" si="72"/>
        <v>3.4188700000000001</v>
      </c>
      <c r="G733" s="196">
        <f t="shared" si="73"/>
        <v>2.69815</v>
      </c>
      <c r="H733" s="199">
        <f t="shared" si="74"/>
        <v>2.27773</v>
      </c>
      <c r="I733" s="49"/>
      <c r="J733" s="49"/>
      <c r="K733" s="49"/>
      <c r="L733" s="49"/>
      <c r="M733" s="49"/>
      <c r="N733" s="49"/>
      <c r="O733" s="49"/>
      <c r="P733" s="49"/>
      <c r="Q733" s="49"/>
      <c r="R733" s="49"/>
      <c r="S733" s="49"/>
      <c r="T733" s="49"/>
      <c r="U733" s="49"/>
      <c r="V733" s="49"/>
      <c r="W733" s="49"/>
      <c r="X733" s="49"/>
      <c r="Y733" s="49"/>
      <c r="Z733" s="49"/>
      <c r="AA733" s="49"/>
      <c r="AB733" s="49"/>
      <c r="AC733" s="49"/>
    </row>
    <row r="734" spans="1:29" ht="30">
      <c r="A734" s="62" t="s">
        <v>723</v>
      </c>
      <c r="B734" s="61" t="s">
        <v>775</v>
      </c>
      <c r="C734" s="271">
        <v>1500</v>
      </c>
      <c r="D734" s="364">
        <v>711</v>
      </c>
      <c r="E734" s="274">
        <f t="shared" si="71"/>
        <v>0.52600000000000002</v>
      </c>
      <c r="F734" s="196">
        <f t="shared" si="72"/>
        <v>26.71227</v>
      </c>
      <c r="G734" s="196">
        <f t="shared" si="73"/>
        <v>21.081150000000001</v>
      </c>
      <c r="H734" s="199">
        <f t="shared" si="74"/>
        <v>17.796330000000001</v>
      </c>
      <c r="I734" s="49"/>
      <c r="J734" s="49"/>
      <c r="K734" s="49"/>
      <c r="L734" s="49"/>
      <c r="M734" s="49"/>
      <c r="N734" s="49"/>
      <c r="O734" s="49"/>
      <c r="P734" s="49"/>
      <c r="Q734" s="49"/>
      <c r="R734" s="49"/>
      <c r="S734" s="49"/>
      <c r="T734" s="49"/>
      <c r="U734" s="49"/>
      <c r="V734" s="49"/>
      <c r="W734" s="49"/>
      <c r="X734" s="49"/>
      <c r="Y734" s="49"/>
      <c r="Z734" s="49"/>
      <c r="AA734" s="49"/>
      <c r="AB734" s="49"/>
      <c r="AC734" s="49"/>
    </row>
    <row r="735" spans="1:29">
      <c r="A735" s="62" t="s">
        <v>776</v>
      </c>
      <c r="B735" s="61" t="s">
        <v>141</v>
      </c>
      <c r="C735" s="271">
        <v>250</v>
      </c>
      <c r="D735" s="364">
        <v>119</v>
      </c>
      <c r="E735" s="274">
        <f t="shared" si="71"/>
        <v>0.52400000000000002</v>
      </c>
      <c r="F735" s="196">
        <f t="shared" si="72"/>
        <v>4.4708300000000003</v>
      </c>
      <c r="G735" s="196">
        <f t="shared" si="73"/>
        <v>3.5283500000000001</v>
      </c>
      <c r="H735" s="199">
        <f t="shared" si="74"/>
        <v>2.9785699999999999</v>
      </c>
      <c r="I735" s="49"/>
      <c r="J735" s="49"/>
      <c r="K735" s="49"/>
      <c r="L735" s="49"/>
      <c r="M735" s="49"/>
      <c r="N735" s="49"/>
      <c r="O735" s="49"/>
      <c r="P735" s="49"/>
      <c r="Q735" s="49"/>
      <c r="R735" s="49"/>
      <c r="S735" s="49"/>
      <c r="T735" s="49"/>
      <c r="U735" s="49"/>
      <c r="V735" s="49"/>
      <c r="W735" s="49"/>
      <c r="X735" s="49"/>
      <c r="Y735" s="49"/>
      <c r="Z735" s="49"/>
      <c r="AA735" s="49"/>
      <c r="AB735" s="49"/>
      <c r="AC735" s="49"/>
    </row>
    <row r="736" spans="1:29">
      <c r="A736" s="62" t="s">
        <v>725</v>
      </c>
      <c r="B736" s="61" t="s">
        <v>155</v>
      </c>
      <c r="C736" s="271">
        <v>223</v>
      </c>
      <c r="D736" s="364">
        <v>106</v>
      </c>
      <c r="E736" s="274">
        <f t="shared" si="71"/>
        <v>0.5246636771300448</v>
      </c>
      <c r="F736" s="196">
        <f t="shared" si="72"/>
        <v>3.9824199999999998</v>
      </c>
      <c r="G736" s="196">
        <f t="shared" si="73"/>
        <v>3.1429</v>
      </c>
      <c r="H736" s="199">
        <f t="shared" si="74"/>
        <v>2.6531799999999999</v>
      </c>
      <c r="I736" s="49"/>
      <c r="J736" s="49"/>
      <c r="K736" s="49"/>
      <c r="L736" s="49"/>
      <c r="M736" s="49"/>
      <c r="N736" s="49"/>
      <c r="O736" s="49"/>
      <c r="P736" s="49"/>
      <c r="Q736" s="49"/>
      <c r="R736" s="49"/>
      <c r="S736" s="49"/>
      <c r="T736" s="49"/>
      <c r="U736" s="49"/>
      <c r="V736" s="49"/>
      <c r="W736" s="49"/>
      <c r="X736" s="49"/>
      <c r="Y736" s="49"/>
      <c r="Z736" s="49"/>
      <c r="AA736" s="49"/>
      <c r="AB736" s="49"/>
      <c r="AC736" s="49"/>
    </row>
    <row r="737" spans="1:29">
      <c r="A737" s="62" t="s">
        <v>158</v>
      </c>
      <c r="B737" s="61" t="s">
        <v>159</v>
      </c>
      <c r="C737" s="271">
        <v>123</v>
      </c>
      <c r="D737" s="364">
        <v>59</v>
      </c>
      <c r="E737" s="274">
        <f t="shared" si="71"/>
        <v>0.52032520325203246</v>
      </c>
      <c r="F737" s="196">
        <f t="shared" si="72"/>
        <v>2.2166299999999999</v>
      </c>
      <c r="G737" s="196">
        <f t="shared" si="73"/>
        <v>1.74935</v>
      </c>
      <c r="H737" s="199">
        <f t="shared" si="74"/>
        <v>1.4767699999999999</v>
      </c>
      <c r="I737" s="49"/>
      <c r="J737" s="49"/>
      <c r="K737" s="49"/>
      <c r="L737" s="49"/>
      <c r="M737" s="49"/>
      <c r="N737" s="49"/>
      <c r="O737" s="49"/>
      <c r="P737" s="49"/>
      <c r="Q737" s="49"/>
      <c r="R737" s="49"/>
      <c r="S737" s="49"/>
      <c r="T737" s="49"/>
      <c r="U737" s="49"/>
      <c r="V737" s="49"/>
      <c r="W737" s="49"/>
      <c r="X737" s="49"/>
      <c r="Y737" s="49"/>
      <c r="Z737" s="49"/>
      <c r="AA737" s="49"/>
      <c r="AB737" s="49"/>
      <c r="AC737" s="49"/>
    </row>
    <row r="738" spans="1:29">
      <c r="A738" s="62" t="s">
        <v>156</v>
      </c>
      <c r="B738" s="61" t="s">
        <v>777</v>
      </c>
      <c r="C738" s="271">
        <v>126</v>
      </c>
      <c r="D738" s="364">
        <v>60</v>
      </c>
      <c r="E738" s="274">
        <f t="shared" si="71"/>
        <v>0.52380952380952384</v>
      </c>
      <c r="F738" s="196">
        <f t="shared" si="72"/>
        <v>2.2542</v>
      </c>
      <c r="G738" s="196">
        <f t="shared" si="73"/>
        <v>1.7789999999999999</v>
      </c>
      <c r="H738" s="199">
        <f t="shared" si="74"/>
        <v>1.5018</v>
      </c>
      <c r="I738" s="49"/>
      <c r="J738" s="49"/>
      <c r="K738" s="49"/>
      <c r="L738" s="49"/>
      <c r="M738" s="49"/>
      <c r="N738" s="49"/>
      <c r="O738" s="49"/>
      <c r="P738" s="49"/>
      <c r="Q738" s="49"/>
      <c r="R738" s="49"/>
      <c r="S738" s="49"/>
      <c r="T738" s="49"/>
      <c r="U738" s="49"/>
      <c r="V738" s="49"/>
      <c r="W738" s="49"/>
      <c r="X738" s="49"/>
      <c r="Y738" s="49"/>
      <c r="Z738" s="49"/>
      <c r="AA738" s="49"/>
      <c r="AB738" s="49"/>
      <c r="AC738" s="49"/>
    </row>
    <row r="739" spans="1:29">
      <c r="A739" s="62" t="s">
        <v>728</v>
      </c>
      <c r="B739" s="61" t="s">
        <v>778</v>
      </c>
      <c r="C739" s="271">
        <v>200</v>
      </c>
      <c r="D739" s="364">
        <v>95</v>
      </c>
      <c r="E739" s="274">
        <f t="shared" si="71"/>
        <v>0.52500000000000002</v>
      </c>
      <c r="F739" s="196">
        <f t="shared" si="72"/>
        <v>3.56915</v>
      </c>
      <c r="G739" s="196">
        <f t="shared" si="73"/>
        <v>2.8167499999999999</v>
      </c>
      <c r="H739" s="199">
        <f t="shared" si="74"/>
        <v>2.37785</v>
      </c>
      <c r="I739" s="49"/>
      <c r="J739" s="49"/>
      <c r="K739" s="49"/>
      <c r="L739" s="49"/>
      <c r="M739" s="49"/>
      <c r="N739" s="49"/>
      <c r="O739" s="49"/>
      <c r="P739" s="49"/>
      <c r="Q739" s="49"/>
      <c r="R739" s="49"/>
      <c r="S739" s="49"/>
      <c r="T739" s="49"/>
      <c r="U739" s="49"/>
      <c r="V739" s="49"/>
      <c r="W739" s="49"/>
      <c r="X739" s="49"/>
      <c r="Y739" s="49"/>
      <c r="Z739" s="49"/>
      <c r="AA739" s="49"/>
      <c r="AB739" s="49"/>
      <c r="AC739" s="49"/>
    </row>
    <row r="740" spans="1:29">
      <c r="A740" s="62" t="s">
        <v>730</v>
      </c>
      <c r="B740" s="61" t="s">
        <v>779</v>
      </c>
      <c r="C740" s="271">
        <v>279</v>
      </c>
      <c r="D740" s="364">
        <v>133</v>
      </c>
      <c r="E740" s="274">
        <f t="shared" si="71"/>
        <v>0.52329749103942658</v>
      </c>
      <c r="F740" s="196">
        <f t="shared" si="72"/>
        <v>4.99681</v>
      </c>
      <c r="G740" s="196">
        <f t="shared" si="73"/>
        <v>3.9434499999999999</v>
      </c>
      <c r="H740" s="199">
        <f t="shared" si="74"/>
        <v>3.3289900000000001</v>
      </c>
      <c r="I740" s="49"/>
      <c r="J740" s="49"/>
      <c r="K740" s="49"/>
      <c r="L740" s="49"/>
      <c r="M740" s="49"/>
      <c r="N740" s="49"/>
      <c r="O740" s="49"/>
      <c r="P740" s="49"/>
      <c r="Q740" s="49"/>
      <c r="R740" s="49"/>
      <c r="S740" s="49"/>
      <c r="T740" s="49"/>
      <c r="U740" s="49"/>
      <c r="V740" s="49"/>
      <c r="W740" s="49"/>
      <c r="X740" s="49"/>
      <c r="Y740" s="49"/>
      <c r="Z740" s="49"/>
      <c r="AA740" s="49"/>
      <c r="AB740" s="49"/>
      <c r="AC740" s="49"/>
    </row>
    <row r="741" spans="1:29">
      <c r="A741" s="62" t="s">
        <v>160</v>
      </c>
      <c r="B741" s="61" t="s">
        <v>161</v>
      </c>
      <c r="C741" s="271">
        <v>112</v>
      </c>
      <c r="D741" s="364">
        <v>54</v>
      </c>
      <c r="E741" s="274">
        <f t="shared" si="71"/>
        <v>0.51785714285714279</v>
      </c>
      <c r="F741" s="196">
        <f t="shared" si="72"/>
        <v>2.0287799999999998</v>
      </c>
      <c r="G741" s="196">
        <f t="shared" si="73"/>
        <v>1.6011</v>
      </c>
      <c r="H741" s="199">
        <f t="shared" si="74"/>
        <v>1.35162</v>
      </c>
      <c r="M741" s="49"/>
      <c r="N741" s="49"/>
      <c r="O741" s="49"/>
      <c r="P741" s="49"/>
      <c r="Q741" s="49"/>
      <c r="R741" s="49"/>
      <c r="S741" s="49"/>
      <c r="T741" s="49"/>
      <c r="U741" s="49"/>
      <c r="V741" s="49"/>
      <c r="W741" s="49"/>
      <c r="X741" s="49"/>
      <c r="Y741" s="49"/>
      <c r="Z741" s="49"/>
      <c r="AA741" s="49"/>
      <c r="AB741" s="49"/>
      <c r="AC741" s="49"/>
    </row>
    <row r="742" spans="1:29">
      <c r="A742" s="62" t="s">
        <v>144</v>
      </c>
      <c r="B742" s="61" t="s">
        <v>145</v>
      </c>
      <c r="C742" s="271">
        <v>947</v>
      </c>
      <c r="D742" s="364">
        <v>430</v>
      </c>
      <c r="E742" s="274">
        <f t="shared" si="71"/>
        <v>0.5459345300950369</v>
      </c>
      <c r="F742" s="196">
        <f t="shared" si="72"/>
        <v>16.155100000000001</v>
      </c>
      <c r="G742" s="196">
        <f t="shared" si="73"/>
        <v>12.749499999999999</v>
      </c>
      <c r="H742" s="199">
        <f t="shared" si="74"/>
        <v>10.7629</v>
      </c>
      <c r="M742" s="49"/>
      <c r="N742" s="49"/>
      <c r="O742" s="49"/>
      <c r="P742" s="49"/>
      <c r="Q742" s="49"/>
      <c r="R742" s="49"/>
      <c r="S742" s="49"/>
      <c r="T742" s="49"/>
      <c r="U742" s="49"/>
      <c r="V742" s="49"/>
      <c r="W742" s="49"/>
      <c r="X742" s="49"/>
      <c r="Y742" s="49"/>
      <c r="Z742" s="49"/>
      <c r="AA742" s="49"/>
      <c r="AB742" s="49"/>
      <c r="AC742" s="49"/>
    </row>
    <row r="743" spans="1:29">
      <c r="A743" s="62" t="s">
        <v>498</v>
      </c>
      <c r="B743" s="61" t="s">
        <v>163</v>
      </c>
      <c r="C743" s="271">
        <v>69</v>
      </c>
      <c r="D743" s="364">
        <v>33</v>
      </c>
      <c r="E743" s="274">
        <f t="shared" si="71"/>
        <v>0.52173913043478259</v>
      </c>
      <c r="F743" s="196">
        <f t="shared" si="72"/>
        <v>1.2398100000000001</v>
      </c>
      <c r="G743" s="196">
        <f t="shared" si="73"/>
        <v>0.97844999999999993</v>
      </c>
      <c r="H743" s="199">
        <f t="shared" si="74"/>
        <v>0.82599</v>
      </c>
      <c r="M743" s="49"/>
      <c r="N743" s="49"/>
      <c r="O743" s="49"/>
      <c r="P743" s="49"/>
      <c r="Q743" s="49"/>
      <c r="R743" s="49"/>
      <c r="S743" s="49"/>
      <c r="T743" s="49"/>
      <c r="U743" s="49"/>
      <c r="V743" s="49"/>
      <c r="W743" s="49"/>
      <c r="X743" s="49"/>
      <c r="Y743" s="49"/>
      <c r="Z743" s="49"/>
      <c r="AA743" s="49"/>
      <c r="AB743" s="49"/>
      <c r="AC743" s="49"/>
    </row>
    <row r="744" spans="1:29">
      <c r="A744" s="63" t="s">
        <v>494</v>
      </c>
      <c r="B744" s="61" t="s">
        <v>146</v>
      </c>
      <c r="C744" s="271">
        <v>423</v>
      </c>
      <c r="D744" s="364">
        <v>201</v>
      </c>
      <c r="E744" s="274">
        <f t="shared" si="71"/>
        <v>0.52482269503546097</v>
      </c>
      <c r="F744" s="196">
        <f t="shared" si="72"/>
        <v>7.5515699999999999</v>
      </c>
      <c r="G744" s="196">
        <f t="shared" si="73"/>
        <v>5.9596499999999999</v>
      </c>
      <c r="H744" s="199">
        <f t="shared" si="74"/>
        <v>5.0310300000000003</v>
      </c>
      <c r="M744" s="49"/>
      <c r="N744" s="49"/>
      <c r="O744" s="49"/>
      <c r="P744" s="49"/>
      <c r="Q744" s="49"/>
      <c r="R744" s="49"/>
      <c r="S744" s="49"/>
      <c r="T744" s="49"/>
      <c r="U744" s="49"/>
      <c r="V744" s="49"/>
      <c r="W744" s="49"/>
      <c r="X744" s="49"/>
      <c r="Y744" s="49"/>
      <c r="Z744" s="49"/>
      <c r="AA744" s="49"/>
      <c r="AB744" s="49"/>
      <c r="AC744" s="49"/>
    </row>
    <row r="745" spans="1:29">
      <c r="A745" s="62" t="s">
        <v>385</v>
      </c>
      <c r="B745" s="61" t="s">
        <v>386</v>
      </c>
      <c r="C745" s="271">
        <v>275</v>
      </c>
      <c r="D745" s="364">
        <v>227</v>
      </c>
      <c r="E745" s="274">
        <f t="shared" si="71"/>
        <v>0.17454545454545456</v>
      </c>
      <c r="F745" s="196">
        <f t="shared" si="72"/>
        <v>8.5283899999999999</v>
      </c>
      <c r="G745" s="196">
        <f t="shared" si="73"/>
        <v>6.73055</v>
      </c>
      <c r="H745" s="199">
        <f t="shared" si="74"/>
        <v>5.6818100000000005</v>
      </c>
      <c r="M745" s="49"/>
      <c r="N745" s="49"/>
      <c r="O745" s="49"/>
      <c r="P745" s="49"/>
      <c r="Q745" s="49"/>
      <c r="R745" s="49"/>
      <c r="S745" s="49"/>
      <c r="T745" s="49"/>
      <c r="U745" s="49"/>
      <c r="V745" s="49"/>
      <c r="W745" s="49"/>
      <c r="X745" s="49"/>
      <c r="Y745" s="49"/>
      <c r="Z745" s="49"/>
      <c r="AA745" s="49"/>
      <c r="AB745" s="49"/>
      <c r="AC745" s="49"/>
    </row>
    <row r="746" spans="1:29">
      <c r="A746" s="62" t="s">
        <v>54</v>
      </c>
      <c r="B746" s="61" t="s">
        <v>55</v>
      </c>
      <c r="C746" s="271">
        <v>317</v>
      </c>
      <c r="D746" s="364">
        <v>151</v>
      </c>
      <c r="E746" s="274">
        <f t="shared" si="71"/>
        <v>0.52365930599369093</v>
      </c>
      <c r="F746" s="196">
        <f t="shared" si="72"/>
        <v>5.6730700000000001</v>
      </c>
      <c r="G746" s="196">
        <f t="shared" si="73"/>
        <v>4.47715</v>
      </c>
      <c r="H746" s="199">
        <f t="shared" si="74"/>
        <v>3.7795299999999998</v>
      </c>
      <c r="M746" s="49"/>
      <c r="N746" s="49"/>
      <c r="O746" s="49"/>
      <c r="P746" s="49"/>
      <c r="Q746" s="49"/>
      <c r="R746" s="49"/>
      <c r="S746" s="49"/>
      <c r="T746" s="49"/>
      <c r="U746" s="49"/>
      <c r="V746" s="49"/>
      <c r="W746" s="49"/>
      <c r="X746" s="49"/>
      <c r="Y746" s="49"/>
      <c r="Z746" s="49"/>
      <c r="AA746" s="49"/>
      <c r="AB746" s="49"/>
      <c r="AC746" s="49"/>
    </row>
    <row r="747" spans="1:29">
      <c r="A747" s="62" t="s">
        <v>149</v>
      </c>
      <c r="B747" s="61" t="s">
        <v>150</v>
      </c>
      <c r="C747" s="271">
        <v>60</v>
      </c>
      <c r="D747" s="364">
        <v>29</v>
      </c>
      <c r="E747" s="274">
        <f t="shared" si="71"/>
        <v>0.51666666666666661</v>
      </c>
      <c r="F747" s="196">
        <f t="shared" si="72"/>
        <v>1.0895299999999999</v>
      </c>
      <c r="G747" s="196">
        <f t="shared" si="73"/>
        <v>0.85985</v>
      </c>
      <c r="H747" s="199">
        <f t="shared" si="74"/>
        <v>0.72587000000000002</v>
      </c>
      <c r="M747" s="49"/>
      <c r="N747" s="49"/>
      <c r="O747" s="49"/>
      <c r="P747" s="49"/>
      <c r="Q747" s="49"/>
      <c r="R747" s="49"/>
      <c r="S747" s="49"/>
      <c r="T747" s="49"/>
      <c r="U747" s="49"/>
      <c r="V747" s="49"/>
      <c r="W747" s="49"/>
      <c r="X747" s="49"/>
      <c r="Y747" s="49"/>
      <c r="Z747" s="49"/>
      <c r="AA747" s="49"/>
      <c r="AB747" s="49"/>
      <c r="AC747" s="49"/>
    </row>
    <row r="748" spans="1:29">
      <c r="A748" s="62" t="s">
        <v>147</v>
      </c>
      <c r="B748" s="61" t="s">
        <v>148</v>
      </c>
      <c r="C748" s="271">
        <v>846</v>
      </c>
      <c r="D748" s="364">
        <v>401</v>
      </c>
      <c r="E748" s="274">
        <f t="shared" si="71"/>
        <v>0.52600472813238763</v>
      </c>
      <c r="F748" s="196">
        <f t="shared" si="72"/>
        <v>15.065569999999999</v>
      </c>
      <c r="G748" s="196">
        <f t="shared" si="73"/>
        <v>11.88965</v>
      </c>
      <c r="H748" s="199">
        <f t="shared" si="74"/>
        <v>10.03703</v>
      </c>
      <c r="M748" s="49"/>
      <c r="N748" s="49"/>
      <c r="O748" s="49"/>
      <c r="P748" s="49"/>
      <c r="Q748" s="49"/>
      <c r="R748" s="49"/>
      <c r="S748" s="49"/>
      <c r="T748" s="49"/>
      <c r="U748" s="49"/>
      <c r="V748" s="49"/>
      <c r="W748" s="49"/>
      <c r="X748" s="49"/>
      <c r="Y748" s="49"/>
      <c r="Z748" s="49"/>
      <c r="AA748" s="49"/>
      <c r="AB748" s="49"/>
      <c r="AC748" s="49"/>
    </row>
    <row r="749" spans="1:29">
      <c r="A749" s="93" t="s">
        <v>166</v>
      </c>
      <c r="B749" s="61" t="s">
        <v>167</v>
      </c>
      <c r="C749" s="271">
        <v>30</v>
      </c>
      <c r="D749" s="364">
        <v>15</v>
      </c>
      <c r="E749" s="274">
        <f t="shared" si="71"/>
        <v>0.5</v>
      </c>
      <c r="F749" s="196">
        <f t="shared" si="72"/>
        <v>0.56355</v>
      </c>
      <c r="G749" s="196">
        <f t="shared" si="73"/>
        <v>0.44474999999999998</v>
      </c>
      <c r="H749" s="199">
        <f t="shared" si="74"/>
        <v>0.37545000000000001</v>
      </c>
      <c r="M749" s="49"/>
      <c r="N749" s="49"/>
      <c r="O749" s="49"/>
      <c r="P749" s="49"/>
      <c r="Q749" s="49"/>
      <c r="R749" s="49"/>
      <c r="S749" s="49"/>
      <c r="T749" s="49"/>
      <c r="U749" s="49"/>
      <c r="V749" s="49"/>
      <c r="W749" s="49"/>
      <c r="X749" s="49"/>
      <c r="Y749" s="49"/>
      <c r="Z749" s="49"/>
      <c r="AA749" s="49"/>
      <c r="AB749" s="49"/>
      <c r="AC749" s="49"/>
    </row>
    <row r="750" spans="1:29">
      <c r="A750" s="62" t="s">
        <v>734</v>
      </c>
      <c r="B750" s="61" t="s">
        <v>780</v>
      </c>
      <c r="C750" s="271">
        <v>260</v>
      </c>
      <c r="D750" s="364">
        <v>123.72413793103451</v>
      </c>
      <c r="E750" s="274">
        <f t="shared" si="71"/>
        <v>0.5241379310344827</v>
      </c>
      <c r="F750" s="196">
        <f t="shared" si="72"/>
        <v>4.6483158620689666</v>
      </c>
      <c r="G750" s="196">
        <f t="shared" si="73"/>
        <v>3.6684206896551732</v>
      </c>
      <c r="H750" s="199">
        <f t="shared" si="74"/>
        <v>3.0968151724137938</v>
      </c>
      <c r="M750" s="49"/>
      <c r="N750" s="49"/>
      <c r="O750" s="49"/>
      <c r="P750" s="49"/>
      <c r="Q750" s="49"/>
      <c r="R750" s="49"/>
      <c r="S750" s="49"/>
      <c r="T750" s="49"/>
      <c r="U750" s="49"/>
      <c r="V750" s="49"/>
      <c r="W750" s="49"/>
      <c r="X750" s="49"/>
      <c r="Y750" s="49"/>
      <c r="Z750" s="49"/>
      <c r="AA750" s="49"/>
      <c r="AB750" s="49"/>
      <c r="AC750" s="49"/>
    </row>
    <row r="751" spans="1:29">
      <c r="A751" s="60" t="s">
        <v>377</v>
      </c>
      <c r="B751" s="61"/>
      <c r="C751" s="271"/>
      <c r="D751" s="364"/>
      <c r="E751" s="274"/>
      <c r="F751" s="196"/>
      <c r="G751" s="196"/>
      <c r="H751" s="199"/>
      <c r="M751" s="49"/>
      <c r="N751" s="49"/>
      <c r="O751" s="49"/>
      <c r="P751" s="49"/>
      <c r="Q751" s="49"/>
      <c r="R751" s="49"/>
      <c r="S751" s="49"/>
      <c r="T751" s="49"/>
      <c r="U751" s="49"/>
      <c r="V751" s="49"/>
      <c r="W751" s="49"/>
      <c r="X751" s="49"/>
      <c r="Y751" s="49"/>
      <c r="Z751" s="49"/>
      <c r="AA751" s="49"/>
      <c r="AB751" s="49"/>
      <c r="AC751" s="49"/>
    </row>
    <row r="752" spans="1:29">
      <c r="A752" s="71" t="s">
        <v>168</v>
      </c>
      <c r="B752" s="61" t="s">
        <v>169</v>
      </c>
      <c r="C752" s="271">
        <f>VLOOKUP($A$8:$A$1487,'[7]MFP''s'!A$8:C$1502,3,FALSE)</f>
        <v>250</v>
      </c>
      <c r="D752" s="364">
        <v>250</v>
      </c>
      <c r="E752" s="274">
        <f t="shared" ref="E752" si="75">100%-(D752/C752)</f>
        <v>0</v>
      </c>
      <c r="F752" s="196">
        <f t="shared" ref="F752" si="76">D752*$F$1</f>
        <v>9.3925000000000001</v>
      </c>
      <c r="G752" s="196">
        <f t="shared" ref="G752" si="77">D752*$G$1</f>
        <v>7.4124999999999996</v>
      </c>
      <c r="H752" s="199">
        <f t="shared" ref="H752" si="78">D752*$H$1</f>
        <v>6.2575000000000003</v>
      </c>
      <c r="M752" s="49"/>
      <c r="N752" s="49"/>
      <c r="O752" s="49"/>
      <c r="P752" s="49"/>
      <c r="Q752" s="49"/>
      <c r="R752" s="49"/>
      <c r="S752" s="49"/>
      <c r="T752" s="49"/>
      <c r="U752" s="49"/>
      <c r="V752" s="49"/>
      <c r="W752" s="49"/>
      <c r="X752" s="49"/>
      <c r="Y752" s="49"/>
      <c r="Z752" s="49"/>
      <c r="AA752" s="49"/>
      <c r="AB752" s="49"/>
      <c r="AC752" s="49"/>
    </row>
    <row r="753" spans="1:29">
      <c r="A753" s="212"/>
      <c r="B753" s="213"/>
      <c r="C753" s="215"/>
      <c r="D753" s="369"/>
      <c r="E753" s="215"/>
      <c r="F753" s="215"/>
      <c r="G753" s="215"/>
      <c r="H753" s="216"/>
      <c r="M753" s="49"/>
      <c r="N753" s="49"/>
      <c r="O753" s="49"/>
      <c r="P753" s="49"/>
      <c r="Q753" s="49"/>
      <c r="R753" s="49"/>
      <c r="S753" s="49"/>
      <c r="T753" s="49"/>
      <c r="U753" s="49"/>
      <c r="V753" s="49"/>
      <c r="W753" s="49"/>
      <c r="X753" s="49"/>
      <c r="Y753" s="49"/>
      <c r="Z753" s="49"/>
      <c r="AA753" s="49"/>
      <c r="AB753" s="49"/>
      <c r="AC753" s="49"/>
    </row>
    <row r="754" spans="1:29" ht="90">
      <c r="A754" s="220" t="s">
        <v>429</v>
      </c>
      <c r="B754" s="221" t="s">
        <v>687</v>
      </c>
      <c r="C754" s="271">
        <f>VLOOKUP($A$8:$A$1487,'[7]MFP''s'!A$8:C$1502,3,FALSE)</f>
        <v>4200</v>
      </c>
      <c r="D754" s="364">
        <v>2100</v>
      </c>
      <c r="E754" s="274">
        <f t="shared" ref="E754:E805" si="79">100%-(D754/C754)</f>
        <v>0.5</v>
      </c>
      <c r="F754" s="196">
        <f t="shared" ref="F754:F767" si="80">D754*$F$1</f>
        <v>78.896999999999991</v>
      </c>
      <c r="G754" s="196">
        <f t="shared" ref="G754:G776" si="81">D754*$G$1</f>
        <v>62.265000000000001</v>
      </c>
      <c r="H754" s="199">
        <f t="shared" ref="H754:H776" si="82">D754*$H$1</f>
        <v>52.563000000000002</v>
      </c>
      <c r="M754" s="49"/>
      <c r="N754" s="49"/>
      <c r="O754" s="49"/>
      <c r="P754" s="49"/>
      <c r="Q754" s="49"/>
      <c r="R754" s="49"/>
      <c r="S754" s="49"/>
      <c r="T754" s="49"/>
      <c r="U754" s="49"/>
      <c r="V754" s="49"/>
      <c r="W754" s="49"/>
      <c r="X754" s="49"/>
      <c r="Y754" s="49"/>
      <c r="Z754" s="49"/>
      <c r="AA754" s="49"/>
      <c r="AB754" s="49"/>
      <c r="AC754" s="49"/>
    </row>
    <row r="755" spans="1:29">
      <c r="A755" s="195" t="s">
        <v>384</v>
      </c>
      <c r="B755" s="197"/>
      <c r="C755" s="271"/>
      <c r="D755" s="357"/>
      <c r="E755" s="274"/>
      <c r="F755" s="196"/>
      <c r="G755" s="196"/>
      <c r="H755" s="199"/>
      <c r="M755" s="49"/>
      <c r="N755" s="49"/>
      <c r="O755" s="49"/>
      <c r="P755" s="49"/>
      <c r="Q755" s="49"/>
      <c r="R755" s="49"/>
      <c r="S755" s="49"/>
      <c r="T755" s="49"/>
      <c r="U755" s="49"/>
      <c r="V755" s="49"/>
      <c r="W755" s="49"/>
      <c r="X755" s="49"/>
      <c r="Y755" s="49"/>
      <c r="Z755" s="49"/>
      <c r="AA755" s="49"/>
      <c r="AB755" s="49"/>
      <c r="AC755" s="49"/>
    </row>
    <row r="756" spans="1:29">
      <c r="A756" s="200" t="s">
        <v>75</v>
      </c>
      <c r="B756" s="61"/>
      <c r="C756" s="271"/>
      <c r="D756" s="364"/>
      <c r="E756" s="274"/>
      <c r="F756" s="196"/>
      <c r="G756" s="196"/>
      <c r="H756" s="199"/>
      <c r="M756" s="49"/>
      <c r="N756" s="49"/>
      <c r="O756" s="49"/>
      <c r="P756" s="49"/>
      <c r="Q756" s="49"/>
      <c r="R756" s="49"/>
      <c r="S756" s="49"/>
      <c r="T756" s="49"/>
      <c r="U756" s="49"/>
      <c r="V756" s="49"/>
      <c r="W756" s="49"/>
      <c r="X756" s="49"/>
      <c r="Y756" s="49"/>
      <c r="Z756" s="49"/>
      <c r="AA756" s="49"/>
      <c r="AB756" s="49"/>
      <c r="AC756" s="49"/>
    </row>
    <row r="757" spans="1:29">
      <c r="A757" s="93" t="s">
        <v>421</v>
      </c>
      <c r="B757" s="61" t="s">
        <v>422</v>
      </c>
      <c r="C757" s="271">
        <f>VLOOKUP($A$8:$A$1487,'[7]MFP''s'!A$8:C$1502,3,FALSE)</f>
        <v>340</v>
      </c>
      <c r="D757" s="364">
        <v>208.07999999999998</v>
      </c>
      <c r="E757" s="274">
        <f t="shared" si="79"/>
        <v>0.38800000000000001</v>
      </c>
      <c r="F757" s="196">
        <f t="shared" si="80"/>
        <v>7.8175655999999991</v>
      </c>
      <c r="G757" s="196">
        <f t="shared" si="81"/>
        <v>6.1695719999999996</v>
      </c>
      <c r="H757" s="199">
        <f t="shared" si="82"/>
        <v>5.2082423999999996</v>
      </c>
      <c r="M757" s="49"/>
      <c r="N757" s="49"/>
      <c r="O757" s="49"/>
      <c r="P757" s="49"/>
      <c r="Q757" s="49"/>
      <c r="R757" s="49"/>
      <c r="S757" s="49"/>
      <c r="T757" s="49"/>
      <c r="U757" s="49"/>
      <c r="V757" s="49"/>
      <c r="W757" s="49"/>
      <c r="X757" s="49"/>
      <c r="Y757" s="49"/>
      <c r="Z757" s="49"/>
      <c r="AA757" s="49"/>
      <c r="AB757" s="49"/>
      <c r="AC757" s="49"/>
    </row>
    <row r="758" spans="1:29">
      <c r="A758" s="93" t="s">
        <v>423</v>
      </c>
      <c r="B758" s="61" t="s">
        <v>424</v>
      </c>
      <c r="C758" s="271">
        <f>VLOOKUP($A$8:$A$1487,'[7]MFP''s'!A$8:C$1502,3,FALSE)</f>
        <v>296</v>
      </c>
      <c r="D758" s="364">
        <v>182</v>
      </c>
      <c r="E758" s="274">
        <f t="shared" si="79"/>
        <v>0.38513513513513509</v>
      </c>
      <c r="F758" s="196">
        <f t="shared" si="80"/>
        <v>6.8377400000000002</v>
      </c>
      <c r="G758" s="196">
        <f t="shared" si="81"/>
        <v>5.3963000000000001</v>
      </c>
      <c r="H758" s="199">
        <f t="shared" si="82"/>
        <v>4.5554600000000001</v>
      </c>
      <c r="M758" s="49"/>
      <c r="N758" s="49"/>
      <c r="O758" s="49"/>
      <c r="P758" s="49"/>
      <c r="Q758" s="49"/>
      <c r="R758" s="49"/>
      <c r="S758" s="49"/>
      <c r="T758" s="49"/>
      <c r="U758" s="49"/>
      <c r="V758" s="49"/>
      <c r="W758" s="49"/>
      <c r="X758" s="49"/>
      <c r="Y758" s="49"/>
      <c r="Z758" s="49"/>
      <c r="AA758" s="49"/>
      <c r="AB758" s="49"/>
      <c r="AC758" s="49"/>
    </row>
    <row r="759" spans="1:29">
      <c r="A759" s="200" t="s">
        <v>66</v>
      </c>
      <c r="B759" s="61"/>
      <c r="C759" s="271"/>
      <c r="D759" s="364"/>
      <c r="E759" s="274"/>
      <c r="F759" s="196"/>
      <c r="G759" s="196"/>
      <c r="H759" s="199"/>
      <c r="M759" s="49"/>
      <c r="N759" s="49"/>
      <c r="O759" s="49"/>
      <c r="P759" s="49"/>
      <c r="Q759" s="49"/>
      <c r="R759" s="49"/>
      <c r="S759" s="49"/>
      <c r="T759" s="49"/>
      <c r="U759" s="49"/>
      <c r="V759" s="49"/>
      <c r="W759" s="49"/>
      <c r="X759" s="49"/>
      <c r="Y759" s="49"/>
      <c r="Z759" s="49"/>
      <c r="AA759" s="49"/>
      <c r="AB759" s="49"/>
      <c r="AC759" s="49"/>
    </row>
    <row r="760" spans="1:29">
      <c r="A760" s="93" t="s">
        <v>425</v>
      </c>
      <c r="B760" s="61" t="s">
        <v>426</v>
      </c>
      <c r="C760" s="271">
        <f>VLOOKUP($A$8:$A$1487,'[7]MFP''s'!A$8:C$1502,3,FALSE)</f>
        <v>299</v>
      </c>
      <c r="D760" s="364">
        <v>149.5</v>
      </c>
      <c r="E760" s="274">
        <f t="shared" si="79"/>
        <v>0.5</v>
      </c>
      <c r="F760" s="196">
        <f t="shared" si="80"/>
        <v>5.6167150000000001</v>
      </c>
      <c r="G760" s="196">
        <f t="shared" si="81"/>
        <v>4.4326749999999997</v>
      </c>
      <c r="H760" s="199">
        <f t="shared" si="82"/>
        <v>3.7419850000000001</v>
      </c>
      <c r="M760" s="49"/>
      <c r="N760" s="49"/>
      <c r="O760" s="49"/>
      <c r="P760" s="49"/>
      <c r="Q760" s="49"/>
      <c r="R760" s="49"/>
      <c r="S760" s="49"/>
      <c r="T760" s="49"/>
      <c r="U760" s="49"/>
      <c r="V760" s="49"/>
      <c r="W760" s="49"/>
      <c r="X760" s="49"/>
      <c r="Y760" s="49"/>
      <c r="Z760" s="49"/>
      <c r="AA760" s="49"/>
      <c r="AB760" s="49"/>
      <c r="AC760" s="49"/>
    </row>
    <row r="761" spans="1:29">
      <c r="A761" s="93" t="s">
        <v>54</v>
      </c>
      <c r="B761" s="61" t="s">
        <v>55</v>
      </c>
      <c r="C761" s="271">
        <f>VLOOKUP($A$8:$A$1487,'[7]MFP''s'!A$8:C$1502,3,FALSE)</f>
        <v>317</v>
      </c>
      <c r="D761" s="364">
        <v>151</v>
      </c>
      <c r="E761" s="274">
        <f t="shared" si="79"/>
        <v>0.52365930599369093</v>
      </c>
      <c r="F761" s="196">
        <f t="shared" si="80"/>
        <v>5.6730700000000001</v>
      </c>
      <c r="G761" s="196">
        <f t="shared" si="81"/>
        <v>4.47715</v>
      </c>
      <c r="H761" s="199">
        <f t="shared" si="82"/>
        <v>3.7795299999999998</v>
      </c>
      <c r="M761" s="49"/>
      <c r="N761" s="49"/>
      <c r="O761" s="49"/>
      <c r="P761" s="49"/>
      <c r="Q761" s="49"/>
      <c r="R761" s="49"/>
      <c r="S761" s="49"/>
      <c r="T761" s="49"/>
      <c r="U761" s="49"/>
      <c r="V761" s="49"/>
      <c r="W761" s="49"/>
      <c r="X761" s="49"/>
      <c r="Y761" s="49"/>
      <c r="Z761" s="49"/>
      <c r="AA761" s="49"/>
      <c r="AB761" s="49"/>
      <c r="AC761" s="49"/>
    </row>
    <row r="762" spans="1:29">
      <c r="A762" s="200" t="s">
        <v>376</v>
      </c>
      <c r="B762" s="61"/>
      <c r="C762" s="271"/>
      <c r="D762" s="364"/>
      <c r="E762" s="274"/>
      <c r="F762" s="196"/>
      <c r="G762" s="196"/>
      <c r="H762" s="199"/>
      <c r="M762" s="49"/>
      <c r="N762" s="49"/>
      <c r="O762" s="49"/>
      <c r="P762" s="49"/>
      <c r="Q762" s="49"/>
      <c r="R762" s="49"/>
      <c r="S762" s="49"/>
      <c r="T762" s="49"/>
      <c r="U762" s="49"/>
      <c r="V762" s="49"/>
      <c r="W762" s="49"/>
      <c r="X762" s="49"/>
      <c r="Y762" s="49"/>
      <c r="Z762" s="49"/>
      <c r="AA762" s="49"/>
      <c r="AB762" s="49"/>
      <c r="AC762" s="49"/>
    </row>
    <row r="763" spans="1:29" s="173" customFormat="1">
      <c r="A763" s="93" t="s">
        <v>124</v>
      </c>
      <c r="B763" s="78" t="s">
        <v>125</v>
      </c>
      <c r="C763" s="271">
        <f>VLOOKUP($A$8:$A$1487,'[7]MFP''s'!A$8:C$1502,3,FALSE)</f>
        <v>53</v>
      </c>
      <c r="D763" s="364">
        <v>26</v>
      </c>
      <c r="E763" s="274">
        <f t="shared" si="79"/>
        <v>0.50943396226415094</v>
      </c>
      <c r="F763" s="196">
        <f t="shared" si="80"/>
        <v>0.97682000000000002</v>
      </c>
      <c r="G763" s="196">
        <f t="shared" si="81"/>
        <v>0.77090000000000003</v>
      </c>
      <c r="H763" s="199">
        <f t="shared" si="82"/>
        <v>0.65078000000000003</v>
      </c>
      <c r="J763" s="172"/>
      <c r="K763" s="172"/>
      <c r="L763" s="172"/>
    </row>
    <row r="764" spans="1:29">
      <c r="A764" s="93" t="s">
        <v>132</v>
      </c>
      <c r="B764" s="61" t="s">
        <v>133</v>
      </c>
      <c r="C764" s="271">
        <f>VLOOKUP($A$8:$A$1487,'[7]MFP''s'!A$8:C$1502,3,FALSE)</f>
        <v>821</v>
      </c>
      <c r="D764" s="364">
        <v>389</v>
      </c>
      <c r="E764" s="274">
        <f t="shared" si="79"/>
        <v>0.52618757612667477</v>
      </c>
      <c r="F764" s="196">
        <f t="shared" si="80"/>
        <v>14.61473</v>
      </c>
      <c r="G764" s="196">
        <f t="shared" si="81"/>
        <v>11.533849999999999</v>
      </c>
      <c r="H764" s="199">
        <f t="shared" si="82"/>
        <v>9.7366700000000002</v>
      </c>
      <c r="M764" s="49"/>
      <c r="N764" s="49"/>
      <c r="O764" s="49"/>
      <c r="P764" s="49"/>
      <c r="Q764" s="49"/>
      <c r="R764" s="49"/>
      <c r="S764" s="49"/>
      <c r="T764" s="49"/>
      <c r="U764" s="49"/>
      <c r="V764" s="49"/>
      <c r="W764" s="49"/>
      <c r="X764" s="49"/>
      <c r="Y764" s="49"/>
      <c r="Z764" s="49"/>
      <c r="AA764" s="49"/>
      <c r="AB764" s="49"/>
      <c r="AC764" s="49"/>
    </row>
    <row r="765" spans="1:29">
      <c r="A765" s="93" t="s">
        <v>134</v>
      </c>
      <c r="B765" s="61" t="s">
        <v>135</v>
      </c>
      <c r="C765" s="271">
        <f>VLOOKUP($A$8:$A$1487,'[7]MFP''s'!A$8:C$1502,3,FALSE)</f>
        <v>690</v>
      </c>
      <c r="D765" s="364">
        <v>327</v>
      </c>
      <c r="E765" s="274">
        <f t="shared" si="79"/>
        <v>0.5260869565217392</v>
      </c>
      <c r="F765" s="196">
        <f t="shared" si="80"/>
        <v>12.28539</v>
      </c>
      <c r="G765" s="196">
        <f t="shared" si="81"/>
        <v>9.695549999999999</v>
      </c>
      <c r="H765" s="199">
        <f t="shared" si="82"/>
        <v>8.1848100000000006</v>
      </c>
      <c r="M765" s="49"/>
      <c r="N765" s="49"/>
      <c r="O765" s="49"/>
      <c r="P765" s="49"/>
      <c r="Q765" s="49"/>
      <c r="R765" s="49"/>
      <c r="S765" s="49"/>
      <c r="T765" s="49"/>
      <c r="U765" s="49"/>
      <c r="V765" s="49"/>
      <c r="W765" s="49"/>
      <c r="X765" s="49"/>
      <c r="Y765" s="49"/>
      <c r="Z765" s="49"/>
      <c r="AA765" s="49"/>
      <c r="AB765" s="49"/>
      <c r="AC765" s="49"/>
    </row>
    <row r="766" spans="1:29">
      <c r="A766" s="93" t="s">
        <v>136</v>
      </c>
      <c r="B766" s="61" t="s">
        <v>137</v>
      </c>
      <c r="C766" s="271">
        <f>VLOOKUP($A$8:$A$1487,'[7]MFP''s'!A$8:C$1502,3,FALSE)</f>
        <v>191</v>
      </c>
      <c r="D766" s="364">
        <v>91</v>
      </c>
      <c r="E766" s="274">
        <f t="shared" si="79"/>
        <v>0.52356020942408377</v>
      </c>
      <c r="F766" s="196">
        <f t="shared" si="80"/>
        <v>3.4188700000000001</v>
      </c>
      <c r="G766" s="196">
        <f t="shared" si="81"/>
        <v>2.69815</v>
      </c>
      <c r="H766" s="199">
        <f t="shared" si="82"/>
        <v>2.27773</v>
      </c>
      <c r="M766" s="49"/>
      <c r="N766" s="49"/>
      <c r="O766" s="49"/>
      <c r="P766" s="49"/>
      <c r="Q766" s="49"/>
      <c r="R766" s="49"/>
      <c r="S766" s="49"/>
      <c r="T766" s="49"/>
      <c r="U766" s="49"/>
      <c r="V766" s="49"/>
      <c r="W766" s="49"/>
      <c r="X766" s="49"/>
      <c r="Y766" s="49"/>
      <c r="Z766" s="49"/>
      <c r="AA766" s="49"/>
      <c r="AB766" s="49"/>
      <c r="AC766" s="49"/>
    </row>
    <row r="767" spans="1:29">
      <c r="A767" s="93" t="s">
        <v>140</v>
      </c>
      <c r="B767" s="61" t="s">
        <v>141</v>
      </c>
      <c r="C767" s="271">
        <f>VLOOKUP($A$8:$A$1487,'[7]MFP''s'!A$8:C$1502,3,FALSE)</f>
        <v>250</v>
      </c>
      <c r="D767" s="364">
        <v>119</v>
      </c>
      <c r="E767" s="274">
        <f t="shared" si="79"/>
        <v>0.52400000000000002</v>
      </c>
      <c r="F767" s="196">
        <f t="shared" si="80"/>
        <v>4.4708300000000003</v>
      </c>
      <c r="G767" s="196">
        <f t="shared" si="81"/>
        <v>3.5283500000000001</v>
      </c>
      <c r="H767" s="199">
        <f t="shared" si="82"/>
        <v>2.9785699999999999</v>
      </c>
      <c r="M767" s="49"/>
      <c r="N767" s="49"/>
      <c r="O767" s="49"/>
      <c r="P767" s="49"/>
      <c r="Q767" s="49"/>
      <c r="R767" s="49"/>
      <c r="S767" s="49"/>
      <c r="T767" s="49"/>
      <c r="U767" s="49"/>
      <c r="V767" s="49"/>
      <c r="W767" s="49"/>
      <c r="X767" s="49"/>
      <c r="Y767" s="49"/>
      <c r="Z767" s="49"/>
      <c r="AA767" s="49"/>
      <c r="AB767" s="49"/>
      <c r="AC767" s="49"/>
    </row>
    <row r="768" spans="1:29">
      <c r="A768" s="200" t="s">
        <v>495</v>
      </c>
      <c r="B768" s="61"/>
      <c r="C768" s="271"/>
      <c r="D768" s="364"/>
      <c r="E768" s="274"/>
      <c r="F768" s="196"/>
      <c r="G768" s="196"/>
      <c r="H768" s="199"/>
      <c r="M768" s="49"/>
      <c r="N768" s="49"/>
      <c r="O768" s="49"/>
      <c r="P768" s="49"/>
      <c r="Q768" s="49"/>
      <c r="R768" s="49"/>
      <c r="S768" s="49"/>
      <c r="T768" s="49"/>
      <c r="U768" s="49"/>
      <c r="V768" s="49"/>
      <c r="W768" s="49"/>
      <c r="X768" s="49"/>
      <c r="Y768" s="49"/>
      <c r="Z768" s="49"/>
      <c r="AA768" s="49"/>
      <c r="AB768" s="49"/>
      <c r="AC768" s="49"/>
    </row>
    <row r="769" spans="1:29">
      <c r="A769" s="93" t="s">
        <v>496</v>
      </c>
      <c r="B769" s="61" t="s">
        <v>68</v>
      </c>
      <c r="C769" s="271">
        <f>VLOOKUP($A$8:$A$1487,'[7]MFP''s'!A$8:C$1502,3,FALSE)</f>
        <v>476</v>
      </c>
      <c r="D769" s="364">
        <v>226</v>
      </c>
      <c r="E769" s="274">
        <f t="shared" si="79"/>
        <v>0.52521008403361347</v>
      </c>
      <c r="F769" s="196">
        <f t="shared" ref="F769:F832" si="83">D769*$F$1</f>
        <v>8.4908199999999994</v>
      </c>
      <c r="G769" s="196">
        <f t="shared" si="81"/>
        <v>6.7008999999999999</v>
      </c>
      <c r="H769" s="199">
        <f t="shared" si="82"/>
        <v>5.6567800000000004</v>
      </c>
      <c r="M769" s="49"/>
      <c r="N769" s="49"/>
      <c r="O769" s="49"/>
      <c r="P769" s="49"/>
      <c r="Q769" s="49"/>
      <c r="R769" s="49"/>
      <c r="S769" s="49"/>
      <c r="T769" s="49"/>
      <c r="U769" s="49"/>
      <c r="V769" s="49"/>
      <c r="W769" s="49"/>
      <c r="X769" s="49"/>
      <c r="Y769" s="49"/>
      <c r="Z769" s="49"/>
      <c r="AA769" s="49"/>
      <c r="AB769" s="49"/>
      <c r="AC769" s="49"/>
    </row>
    <row r="770" spans="1:29">
      <c r="A770" s="93" t="s">
        <v>497</v>
      </c>
      <c r="B770" s="61" t="s">
        <v>67</v>
      </c>
      <c r="C770" s="271">
        <f>VLOOKUP($A$8:$A$1487,'[7]MFP''s'!A$8:C$1502,3,FALSE)</f>
        <v>423</v>
      </c>
      <c r="D770" s="364">
        <v>201</v>
      </c>
      <c r="E770" s="274">
        <f t="shared" si="79"/>
        <v>0.52482269503546097</v>
      </c>
      <c r="F770" s="196">
        <f t="shared" si="83"/>
        <v>7.5515699999999999</v>
      </c>
      <c r="G770" s="196">
        <f t="shared" si="81"/>
        <v>5.9596499999999999</v>
      </c>
      <c r="H770" s="199">
        <f t="shared" si="82"/>
        <v>5.0310300000000003</v>
      </c>
      <c r="M770" s="49"/>
      <c r="N770" s="49"/>
      <c r="O770" s="49"/>
      <c r="P770" s="49"/>
      <c r="Q770" s="49"/>
      <c r="R770" s="49"/>
      <c r="S770" s="49"/>
      <c r="T770" s="49"/>
      <c r="U770" s="49"/>
      <c r="V770" s="49"/>
      <c r="W770" s="49"/>
      <c r="X770" s="49"/>
      <c r="Y770" s="49"/>
      <c r="Z770" s="49"/>
      <c r="AA770" s="49"/>
      <c r="AB770" s="49"/>
      <c r="AC770" s="49"/>
    </row>
    <row r="771" spans="1:29">
      <c r="A771" s="93" t="s">
        <v>498</v>
      </c>
      <c r="B771" s="61" t="s">
        <v>163</v>
      </c>
      <c r="C771" s="271">
        <f>VLOOKUP($A$8:$A$1487,'[7]MFP''s'!A$8:C$1502,3,FALSE)</f>
        <v>69</v>
      </c>
      <c r="D771" s="364">
        <v>33</v>
      </c>
      <c r="E771" s="274">
        <f t="shared" si="79"/>
        <v>0.52173913043478259</v>
      </c>
      <c r="F771" s="196">
        <f t="shared" si="83"/>
        <v>1.2398100000000001</v>
      </c>
      <c r="G771" s="196">
        <f t="shared" si="81"/>
        <v>0.97844999999999993</v>
      </c>
      <c r="H771" s="199">
        <f t="shared" si="82"/>
        <v>0.82599</v>
      </c>
      <c r="M771" s="49"/>
      <c r="N771" s="49"/>
      <c r="O771" s="49"/>
      <c r="P771" s="49"/>
      <c r="Q771" s="49"/>
      <c r="R771" s="49"/>
      <c r="S771" s="49"/>
      <c r="T771" s="49"/>
      <c r="U771" s="49"/>
      <c r="V771" s="49"/>
      <c r="W771" s="49"/>
      <c r="X771" s="49"/>
      <c r="Y771" s="49"/>
      <c r="Z771" s="49"/>
      <c r="AA771" s="49"/>
      <c r="AB771" s="49"/>
      <c r="AC771" s="49"/>
    </row>
    <row r="772" spans="1:29" s="173" customFormat="1">
      <c r="A772" s="93" t="s">
        <v>499</v>
      </c>
      <c r="B772" s="78" t="s">
        <v>500</v>
      </c>
      <c r="C772" s="271">
        <f>VLOOKUP($A$8:$A$1487,'[7]MFP''s'!A$8:C$1502,3,FALSE)</f>
        <v>86</v>
      </c>
      <c r="D772" s="364">
        <v>41.563799999999993</v>
      </c>
      <c r="E772" s="274">
        <f t="shared" si="79"/>
        <v>0.51670000000000016</v>
      </c>
      <c r="F772" s="196">
        <f t="shared" si="83"/>
        <v>1.5615519659999997</v>
      </c>
      <c r="G772" s="196">
        <f t="shared" si="81"/>
        <v>1.2323666699999998</v>
      </c>
      <c r="H772" s="199">
        <f t="shared" si="82"/>
        <v>1.0403419139999999</v>
      </c>
      <c r="J772" s="172"/>
      <c r="K772" s="172"/>
      <c r="L772" s="172"/>
    </row>
    <row r="773" spans="1:29">
      <c r="A773" s="200" t="s">
        <v>47</v>
      </c>
      <c r="B773" s="61"/>
      <c r="C773" s="271"/>
      <c r="D773" s="364"/>
      <c r="E773" s="274"/>
      <c r="F773" s="196"/>
      <c r="G773" s="196"/>
      <c r="H773" s="199"/>
      <c r="M773" s="49"/>
      <c r="N773" s="49"/>
      <c r="O773" s="49"/>
      <c r="P773" s="49"/>
      <c r="Q773" s="49"/>
      <c r="R773" s="49"/>
      <c r="S773" s="49"/>
      <c r="T773" s="49"/>
      <c r="U773" s="49"/>
      <c r="V773" s="49"/>
      <c r="W773" s="49"/>
      <c r="X773" s="49"/>
      <c r="Y773" s="49"/>
      <c r="Z773" s="49"/>
      <c r="AA773" s="49"/>
      <c r="AB773" s="49"/>
      <c r="AC773" s="49"/>
    </row>
    <row r="774" spans="1:29">
      <c r="A774" s="93" t="s">
        <v>501</v>
      </c>
      <c r="B774" s="61" t="s">
        <v>502</v>
      </c>
      <c r="C774" s="271">
        <f>VLOOKUP($A$8:$A$1487,'[7]MFP''s'!A$8:C$1502,3,FALSE)</f>
        <v>239</v>
      </c>
      <c r="D774" s="364">
        <v>133</v>
      </c>
      <c r="E774" s="274">
        <f t="shared" si="79"/>
        <v>0.44351464435146448</v>
      </c>
      <c r="F774" s="196">
        <f t="shared" si="83"/>
        <v>4.99681</v>
      </c>
      <c r="G774" s="196">
        <f t="shared" si="81"/>
        <v>3.9434499999999999</v>
      </c>
      <c r="H774" s="199">
        <f t="shared" si="82"/>
        <v>3.3289900000000001</v>
      </c>
      <c r="M774" s="49"/>
      <c r="N774" s="49"/>
      <c r="O774" s="49"/>
      <c r="P774" s="49"/>
      <c r="Q774" s="49"/>
      <c r="R774" s="49"/>
      <c r="S774" s="49"/>
      <c r="T774" s="49"/>
      <c r="U774" s="49"/>
      <c r="V774" s="49"/>
      <c r="W774" s="49"/>
      <c r="X774" s="49"/>
      <c r="Y774" s="49"/>
      <c r="Z774" s="49"/>
      <c r="AA774" s="49"/>
      <c r="AB774" s="49"/>
      <c r="AC774" s="49"/>
    </row>
    <row r="775" spans="1:29" s="173" customFormat="1">
      <c r="A775" s="93" t="s">
        <v>503</v>
      </c>
      <c r="B775" s="78" t="s">
        <v>504</v>
      </c>
      <c r="C775" s="271">
        <f>VLOOKUP($A$8:$A$1487,'[7]MFP''s'!A$8:C$1502,3,FALSE)</f>
        <v>68</v>
      </c>
      <c r="D775" s="364">
        <v>32.864399999999996</v>
      </c>
      <c r="E775" s="274">
        <f t="shared" si="79"/>
        <v>0.51670000000000005</v>
      </c>
      <c r="F775" s="196">
        <f t="shared" si="83"/>
        <v>1.2347155079999999</v>
      </c>
      <c r="G775" s="196">
        <f t="shared" si="81"/>
        <v>0.97442945999999986</v>
      </c>
      <c r="H775" s="199">
        <f t="shared" si="82"/>
        <v>0.82259593199999992</v>
      </c>
      <c r="J775" s="172"/>
      <c r="K775" s="172"/>
      <c r="L775" s="172"/>
    </row>
    <row r="776" spans="1:29" s="173" customFormat="1">
      <c r="A776" s="93" t="s">
        <v>48</v>
      </c>
      <c r="B776" s="78" t="s">
        <v>49</v>
      </c>
      <c r="C776" s="271">
        <f>VLOOKUP($A$8:$A$1487,'[7]MFP''s'!A$8:C$1502,3,FALSE)</f>
        <v>260</v>
      </c>
      <c r="D776" s="364">
        <v>169</v>
      </c>
      <c r="E776" s="274">
        <f t="shared" si="79"/>
        <v>0.35</v>
      </c>
      <c r="F776" s="196">
        <f t="shared" si="83"/>
        <v>6.3493300000000001</v>
      </c>
      <c r="G776" s="196">
        <f t="shared" si="81"/>
        <v>5.0108499999999996</v>
      </c>
      <c r="H776" s="199">
        <f t="shared" si="82"/>
        <v>4.2300700000000004</v>
      </c>
      <c r="J776" s="172"/>
      <c r="K776" s="172"/>
      <c r="L776" s="172"/>
    </row>
    <row r="777" spans="1:29" s="173" customFormat="1">
      <c r="A777" s="93" t="s">
        <v>427</v>
      </c>
      <c r="B777" s="78" t="s">
        <v>428</v>
      </c>
      <c r="C777" s="271">
        <f>VLOOKUP($A$8:$A$1487,'[7]MFP''s'!A$8:C$1502,3,FALSE)</f>
        <v>120</v>
      </c>
      <c r="D777" s="364">
        <v>57.851999999999997</v>
      </c>
      <c r="E777" s="274">
        <f t="shared" si="79"/>
        <v>0.51790000000000003</v>
      </c>
      <c r="F777" s="196">
        <f t="shared" si="83"/>
        <v>2.1734996399999997</v>
      </c>
      <c r="G777" s="196">
        <f t="shared" ref="G777:G840" si="84">D777*$G$1</f>
        <v>1.7153117999999998</v>
      </c>
      <c r="H777" s="199">
        <f t="shared" ref="H777:H840" si="85">D777*$H$1</f>
        <v>1.4480355599999999</v>
      </c>
      <c r="J777" s="172"/>
      <c r="K777" s="172"/>
      <c r="L777" s="172"/>
    </row>
    <row r="778" spans="1:29" s="173" customFormat="1">
      <c r="A778" s="93" t="s">
        <v>156</v>
      </c>
      <c r="B778" s="78" t="s">
        <v>157</v>
      </c>
      <c r="C778" s="271">
        <f>VLOOKUP($A$8:$A$1487,'[7]MFP''s'!A$8:C$1502,3,FALSE)</f>
        <v>126</v>
      </c>
      <c r="D778" s="364">
        <v>60</v>
      </c>
      <c r="E778" s="274">
        <f t="shared" si="79"/>
        <v>0.52380952380952384</v>
      </c>
      <c r="F778" s="196">
        <f t="shared" si="83"/>
        <v>2.2542</v>
      </c>
      <c r="G778" s="196">
        <f t="shared" si="84"/>
        <v>1.7789999999999999</v>
      </c>
      <c r="H778" s="199">
        <f t="shared" si="85"/>
        <v>1.5018</v>
      </c>
      <c r="J778" s="172"/>
      <c r="K778" s="172"/>
      <c r="L778" s="172"/>
    </row>
    <row r="779" spans="1:29" s="173" customFormat="1">
      <c r="A779" s="93" t="s">
        <v>385</v>
      </c>
      <c r="B779" s="78" t="s">
        <v>386</v>
      </c>
      <c r="C779" s="271">
        <f>VLOOKUP($A$8:$A$1487,'[7]MFP''s'!A$8:C$1502,3,FALSE)</f>
        <v>275</v>
      </c>
      <c r="D779" s="364">
        <v>227</v>
      </c>
      <c r="E779" s="274">
        <f t="shared" si="79"/>
        <v>0.17454545454545456</v>
      </c>
      <c r="F779" s="196">
        <f t="shared" si="83"/>
        <v>8.5283899999999999</v>
      </c>
      <c r="G779" s="196">
        <f t="shared" si="84"/>
        <v>6.73055</v>
      </c>
      <c r="H779" s="199">
        <f t="shared" si="85"/>
        <v>5.6818100000000005</v>
      </c>
      <c r="J779" s="172"/>
      <c r="K779" s="172"/>
      <c r="L779" s="172"/>
    </row>
    <row r="780" spans="1:29" s="173" customFormat="1">
      <c r="A780" s="93" t="s">
        <v>505</v>
      </c>
      <c r="B780" s="78" t="s">
        <v>506</v>
      </c>
      <c r="C780" s="271">
        <f>VLOOKUP($A$8:$A$1487,'[7]MFP''s'!A$8:C$1502,3,FALSE)</f>
        <v>149</v>
      </c>
      <c r="D780" s="364">
        <v>90.41</v>
      </c>
      <c r="E780" s="274">
        <f t="shared" si="79"/>
        <v>0.39322147651006711</v>
      </c>
      <c r="F780" s="196">
        <f t="shared" si="83"/>
        <v>3.3967036999999998</v>
      </c>
      <c r="G780" s="196">
        <f t="shared" si="84"/>
        <v>2.6806565</v>
      </c>
      <c r="H780" s="199">
        <f t="shared" si="85"/>
        <v>2.2629622999999999</v>
      </c>
      <c r="J780" s="172"/>
      <c r="K780" s="172"/>
      <c r="L780" s="172"/>
    </row>
    <row r="781" spans="1:29">
      <c r="A781" s="212"/>
      <c r="B781" s="213"/>
      <c r="C781" s="215"/>
      <c r="D781" s="369"/>
      <c r="E781" s="215"/>
      <c r="F781" s="215"/>
      <c r="G781" s="215"/>
      <c r="H781" s="216"/>
      <c r="M781" s="49"/>
      <c r="N781" s="49"/>
      <c r="O781" s="49"/>
      <c r="P781" s="49"/>
      <c r="Q781" s="49"/>
      <c r="R781" s="49"/>
      <c r="S781" s="49"/>
      <c r="T781" s="49"/>
      <c r="U781" s="49"/>
      <c r="V781" s="49"/>
      <c r="W781" s="49"/>
      <c r="X781" s="49"/>
      <c r="Y781" s="49"/>
      <c r="Z781" s="49"/>
      <c r="AA781" s="49"/>
      <c r="AB781" s="49"/>
      <c r="AC781" s="49"/>
    </row>
    <row r="782" spans="1:29" ht="105">
      <c r="A782" s="223" t="s">
        <v>420</v>
      </c>
      <c r="B782" s="222" t="s">
        <v>686</v>
      </c>
      <c r="C782" s="271">
        <f>VLOOKUP($A$8:$A$1487,'[7]MFP''s'!A$8:C$1502,3,FALSE)</f>
        <v>5100</v>
      </c>
      <c r="D782" s="364">
        <v>2550</v>
      </c>
      <c r="E782" s="274">
        <f t="shared" si="79"/>
        <v>0.5</v>
      </c>
      <c r="F782" s="196">
        <f t="shared" si="83"/>
        <v>95.8035</v>
      </c>
      <c r="G782" s="196">
        <f t="shared" si="84"/>
        <v>75.607500000000002</v>
      </c>
      <c r="H782" s="199">
        <f t="shared" si="85"/>
        <v>63.826500000000003</v>
      </c>
      <c r="I782" s="49"/>
      <c r="J782" s="49"/>
      <c r="K782" s="49"/>
      <c r="L782" s="49"/>
      <c r="M782" s="49"/>
      <c r="N782" s="49"/>
      <c r="O782" s="49"/>
      <c r="P782" s="49"/>
      <c r="Q782" s="49"/>
      <c r="R782" s="49"/>
      <c r="S782" s="49"/>
      <c r="T782" s="49"/>
      <c r="U782" s="49"/>
      <c r="V782" s="49"/>
      <c r="W782" s="49"/>
      <c r="X782" s="49"/>
      <c r="Y782" s="49"/>
      <c r="Z782" s="49"/>
      <c r="AA782" s="49"/>
      <c r="AB782" s="49"/>
      <c r="AC782" s="49"/>
    </row>
    <row r="783" spans="1:29">
      <c r="A783" s="195" t="s">
        <v>384</v>
      </c>
      <c r="B783" s="197"/>
      <c r="C783" s="271"/>
      <c r="D783" s="357"/>
      <c r="E783" s="274"/>
      <c r="F783" s="196"/>
      <c r="G783" s="196"/>
      <c r="H783" s="199"/>
      <c r="I783" s="49"/>
      <c r="J783" s="49"/>
      <c r="K783" s="49"/>
      <c r="L783" s="49"/>
      <c r="M783" s="49"/>
      <c r="N783" s="49"/>
      <c r="O783" s="49"/>
      <c r="P783" s="49"/>
      <c r="Q783" s="49"/>
      <c r="R783" s="49"/>
      <c r="S783" s="49"/>
      <c r="T783" s="49"/>
      <c r="U783" s="49"/>
      <c r="V783" s="49"/>
      <c r="W783" s="49"/>
      <c r="X783" s="49"/>
      <c r="Y783" s="49"/>
      <c r="Z783" s="49"/>
      <c r="AA783" s="49"/>
      <c r="AB783" s="49"/>
      <c r="AC783" s="49"/>
    </row>
    <row r="784" spans="1:29">
      <c r="A784" s="200" t="s">
        <v>75</v>
      </c>
      <c r="B784" s="61"/>
      <c r="C784" s="271"/>
      <c r="D784" s="364"/>
      <c r="E784" s="274"/>
      <c r="F784" s="196"/>
      <c r="G784" s="196"/>
      <c r="H784" s="199"/>
      <c r="I784" s="49"/>
      <c r="J784" s="49"/>
      <c r="K784" s="49"/>
      <c r="L784" s="49"/>
      <c r="M784" s="49"/>
      <c r="N784" s="49"/>
      <c r="O784" s="49"/>
      <c r="P784" s="49"/>
      <c r="Q784" s="49"/>
      <c r="R784" s="49"/>
      <c r="S784" s="49"/>
      <c r="T784" s="49"/>
      <c r="U784" s="49"/>
      <c r="V784" s="49"/>
      <c r="W784" s="49"/>
      <c r="X784" s="49"/>
      <c r="Y784" s="49"/>
      <c r="Z784" s="49"/>
      <c r="AA784" s="49"/>
      <c r="AB784" s="49"/>
      <c r="AC784" s="49"/>
    </row>
    <row r="785" spans="1:29">
      <c r="A785" s="93" t="s">
        <v>421</v>
      </c>
      <c r="B785" s="61" t="s">
        <v>422</v>
      </c>
      <c r="C785" s="271">
        <f>VLOOKUP($A$8:$A$1487,'[7]MFP''s'!A$8:C$1502,3,FALSE)</f>
        <v>340</v>
      </c>
      <c r="D785" s="364">
        <v>208.07999999999998</v>
      </c>
      <c r="E785" s="274">
        <f t="shared" si="79"/>
        <v>0.38800000000000001</v>
      </c>
      <c r="F785" s="196">
        <f t="shared" si="83"/>
        <v>7.8175655999999991</v>
      </c>
      <c r="G785" s="196">
        <f t="shared" si="84"/>
        <v>6.1695719999999996</v>
      </c>
      <c r="H785" s="199">
        <f t="shared" si="85"/>
        <v>5.2082423999999996</v>
      </c>
      <c r="I785" s="49"/>
      <c r="J785" s="49"/>
      <c r="K785" s="49"/>
      <c r="L785" s="49"/>
      <c r="M785" s="49"/>
      <c r="N785" s="49"/>
      <c r="O785" s="49"/>
      <c r="P785" s="49"/>
      <c r="Q785" s="49"/>
      <c r="R785" s="49"/>
      <c r="S785" s="49"/>
      <c r="T785" s="49"/>
      <c r="U785" s="49"/>
      <c r="V785" s="49"/>
      <c r="W785" s="49"/>
      <c r="X785" s="49"/>
      <c r="Y785" s="49"/>
      <c r="Z785" s="49"/>
      <c r="AA785" s="49"/>
      <c r="AB785" s="49"/>
      <c r="AC785" s="49"/>
    </row>
    <row r="786" spans="1:29">
      <c r="A786" s="93" t="s">
        <v>423</v>
      </c>
      <c r="B786" s="61" t="s">
        <v>424</v>
      </c>
      <c r="C786" s="271">
        <f>VLOOKUP($A$8:$A$1487,'[7]MFP''s'!A$8:C$1502,3,FALSE)</f>
        <v>296</v>
      </c>
      <c r="D786" s="364">
        <v>182</v>
      </c>
      <c r="E786" s="274">
        <f t="shared" si="79"/>
        <v>0.38513513513513509</v>
      </c>
      <c r="F786" s="196">
        <f t="shared" si="83"/>
        <v>6.8377400000000002</v>
      </c>
      <c r="G786" s="196">
        <f t="shared" si="84"/>
        <v>5.3963000000000001</v>
      </c>
      <c r="H786" s="199">
        <f t="shared" si="85"/>
        <v>4.5554600000000001</v>
      </c>
      <c r="I786" s="49"/>
      <c r="J786" s="49"/>
      <c r="K786" s="49"/>
      <c r="L786" s="49"/>
      <c r="M786" s="49"/>
      <c r="N786" s="49"/>
      <c r="O786" s="49"/>
      <c r="P786" s="49"/>
      <c r="Q786" s="49"/>
      <c r="R786" s="49"/>
      <c r="S786" s="49"/>
      <c r="T786" s="49"/>
      <c r="U786" s="49"/>
      <c r="V786" s="49"/>
      <c r="W786" s="49"/>
      <c r="X786" s="49"/>
      <c r="Y786" s="49"/>
      <c r="Z786" s="49"/>
      <c r="AA786" s="49"/>
      <c r="AB786" s="49"/>
      <c r="AC786" s="49"/>
    </row>
    <row r="787" spans="1:29">
      <c r="A787" s="200" t="s">
        <v>66</v>
      </c>
      <c r="B787" s="61"/>
      <c r="C787" s="271"/>
      <c r="D787" s="364"/>
      <c r="E787" s="274"/>
      <c r="F787" s="196"/>
      <c r="G787" s="196"/>
      <c r="H787" s="199"/>
      <c r="I787" s="49"/>
      <c r="J787" s="49"/>
      <c r="K787" s="49"/>
      <c r="L787" s="49"/>
      <c r="M787" s="49"/>
      <c r="N787" s="49"/>
      <c r="O787" s="49"/>
      <c r="P787" s="49"/>
      <c r="Q787" s="49"/>
      <c r="R787" s="49"/>
      <c r="S787" s="49"/>
      <c r="T787" s="49"/>
      <c r="U787" s="49"/>
      <c r="V787" s="49"/>
      <c r="W787" s="49"/>
      <c r="X787" s="49"/>
      <c r="Y787" s="49"/>
      <c r="Z787" s="49"/>
      <c r="AA787" s="49"/>
      <c r="AB787" s="49"/>
      <c r="AC787" s="49"/>
    </row>
    <row r="788" spans="1:29">
      <c r="A788" s="93" t="s">
        <v>425</v>
      </c>
      <c r="B788" s="61" t="s">
        <v>426</v>
      </c>
      <c r="C788" s="271">
        <f>VLOOKUP($A$8:$A$1487,'[7]MFP''s'!A$8:C$1502,3,FALSE)</f>
        <v>299</v>
      </c>
      <c r="D788" s="364">
        <v>149.5</v>
      </c>
      <c r="E788" s="274">
        <f t="shared" si="79"/>
        <v>0.5</v>
      </c>
      <c r="F788" s="196">
        <f t="shared" si="83"/>
        <v>5.6167150000000001</v>
      </c>
      <c r="G788" s="196">
        <f t="shared" si="84"/>
        <v>4.4326749999999997</v>
      </c>
      <c r="H788" s="199">
        <f t="shared" si="85"/>
        <v>3.7419850000000001</v>
      </c>
      <c r="I788" s="49"/>
      <c r="J788" s="49"/>
      <c r="K788" s="49"/>
      <c r="L788" s="49"/>
      <c r="M788" s="49"/>
      <c r="N788" s="49"/>
      <c r="O788" s="49"/>
      <c r="P788" s="49"/>
      <c r="Q788" s="49"/>
      <c r="R788" s="49"/>
      <c r="S788" s="49"/>
      <c r="T788" s="49"/>
      <c r="U788" s="49"/>
      <c r="V788" s="49"/>
      <c r="W788" s="49"/>
      <c r="X788" s="49"/>
      <c r="Y788" s="49"/>
      <c r="Z788" s="49"/>
      <c r="AA788" s="49"/>
      <c r="AB788" s="49"/>
      <c r="AC788" s="49"/>
    </row>
    <row r="789" spans="1:29">
      <c r="A789" s="93" t="s">
        <v>54</v>
      </c>
      <c r="B789" s="61" t="s">
        <v>55</v>
      </c>
      <c r="C789" s="271">
        <f>VLOOKUP($A$8:$A$1487,'[7]MFP''s'!A$8:C$1502,3,FALSE)</f>
        <v>317</v>
      </c>
      <c r="D789" s="364">
        <v>151</v>
      </c>
      <c r="E789" s="274">
        <f t="shared" si="79"/>
        <v>0.52365930599369093</v>
      </c>
      <c r="F789" s="196">
        <f t="shared" si="83"/>
        <v>5.6730700000000001</v>
      </c>
      <c r="G789" s="196">
        <f t="shared" si="84"/>
        <v>4.47715</v>
      </c>
      <c r="H789" s="199">
        <f t="shared" si="85"/>
        <v>3.7795299999999998</v>
      </c>
      <c r="I789" s="49"/>
      <c r="J789" s="49"/>
      <c r="K789" s="49"/>
      <c r="L789" s="49"/>
      <c r="M789" s="49"/>
      <c r="N789" s="49"/>
      <c r="O789" s="49"/>
      <c r="P789" s="49"/>
      <c r="Q789" s="49"/>
      <c r="R789" s="49"/>
      <c r="S789" s="49"/>
      <c r="T789" s="49"/>
      <c r="U789" s="49"/>
      <c r="V789" s="49"/>
      <c r="W789" s="49"/>
      <c r="X789" s="49"/>
      <c r="Y789" s="49"/>
      <c r="Z789" s="49"/>
      <c r="AA789" s="49"/>
      <c r="AB789" s="49"/>
      <c r="AC789" s="49"/>
    </row>
    <row r="790" spans="1:29">
      <c r="A790" s="200" t="s">
        <v>376</v>
      </c>
      <c r="B790" s="61"/>
      <c r="C790" s="271"/>
      <c r="D790" s="364"/>
      <c r="E790" s="274"/>
      <c r="F790" s="196"/>
      <c r="G790" s="196"/>
      <c r="H790" s="199"/>
      <c r="I790" s="49"/>
      <c r="J790" s="49"/>
      <c r="K790" s="49"/>
      <c r="L790" s="49"/>
      <c r="M790" s="49"/>
      <c r="N790" s="49"/>
      <c r="O790" s="49"/>
      <c r="P790" s="49"/>
      <c r="Q790" s="49"/>
      <c r="R790" s="49"/>
      <c r="S790" s="49"/>
      <c r="T790" s="49"/>
      <c r="U790" s="49"/>
      <c r="V790" s="49"/>
      <c r="W790" s="49"/>
      <c r="X790" s="49"/>
      <c r="Y790" s="49"/>
      <c r="Z790" s="49"/>
      <c r="AA790" s="49"/>
      <c r="AB790" s="49"/>
      <c r="AC790" s="49"/>
    </row>
    <row r="791" spans="1:29">
      <c r="A791" s="93" t="s">
        <v>132</v>
      </c>
      <c r="B791" s="61" t="s">
        <v>133</v>
      </c>
      <c r="C791" s="271">
        <f>VLOOKUP($A$8:$A$1487,'[7]MFP''s'!A$8:C$1502,3,FALSE)</f>
        <v>821</v>
      </c>
      <c r="D791" s="364">
        <v>389</v>
      </c>
      <c r="E791" s="274">
        <f t="shared" si="79"/>
        <v>0.52618757612667477</v>
      </c>
      <c r="F791" s="196">
        <f t="shared" si="83"/>
        <v>14.61473</v>
      </c>
      <c r="G791" s="196">
        <f t="shared" si="84"/>
        <v>11.533849999999999</v>
      </c>
      <c r="H791" s="199">
        <f t="shared" si="85"/>
        <v>9.7366700000000002</v>
      </c>
      <c r="I791" s="49"/>
      <c r="J791" s="49"/>
      <c r="K791" s="49"/>
      <c r="L791" s="49"/>
      <c r="M791" s="49"/>
      <c r="N791" s="49"/>
      <c r="O791" s="49"/>
      <c r="P791" s="49"/>
      <c r="Q791" s="49"/>
      <c r="R791" s="49"/>
      <c r="S791" s="49"/>
      <c r="T791" s="49"/>
      <c r="U791" s="49"/>
      <c r="V791" s="49"/>
      <c r="W791" s="49"/>
      <c r="X791" s="49"/>
      <c r="Y791" s="49"/>
      <c r="Z791" s="49"/>
      <c r="AA791" s="49"/>
      <c r="AB791" s="49"/>
      <c r="AC791" s="49"/>
    </row>
    <row r="792" spans="1:29">
      <c r="A792" s="93" t="s">
        <v>134</v>
      </c>
      <c r="B792" s="61" t="s">
        <v>135</v>
      </c>
      <c r="C792" s="271">
        <f>VLOOKUP($A$8:$A$1487,'[7]MFP''s'!A$8:C$1502,3,FALSE)</f>
        <v>690</v>
      </c>
      <c r="D792" s="364">
        <v>327</v>
      </c>
      <c r="E792" s="274">
        <f t="shared" si="79"/>
        <v>0.5260869565217392</v>
      </c>
      <c r="F792" s="196">
        <f t="shared" si="83"/>
        <v>12.28539</v>
      </c>
      <c r="G792" s="196">
        <f t="shared" si="84"/>
        <v>9.695549999999999</v>
      </c>
      <c r="H792" s="199">
        <f t="shared" si="85"/>
        <v>8.1848100000000006</v>
      </c>
      <c r="I792" s="49"/>
      <c r="J792" s="49"/>
      <c r="K792" s="49"/>
      <c r="L792" s="49"/>
      <c r="M792" s="49"/>
      <c r="N792" s="49"/>
      <c r="O792" s="49"/>
      <c r="P792" s="49"/>
      <c r="Q792" s="49"/>
      <c r="R792" s="49"/>
      <c r="S792" s="49"/>
      <c r="T792" s="49"/>
      <c r="U792" s="49"/>
      <c r="V792" s="49"/>
      <c r="W792" s="49"/>
      <c r="X792" s="49"/>
      <c r="Y792" s="49"/>
      <c r="Z792" s="49"/>
      <c r="AA792" s="49"/>
      <c r="AB792" s="49"/>
      <c r="AC792" s="49"/>
    </row>
    <row r="793" spans="1:29">
      <c r="A793" s="93" t="s">
        <v>136</v>
      </c>
      <c r="B793" s="61" t="s">
        <v>137</v>
      </c>
      <c r="C793" s="271">
        <f>VLOOKUP($A$8:$A$1487,'[7]MFP''s'!A$8:C$1502,3,FALSE)</f>
        <v>191</v>
      </c>
      <c r="D793" s="364">
        <v>91</v>
      </c>
      <c r="E793" s="274">
        <f t="shared" si="79"/>
        <v>0.52356020942408377</v>
      </c>
      <c r="F793" s="196">
        <f t="shared" si="83"/>
        <v>3.4188700000000001</v>
      </c>
      <c r="G793" s="196">
        <f t="shared" si="84"/>
        <v>2.69815</v>
      </c>
      <c r="H793" s="199">
        <f t="shared" si="85"/>
        <v>2.27773</v>
      </c>
      <c r="I793" s="49"/>
      <c r="J793" s="49"/>
      <c r="K793" s="49"/>
      <c r="L793" s="49"/>
      <c r="M793" s="49"/>
      <c r="N793" s="49"/>
      <c r="O793" s="49"/>
      <c r="P793" s="49"/>
      <c r="Q793" s="49"/>
      <c r="R793" s="49"/>
      <c r="S793" s="49"/>
      <c r="T793" s="49"/>
      <c r="U793" s="49"/>
      <c r="V793" s="49"/>
      <c r="W793" s="49"/>
      <c r="X793" s="49"/>
      <c r="Y793" s="49"/>
      <c r="Z793" s="49"/>
      <c r="AA793" s="49"/>
      <c r="AB793" s="49"/>
      <c r="AC793" s="49"/>
    </row>
    <row r="794" spans="1:29">
      <c r="A794" s="93" t="s">
        <v>140</v>
      </c>
      <c r="B794" s="61" t="s">
        <v>141</v>
      </c>
      <c r="C794" s="271">
        <f>VLOOKUP($A$8:$A$1487,'[7]MFP''s'!A$8:C$1502,3,FALSE)</f>
        <v>250</v>
      </c>
      <c r="D794" s="364">
        <v>119</v>
      </c>
      <c r="E794" s="274">
        <f t="shared" si="79"/>
        <v>0.52400000000000002</v>
      </c>
      <c r="F794" s="196">
        <f t="shared" si="83"/>
        <v>4.4708300000000003</v>
      </c>
      <c r="G794" s="196">
        <f t="shared" si="84"/>
        <v>3.5283500000000001</v>
      </c>
      <c r="H794" s="199">
        <f t="shared" si="85"/>
        <v>2.9785699999999999</v>
      </c>
      <c r="I794" s="49"/>
      <c r="J794" s="49"/>
      <c r="K794" s="49"/>
      <c r="L794" s="49"/>
      <c r="M794" s="49"/>
      <c r="N794" s="49"/>
      <c r="O794" s="49"/>
      <c r="P794" s="49"/>
      <c r="Q794" s="49"/>
      <c r="R794" s="49"/>
      <c r="S794" s="49"/>
      <c r="T794" s="49"/>
      <c r="U794" s="49"/>
      <c r="V794" s="49"/>
      <c r="W794" s="49"/>
      <c r="X794" s="49"/>
      <c r="Y794" s="49"/>
      <c r="Z794" s="49"/>
      <c r="AA794" s="49"/>
      <c r="AB794" s="49"/>
      <c r="AC794" s="49"/>
    </row>
    <row r="795" spans="1:29">
      <c r="A795" s="200" t="s">
        <v>558</v>
      </c>
      <c r="B795" s="61"/>
      <c r="C795" s="271"/>
      <c r="D795" s="364"/>
      <c r="E795" s="274"/>
      <c r="F795" s="196"/>
      <c r="G795" s="196"/>
      <c r="H795" s="199"/>
      <c r="I795" s="49"/>
      <c r="J795" s="49"/>
      <c r="K795" s="49"/>
      <c r="L795" s="49"/>
      <c r="M795" s="49"/>
      <c r="N795" s="49"/>
      <c r="O795" s="49"/>
      <c r="P795" s="49"/>
      <c r="Q795" s="49"/>
      <c r="R795" s="49"/>
      <c r="S795" s="49"/>
      <c r="T795" s="49"/>
      <c r="U795" s="49"/>
      <c r="V795" s="49"/>
      <c r="W795" s="49"/>
      <c r="X795" s="49"/>
      <c r="Y795" s="49"/>
      <c r="Z795" s="49"/>
      <c r="AA795" s="49"/>
      <c r="AB795" s="49"/>
      <c r="AC795" s="49"/>
    </row>
    <row r="796" spans="1:29">
      <c r="A796" s="93" t="s">
        <v>496</v>
      </c>
      <c r="B796" s="61" t="s">
        <v>68</v>
      </c>
      <c r="C796" s="271">
        <f>VLOOKUP($A$8:$A$1487,'[7]MFP''s'!A$8:C$1502,3,FALSE)</f>
        <v>476</v>
      </c>
      <c r="D796" s="364">
        <v>226</v>
      </c>
      <c r="E796" s="274">
        <f t="shared" si="79"/>
        <v>0.52521008403361347</v>
      </c>
      <c r="F796" s="196">
        <f t="shared" si="83"/>
        <v>8.4908199999999994</v>
      </c>
      <c r="G796" s="196">
        <f t="shared" si="84"/>
        <v>6.7008999999999999</v>
      </c>
      <c r="H796" s="199">
        <f t="shared" si="85"/>
        <v>5.6567800000000004</v>
      </c>
      <c r="I796" s="49"/>
      <c r="J796" s="49"/>
      <c r="K796" s="49"/>
      <c r="L796" s="49"/>
      <c r="M796" s="49"/>
      <c r="N796" s="49"/>
      <c r="O796" s="49"/>
      <c r="P796" s="49"/>
      <c r="Q796" s="49"/>
      <c r="R796" s="49"/>
      <c r="S796" s="49"/>
      <c r="T796" s="49"/>
      <c r="U796" s="49"/>
      <c r="V796" s="49"/>
      <c r="W796" s="49"/>
      <c r="X796" s="49"/>
      <c r="Y796" s="49"/>
      <c r="Z796" s="49"/>
      <c r="AA796" s="49"/>
      <c r="AB796" s="49"/>
      <c r="AC796" s="49"/>
    </row>
    <row r="797" spans="1:29">
      <c r="A797" s="93" t="s">
        <v>497</v>
      </c>
      <c r="B797" s="61" t="s">
        <v>67</v>
      </c>
      <c r="C797" s="271">
        <f>VLOOKUP($A$8:$A$1487,'[7]MFP''s'!A$8:C$1502,3,FALSE)</f>
        <v>423</v>
      </c>
      <c r="D797" s="364">
        <v>201</v>
      </c>
      <c r="E797" s="274">
        <f t="shared" si="79"/>
        <v>0.52482269503546097</v>
      </c>
      <c r="F797" s="196">
        <f t="shared" si="83"/>
        <v>7.5515699999999999</v>
      </c>
      <c r="G797" s="196">
        <f t="shared" si="84"/>
        <v>5.9596499999999999</v>
      </c>
      <c r="H797" s="199">
        <f t="shared" si="85"/>
        <v>5.0310300000000003</v>
      </c>
      <c r="I797" s="49"/>
      <c r="J797" s="49"/>
      <c r="K797" s="49"/>
      <c r="L797" s="49"/>
      <c r="M797" s="49"/>
      <c r="N797" s="49"/>
      <c r="O797" s="49"/>
      <c r="P797" s="49"/>
      <c r="Q797" s="49"/>
      <c r="R797" s="49"/>
      <c r="S797" s="49"/>
      <c r="T797" s="49"/>
      <c r="U797" s="49"/>
      <c r="V797" s="49"/>
      <c r="W797" s="49"/>
      <c r="X797" s="49"/>
      <c r="Y797" s="49"/>
      <c r="Z797" s="49"/>
      <c r="AA797" s="49"/>
      <c r="AB797" s="49"/>
      <c r="AC797" s="49"/>
    </row>
    <row r="798" spans="1:29">
      <c r="A798" s="93" t="s">
        <v>498</v>
      </c>
      <c r="B798" s="61" t="s">
        <v>163</v>
      </c>
      <c r="C798" s="271">
        <f>VLOOKUP($A$8:$A$1487,'[7]MFP''s'!A$8:C$1502,3,FALSE)</f>
        <v>69</v>
      </c>
      <c r="D798" s="364">
        <v>33</v>
      </c>
      <c r="E798" s="274">
        <f t="shared" si="79"/>
        <v>0.52173913043478259</v>
      </c>
      <c r="F798" s="196">
        <f t="shared" si="83"/>
        <v>1.2398100000000001</v>
      </c>
      <c r="G798" s="196">
        <f t="shared" si="84"/>
        <v>0.97844999999999993</v>
      </c>
      <c r="H798" s="199">
        <f t="shared" si="85"/>
        <v>0.82599</v>
      </c>
      <c r="M798" s="49"/>
      <c r="N798" s="49"/>
      <c r="O798" s="49"/>
      <c r="P798" s="49"/>
      <c r="Q798" s="49"/>
      <c r="R798" s="49"/>
      <c r="S798" s="49"/>
      <c r="T798" s="49"/>
      <c r="U798" s="49"/>
      <c r="V798" s="49"/>
      <c r="W798" s="49"/>
      <c r="X798" s="49"/>
      <c r="Y798" s="49"/>
      <c r="Z798" s="49"/>
      <c r="AA798" s="49"/>
      <c r="AB798" s="49"/>
      <c r="AC798" s="49"/>
    </row>
    <row r="799" spans="1:29" s="173" customFormat="1">
      <c r="A799" s="93" t="s">
        <v>499</v>
      </c>
      <c r="B799" s="78" t="s">
        <v>500</v>
      </c>
      <c r="C799" s="271">
        <f>VLOOKUP($A$8:$A$1487,'[7]MFP''s'!A$8:C$1502,3,FALSE)</f>
        <v>86</v>
      </c>
      <c r="D799" s="364">
        <v>41.563799999999993</v>
      </c>
      <c r="E799" s="274">
        <f t="shared" si="79"/>
        <v>0.51670000000000016</v>
      </c>
      <c r="F799" s="196">
        <f t="shared" si="83"/>
        <v>1.5615519659999997</v>
      </c>
      <c r="G799" s="196">
        <f t="shared" si="84"/>
        <v>1.2323666699999998</v>
      </c>
      <c r="H799" s="199">
        <f t="shared" si="85"/>
        <v>1.0403419139999999</v>
      </c>
      <c r="J799" s="172"/>
      <c r="K799" s="172"/>
      <c r="L799" s="172"/>
    </row>
    <row r="800" spans="1:29" s="173" customFormat="1">
      <c r="A800" s="200" t="s">
        <v>47</v>
      </c>
      <c r="B800" s="78"/>
      <c r="C800" s="271"/>
      <c r="D800" s="364"/>
      <c r="E800" s="274"/>
      <c r="F800" s="196"/>
      <c r="G800" s="196"/>
      <c r="H800" s="199"/>
      <c r="J800" s="172"/>
      <c r="K800" s="172"/>
      <c r="L800" s="172"/>
    </row>
    <row r="801" spans="1:29" s="173" customFormat="1">
      <c r="A801" s="93" t="s">
        <v>124</v>
      </c>
      <c r="B801" s="78" t="s">
        <v>125</v>
      </c>
      <c r="C801" s="271">
        <f>VLOOKUP($A$8:$A$1487,'[7]MFP''s'!A$8:C$1502,3,FALSE)</f>
        <v>53</v>
      </c>
      <c r="D801" s="364">
        <v>26</v>
      </c>
      <c r="E801" s="274">
        <f t="shared" si="79"/>
        <v>0.50943396226415094</v>
      </c>
      <c r="F801" s="196">
        <f t="shared" si="83"/>
        <v>0.97682000000000002</v>
      </c>
      <c r="G801" s="196">
        <f t="shared" si="84"/>
        <v>0.77090000000000003</v>
      </c>
      <c r="H801" s="199">
        <f t="shared" si="85"/>
        <v>0.65078000000000003</v>
      </c>
      <c r="J801" s="172"/>
      <c r="K801" s="172"/>
      <c r="L801" s="172"/>
    </row>
    <row r="802" spans="1:29" s="173" customFormat="1">
      <c r="A802" s="93" t="s">
        <v>48</v>
      </c>
      <c r="B802" s="78" t="s">
        <v>49</v>
      </c>
      <c r="C802" s="271">
        <f>VLOOKUP($A$8:$A$1487,'[7]MFP''s'!A$8:C$1502,3,FALSE)</f>
        <v>260</v>
      </c>
      <c r="D802" s="364">
        <v>169</v>
      </c>
      <c r="E802" s="274">
        <f t="shared" si="79"/>
        <v>0.35</v>
      </c>
      <c r="F802" s="196">
        <f t="shared" si="83"/>
        <v>6.3493300000000001</v>
      </c>
      <c r="G802" s="196">
        <f t="shared" si="84"/>
        <v>5.0108499999999996</v>
      </c>
      <c r="H802" s="199">
        <f t="shared" si="85"/>
        <v>4.2300700000000004</v>
      </c>
      <c r="J802" s="172"/>
      <c r="K802" s="172"/>
      <c r="L802" s="172"/>
    </row>
    <row r="803" spans="1:29" s="173" customFormat="1">
      <c r="A803" s="93" t="s">
        <v>427</v>
      </c>
      <c r="B803" s="78" t="s">
        <v>428</v>
      </c>
      <c r="C803" s="271">
        <f>VLOOKUP($A$8:$A$1487,'[7]MFP''s'!A$8:C$1502,3,FALSE)</f>
        <v>120</v>
      </c>
      <c r="D803" s="364">
        <v>57.851999999999997</v>
      </c>
      <c r="E803" s="274">
        <f t="shared" si="79"/>
        <v>0.51790000000000003</v>
      </c>
      <c r="F803" s="196">
        <f t="shared" si="83"/>
        <v>2.1734996399999997</v>
      </c>
      <c r="G803" s="196">
        <f t="shared" si="84"/>
        <v>1.7153117999999998</v>
      </c>
      <c r="H803" s="199">
        <f t="shared" si="85"/>
        <v>1.4480355599999999</v>
      </c>
      <c r="J803" s="172"/>
      <c r="K803" s="172"/>
      <c r="L803" s="172"/>
    </row>
    <row r="804" spans="1:29" s="173" customFormat="1">
      <c r="A804" s="93" t="s">
        <v>156</v>
      </c>
      <c r="B804" s="78" t="s">
        <v>157</v>
      </c>
      <c r="C804" s="271">
        <f>VLOOKUP($A$8:$A$1487,'[7]MFP''s'!A$8:C$1502,3,FALSE)</f>
        <v>126</v>
      </c>
      <c r="D804" s="364">
        <v>60</v>
      </c>
      <c r="E804" s="274">
        <f t="shared" si="79"/>
        <v>0.52380952380952384</v>
      </c>
      <c r="F804" s="196">
        <f t="shared" si="83"/>
        <v>2.2542</v>
      </c>
      <c r="G804" s="196">
        <f t="shared" si="84"/>
        <v>1.7789999999999999</v>
      </c>
      <c r="H804" s="199">
        <f t="shared" si="85"/>
        <v>1.5018</v>
      </c>
      <c r="J804" s="172"/>
      <c r="K804" s="172"/>
      <c r="L804" s="172"/>
    </row>
    <row r="805" spans="1:29" s="173" customFormat="1">
      <c r="A805" s="93" t="s">
        <v>385</v>
      </c>
      <c r="B805" s="78" t="s">
        <v>386</v>
      </c>
      <c r="C805" s="271">
        <f>VLOOKUP($A$8:$A$1487,'[7]MFP''s'!A$8:C$1502,3,FALSE)</f>
        <v>275</v>
      </c>
      <c r="D805" s="364">
        <v>227</v>
      </c>
      <c r="E805" s="274">
        <f t="shared" si="79"/>
        <v>0.17454545454545456</v>
      </c>
      <c r="F805" s="196">
        <f t="shared" si="83"/>
        <v>8.5283899999999999</v>
      </c>
      <c r="G805" s="196">
        <f t="shared" si="84"/>
        <v>6.73055</v>
      </c>
      <c r="H805" s="199">
        <f t="shared" si="85"/>
        <v>5.6818100000000005</v>
      </c>
      <c r="J805" s="172"/>
      <c r="K805" s="172"/>
      <c r="L805" s="172"/>
    </row>
    <row r="806" spans="1:29" s="173" customFormat="1">
      <c r="A806" s="93" t="s">
        <v>505</v>
      </c>
      <c r="B806" s="78" t="s">
        <v>506</v>
      </c>
      <c r="C806" s="271">
        <f>VLOOKUP($A$8:$A$1487,'[7]MFP''s'!A$8:C$1502,3,FALSE)</f>
        <v>149</v>
      </c>
      <c r="D806" s="364">
        <v>90.41</v>
      </c>
      <c r="E806" s="274">
        <f t="shared" ref="E806:E869" si="86">100%-(D806/C806)</f>
        <v>0.39322147651006711</v>
      </c>
      <c r="F806" s="196">
        <f t="shared" si="83"/>
        <v>3.3967036999999998</v>
      </c>
      <c r="G806" s="196">
        <f t="shared" si="84"/>
        <v>2.6806565</v>
      </c>
      <c r="H806" s="199">
        <f t="shared" si="85"/>
        <v>2.2629622999999999</v>
      </c>
      <c r="J806" s="172"/>
      <c r="K806" s="172"/>
      <c r="L806" s="172"/>
    </row>
    <row r="807" spans="1:29">
      <c r="A807" s="212"/>
      <c r="B807" s="213"/>
      <c r="C807" s="215"/>
      <c r="D807" s="369"/>
      <c r="E807" s="215"/>
      <c r="F807" s="215"/>
      <c r="G807" s="215"/>
      <c r="H807" s="216"/>
      <c r="M807" s="49"/>
      <c r="N807" s="49"/>
      <c r="O807" s="49"/>
      <c r="P807" s="49"/>
      <c r="Q807" s="49"/>
      <c r="R807" s="49"/>
      <c r="S807" s="49"/>
      <c r="T807" s="49"/>
      <c r="U807" s="49"/>
      <c r="V807" s="49"/>
      <c r="W807" s="49"/>
      <c r="X807" s="49"/>
      <c r="Y807" s="49"/>
      <c r="Z807" s="49"/>
      <c r="AA807" s="49"/>
      <c r="AB807" s="49"/>
      <c r="AC807" s="49"/>
    </row>
    <row r="808" spans="1:29" ht="135">
      <c r="A808" s="220" t="s">
        <v>298</v>
      </c>
      <c r="B808" s="221" t="s">
        <v>688</v>
      </c>
      <c r="C808" s="271">
        <f>VLOOKUP($A$8:$A$1487,'[7]MFP''s'!A$8:C$1502,3,FALSE)</f>
        <v>24410</v>
      </c>
      <c r="D808" s="364">
        <v>11559</v>
      </c>
      <c r="E808" s="274">
        <f t="shared" si="86"/>
        <v>0.52646456370340022</v>
      </c>
      <c r="F808" s="196">
        <f t="shared" si="83"/>
        <v>434.27163000000002</v>
      </c>
      <c r="G808" s="196">
        <f t="shared" si="84"/>
        <v>342.72435000000002</v>
      </c>
      <c r="H808" s="199">
        <f t="shared" si="85"/>
        <v>289.32177000000001</v>
      </c>
      <c r="J808" s="184"/>
      <c r="M808" s="49"/>
      <c r="N808" s="49"/>
      <c r="O808" s="49"/>
      <c r="P808" s="49"/>
      <c r="Q808" s="49"/>
      <c r="R808" s="49"/>
      <c r="S808" s="49"/>
      <c r="T808" s="49"/>
      <c r="U808" s="49"/>
      <c r="V808" s="49"/>
      <c r="W808" s="49"/>
      <c r="X808" s="49"/>
      <c r="Y808" s="49"/>
      <c r="Z808" s="49"/>
      <c r="AA808" s="49"/>
      <c r="AB808" s="49"/>
      <c r="AC808" s="49"/>
    </row>
    <row r="809" spans="1:29">
      <c r="A809" s="195" t="s">
        <v>384</v>
      </c>
      <c r="B809" s="197"/>
      <c r="C809" s="271"/>
      <c r="D809" s="357"/>
      <c r="E809" s="274"/>
      <c r="F809" s="196"/>
      <c r="G809" s="196"/>
      <c r="H809" s="199"/>
      <c r="M809" s="49"/>
      <c r="N809" s="49"/>
      <c r="O809" s="49"/>
      <c r="P809" s="49"/>
      <c r="Q809" s="49"/>
      <c r="R809" s="49"/>
      <c r="S809" s="49"/>
      <c r="T809" s="49"/>
      <c r="U809" s="49"/>
      <c r="V809" s="49"/>
      <c r="W809" s="49"/>
      <c r="X809" s="49"/>
      <c r="Y809" s="49"/>
      <c r="Z809" s="49"/>
      <c r="AA809" s="49"/>
      <c r="AB809" s="49"/>
      <c r="AC809" s="49"/>
    </row>
    <row r="810" spans="1:29">
      <c r="A810" s="64" t="s">
        <v>374</v>
      </c>
      <c r="B810" s="65"/>
      <c r="C810" s="271"/>
      <c r="D810" s="364"/>
      <c r="E810" s="274"/>
      <c r="F810" s="196"/>
      <c r="G810" s="196"/>
      <c r="H810" s="199"/>
      <c r="J810" s="72"/>
      <c r="K810" s="185"/>
      <c r="M810" s="49"/>
      <c r="N810" s="49"/>
      <c r="O810" s="49"/>
      <c r="P810" s="49"/>
      <c r="Q810" s="49"/>
      <c r="R810" s="49"/>
      <c r="S810" s="49"/>
      <c r="T810" s="49"/>
      <c r="U810" s="49"/>
      <c r="V810" s="49"/>
      <c r="W810" s="49"/>
      <c r="X810" s="49"/>
      <c r="Y810" s="49"/>
      <c r="Z810" s="49"/>
      <c r="AA810" s="49"/>
      <c r="AB810" s="49"/>
      <c r="AC810" s="49"/>
    </row>
    <row r="811" spans="1:29">
      <c r="A811" s="62" t="s">
        <v>100</v>
      </c>
      <c r="B811" s="61" t="s">
        <v>101</v>
      </c>
      <c r="C811" s="271">
        <f>VLOOKUP($A$8:$A$1487,'[7]MFP''s'!A$8:C$1502,3,FALSE)</f>
        <v>1402</v>
      </c>
      <c r="D811" s="364">
        <v>664</v>
      </c>
      <c r="E811" s="274">
        <f t="shared" si="86"/>
        <v>0.52639087018544939</v>
      </c>
      <c r="F811" s="196">
        <f t="shared" si="83"/>
        <v>24.946480000000001</v>
      </c>
      <c r="G811" s="196">
        <f t="shared" si="84"/>
        <v>19.6876</v>
      </c>
      <c r="H811" s="199">
        <f t="shared" si="85"/>
        <v>16.61992</v>
      </c>
      <c r="J811" s="72"/>
      <c r="K811" s="185"/>
      <c r="M811" s="49"/>
      <c r="N811" s="49"/>
      <c r="O811" s="49"/>
      <c r="P811" s="49"/>
      <c r="Q811" s="49"/>
      <c r="R811" s="49"/>
      <c r="S811" s="49"/>
      <c r="T811" s="49"/>
      <c r="U811" s="49"/>
      <c r="V811" s="49"/>
      <c r="W811" s="49"/>
      <c r="X811" s="49"/>
      <c r="Y811" s="49"/>
      <c r="Z811" s="49"/>
      <c r="AA811" s="49"/>
      <c r="AB811" s="49"/>
      <c r="AC811" s="49"/>
    </row>
    <row r="812" spans="1:29">
      <c r="A812" s="62" t="s">
        <v>102</v>
      </c>
      <c r="B812" s="61" t="s">
        <v>103</v>
      </c>
      <c r="C812" s="271">
        <f>VLOOKUP($A$8:$A$1487,'[7]MFP''s'!A$8:C$1502,3,FALSE)</f>
        <v>1191</v>
      </c>
      <c r="D812" s="364">
        <v>564</v>
      </c>
      <c r="E812" s="274">
        <f t="shared" si="86"/>
        <v>0.52644836272040307</v>
      </c>
      <c r="F812" s="196">
        <f t="shared" si="83"/>
        <v>21.18948</v>
      </c>
      <c r="G812" s="196">
        <f t="shared" si="84"/>
        <v>16.7226</v>
      </c>
      <c r="H812" s="199">
        <f t="shared" si="85"/>
        <v>14.11692</v>
      </c>
      <c r="J812" s="72"/>
      <c r="K812" s="185"/>
      <c r="M812" s="49"/>
      <c r="N812" s="49"/>
      <c r="O812" s="49"/>
      <c r="P812" s="49"/>
      <c r="Q812" s="49"/>
      <c r="R812" s="49"/>
      <c r="S812" s="49"/>
      <c r="T812" s="49"/>
      <c r="U812" s="49"/>
      <c r="V812" s="49"/>
      <c r="W812" s="49"/>
      <c r="X812" s="49"/>
      <c r="Y812" s="49"/>
      <c r="Z812" s="49"/>
      <c r="AA812" s="49"/>
      <c r="AB812" s="49"/>
      <c r="AC812" s="49"/>
    </row>
    <row r="813" spans="1:29">
      <c r="A813" s="62" t="s">
        <v>104</v>
      </c>
      <c r="B813" s="61" t="s">
        <v>105</v>
      </c>
      <c r="C813" s="271">
        <f>VLOOKUP($A$8:$A$1487,'[7]MFP''s'!A$8:C$1502,3,FALSE)</f>
        <v>913</v>
      </c>
      <c r="D813" s="364">
        <v>433</v>
      </c>
      <c r="E813" s="274">
        <f t="shared" si="86"/>
        <v>0.52573932092004383</v>
      </c>
      <c r="F813" s="196">
        <f t="shared" si="83"/>
        <v>16.267810000000001</v>
      </c>
      <c r="G813" s="196">
        <f t="shared" si="84"/>
        <v>12.83845</v>
      </c>
      <c r="H813" s="199">
        <f t="shared" si="85"/>
        <v>10.83799</v>
      </c>
      <c r="J813" s="72"/>
      <c r="K813" s="185"/>
      <c r="M813" s="49"/>
      <c r="N813" s="49"/>
      <c r="O813" s="49"/>
      <c r="P813" s="49"/>
      <c r="Q813" s="49"/>
      <c r="R813" s="49"/>
      <c r="S813" s="49"/>
      <c r="T813" s="49"/>
      <c r="U813" s="49"/>
      <c r="V813" s="49"/>
      <c r="W813" s="49"/>
      <c r="X813" s="49"/>
      <c r="Y813" s="49"/>
      <c r="Z813" s="49"/>
      <c r="AA813" s="49"/>
      <c r="AB813" s="49"/>
      <c r="AC813" s="49"/>
    </row>
    <row r="814" spans="1:29">
      <c r="A814" s="63" t="s">
        <v>382</v>
      </c>
      <c r="B814" s="61" t="s">
        <v>106</v>
      </c>
      <c r="C814" s="271">
        <f>VLOOKUP($A$8:$A$1487,'[7]MFP''s'!A$8:C$1502,3,FALSE)</f>
        <v>222</v>
      </c>
      <c r="D814" s="364">
        <v>106</v>
      </c>
      <c r="E814" s="274">
        <f t="shared" si="86"/>
        <v>0.52252252252252251</v>
      </c>
      <c r="F814" s="196">
        <f t="shared" si="83"/>
        <v>3.9824199999999998</v>
      </c>
      <c r="G814" s="196">
        <f t="shared" si="84"/>
        <v>3.1429</v>
      </c>
      <c r="H814" s="199">
        <f t="shared" si="85"/>
        <v>2.6531799999999999</v>
      </c>
      <c r="J814" s="72"/>
      <c r="K814" s="185"/>
      <c r="L814" s="49"/>
      <c r="M814" s="49"/>
      <c r="N814" s="49"/>
      <c r="O814" s="49"/>
      <c r="P814" s="49"/>
      <c r="Q814" s="49"/>
      <c r="R814" s="49"/>
      <c r="S814" s="49"/>
      <c r="T814" s="49"/>
      <c r="U814" s="49"/>
      <c r="V814" s="49"/>
      <c r="W814" s="49"/>
      <c r="X814" s="49"/>
      <c r="Y814" s="49"/>
      <c r="Z814" s="49"/>
      <c r="AA814" s="49"/>
      <c r="AB814" s="49"/>
      <c r="AC814" s="49"/>
    </row>
    <row r="815" spans="1:29">
      <c r="A815" s="62" t="s">
        <v>174</v>
      </c>
      <c r="B815" s="61" t="s">
        <v>175</v>
      </c>
      <c r="C815" s="271">
        <f>VLOOKUP($A$8:$A$1487,'[7]MFP''s'!A$8:C$1502,3,FALSE)</f>
        <v>3339</v>
      </c>
      <c r="D815" s="364">
        <v>1582</v>
      </c>
      <c r="E815" s="274">
        <f t="shared" si="86"/>
        <v>0.52620545073375258</v>
      </c>
      <c r="F815" s="196">
        <f t="shared" si="83"/>
        <v>59.435739999999996</v>
      </c>
      <c r="G815" s="196">
        <f t="shared" si="84"/>
        <v>46.906300000000002</v>
      </c>
      <c r="H815" s="199">
        <f t="shared" si="85"/>
        <v>39.597459999999998</v>
      </c>
      <c r="J815" s="72"/>
      <c r="K815" s="185"/>
      <c r="L815" s="49"/>
      <c r="M815" s="49"/>
      <c r="N815" s="49"/>
      <c r="O815" s="49"/>
      <c r="P815" s="49"/>
      <c r="Q815" s="49"/>
      <c r="R815" s="49"/>
      <c r="S815" s="49"/>
      <c r="T815" s="49"/>
      <c r="U815" s="49"/>
      <c r="V815" s="49"/>
      <c r="W815" s="49"/>
      <c r="X815" s="49"/>
      <c r="Y815" s="49"/>
      <c r="Z815" s="49"/>
      <c r="AA815" s="49"/>
      <c r="AB815" s="49"/>
      <c r="AC815" s="49"/>
    </row>
    <row r="816" spans="1:29">
      <c r="A816" s="63" t="s">
        <v>176</v>
      </c>
      <c r="B816" s="61" t="s">
        <v>177</v>
      </c>
      <c r="C816" s="271">
        <f>VLOOKUP($A$8:$A$1487,'[7]MFP''s'!A$8:C$1502,3,FALSE)</f>
        <v>1781</v>
      </c>
      <c r="D816" s="364">
        <v>844</v>
      </c>
      <c r="E816" s="274">
        <f t="shared" si="86"/>
        <v>0.52610892756878158</v>
      </c>
      <c r="F816" s="196">
        <f t="shared" si="83"/>
        <v>31.70908</v>
      </c>
      <c r="G816" s="196">
        <f t="shared" si="84"/>
        <v>25.0246</v>
      </c>
      <c r="H816" s="199">
        <f t="shared" si="85"/>
        <v>21.125319999999999</v>
      </c>
      <c r="J816" s="184"/>
      <c r="K816" s="185"/>
      <c r="L816" s="49"/>
      <c r="M816" s="49"/>
      <c r="N816" s="49"/>
      <c r="O816" s="49"/>
      <c r="P816" s="49"/>
      <c r="Q816" s="49"/>
      <c r="R816" s="49"/>
      <c r="S816" s="49"/>
      <c r="T816" s="49"/>
      <c r="U816" s="49"/>
      <c r="V816" s="49"/>
      <c r="W816" s="49"/>
      <c r="X816" s="49"/>
      <c r="Y816" s="49"/>
      <c r="Z816" s="49"/>
      <c r="AA816" s="49"/>
      <c r="AB816" s="49"/>
      <c r="AC816" s="49"/>
    </row>
    <row r="817" spans="1:29">
      <c r="A817" s="64" t="s">
        <v>66</v>
      </c>
      <c r="B817" s="65"/>
      <c r="C817" s="271"/>
      <c r="D817" s="364"/>
      <c r="E817" s="274"/>
      <c r="F817" s="196"/>
      <c r="G817" s="196"/>
      <c r="H817" s="199"/>
      <c r="J817" s="184"/>
      <c r="K817" s="185"/>
      <c r="L817" s="49"/>
      <c r="M817" s="49"/>
      <c r="N817" s="49"/>
      <c r="O817" s="49"/>
      <c r="P817" s="49"/>
      <c r="Q817" s="49"/>
      <c r="R817" s="49"/>
      <c r="S817" s="49"/>
      <c r="T817" s="49"/>
      <c r="U817" s="49"/>
      <c r="V817" s="49"/>
      <c r="W817" s="49"/>
      <c r="X817" s="49"/>
      <c r="Y817" s="49"/>
      <c r="Z817" s="49"/>
      <c r="AA817" s="49"/>
      <c r="AB817" s="49"/>
      <c r="AC817" s="49"/>
    </row>
    <row r="818" spans="1:29">
      <c r="A818" s="79" t="s">
        <v>107</v>
      </c>
      <c r="B818" s="61" t="s">
        <v>108</v>
      </c>
      <c r="C818" s="271">
        <f>VLOOKUP($A$8:$A$1487,'[7]MFP''s'!A$8:C$1502,3,FALSE)</f>
        <v>500</v>
      </c>
      <c r="D818" s="364">
        <v>237</v>
      </c>
      <c r="E818" s="274">
        <f t="shared" si="86"/>
        <v>0.52600000000000002</v>
      </c>
      <c r="F818" s="196">
        <f t="shared" si="83"/>
        <v>8.9040900000000001</v>
      </c>
      <c r="G818" s="196">
        <f t="shared" si="84"/>
        <v>7.02705</v>
      </c>
      <c r="H818" s="199">
        <f t="shared" si="85"/>
        <v>5.9321099999999998</v>
      </c>
      <c r="J818" s="184"/>
      <c r="K818" s="185"/>
      <c r="L818" s="49"/>
      <c r="M818" s="49"/>
      <c r="N818" s="49"/>
      <c r="O818" s="49"/>
      <c r="P818" s="49"/>
      <c r="Q818" s="49"/>
      <c r="R818" s="49"/>
      <c r="S818" s="49"/>
      <c r="T818" s="49"/>
      <c r="U818" s="49"/>
      <c r="V818" s="49"/>
      <c r="W818" s="49"/>
      <c r="X818" s="49"/>
      <c r="Y818" s="49"/>
      <c r="Z818" s="49"/>
      <c r="AA818" s="49"/>
      <c r="AB818" s="49"/>
      <c r="AC818" s="49"/>
    </row>
    <row r="819" spans="1:29" ht="30">
      <c r="A819" s="330" t="s">
        <v>748</v>
      </c>
      <c r="B819" s="70" t="s">
        <v>783</v>
      </c>
      <c r="C819" s="271">
        <v>1855</v>
      </c>
      <c r="D819" s="364">
        <v>879</v>
      </c>
      <c r="E819" s="274">
        <f t="shared" si="86"/>
        <v>0.52614555256064688</v>
      </c>
      <c r="F819" s="196">
        <f t="shared" si="83"/>
        <v>33.024029999999996</v>
      </c>
      <c r="G819" s="196">
        <f t="shared" si="84"/>
        <v>26.062349999999999</v>
      </c>
      <c r="H819" s="199">
        <f t="shared" si="85"/>
        <v>22.001370000000001</v>
      </c>
      <c r="J819" s="72"/>
      <c r="K819" s="185"/>
      <c r="L819" s="49"/>
      <c r="M819" s="49"/>
      <c r="N819" s="49"/>
      <c r="O819" s="49"/>
      <c r="P819" s="49"/>
      <c r="Q819" s="49"/>
      <c r="R819" s="49"/>
      <c r="S819" s="49"/>
      <c r="T819" s="49"/>
      <c r="U819" s="49"/>
      <c r="V819" s="49"/>
      <c r="W819" s="49"/>
      <c r="X819" s="49"/>
      <c r="Y819" s="49"/>
      <c r="Z819" s="49"/>
      <c r="AA819" s="49"/>
      <c r="AB819" s="49"/>
      <c r="AC819" s="49"/>
    </row>
    <row r="820" spans="1:29">
      <c r="A820" s="79" t="s">
        <v>109</v>
      </c>
      <c r="B820" s="61" t="s">
        <v>110</v>
      </c>
      <c r="C820" s="271">
        <f>VLOOKUP($A$8:$A$1487,'[7]MFP''s'!A$8:C$1502,3,FALSE)</f>
        <v>1553</v>
      </c>
      <c r="D820" s="364">
        <v>736</v>
      </c>
      <c r="E820" s="274">
        <f t="shared" si="86"/>
        <v>0.5260785576303928</v>
      </c>
      <c r="F820" s="196">
        <f t="shared" si="83"/>
        <v>27.651519999999998</v>
      </c>
      <c r="G820" s="196">
        <f t="shared" si="84"/>
        <v>21.822399999999998</v>
      </c>
      <c r="H820" s="199">
        <f t="shared" si="85"/>
        <v>18.422080000000001</v>
      </c>
      <c r="J820" s="72"/>
      <c r="K820" s="185"/>
      <c r="L820" s="49"/>
      <c r="M820" s="49"/>
      <c r="N820" s="49"/>
      <c r="O820" s="49"/>
      <c r="P820" s="49"/>
      <c r="Q820" s="49"/>
      <c r="R820" s="49"/>
      <c r="S820" s="49"/>
      <c r="T820" s="49"/>
      <c r="U820" s="49"/>
      <c r="V820" s="49"/>
      <c r="W820" s="49"/>
      <c r="X820" s="49"/>
      <c r="Y820" s="49"/>
      <c r="Z820" s="49"/>
      <c r="AA820" s="49"/>
      <c r="AB820" s="49"/>
      <c r="AC820" s="49"/>
    </row>
    <row r="821" spans="1:29">
      <c r="A821" s="79" t="s">
        <v>111</v>
      </c>
      <c r="B821" s="61" t="s">
        <v>112</v>
      </c>
      <c r="C821" s="271">
        <f>VLOOKUP($A$8:$A$1487,'[7]MFP''s'!A$8:C$1502,3,FALSE)</f>
        <v>585</v>
      </c>
      <c r="D821" s="364">
        <v>278</v>
      </c>
      <c r="E821" s="274">
        <f t="shared" si="86"/>
        <v>0.52478632478632481</v>
      </c>
      <c r="F821" s="196">
        <f t="shared" si="83"/>
        <v>10.444459999999999</v>
      </c>
      <c r="G821" s="196">
        <f t="shared" si="84"/>
        <v>8.2426999999999992</v>
      </c>
      <c r="H821" s="199">
        <f t="shared" si="85"/>
        <v>6.9583399999999997</v>
      </c>
      <c r="J821" s="72"/>
      <c r="K821" s="185"/>
      <c r="L821" s="49"/>
      <c r="M821" s="49"/>
      <c r="N821" s="49"/>
      <c r="O821" s="49"/>
      <c r="P821" s="49"/>
      <c r="Q821" s="49"/>
      <c r="R821" s="49"/>
      <c r="S821" s="49"/>
      <c r="T821" s="49"/>
      <c r="U821" s="49"/>
      <c r="V821" s="49"/>
      <c r="W821" s="49"/>
      <c r="X821" s="49"/>
      <c r="Y821" s="49"/>
      <c r="Z821" s="49"/>
      <c r="AA821" s="49"/>
      <c r="AB821" s="49"/>
      <c r="AC821" s="49"/>
    </row>
    <row r="822" spans="1:29">
      <c r="A822" s="79" t="s">
        <v>113</v>
      </c>
      <c r="B822" s="61" t="s">
        <v>114</v>
      </c>
      <c r="C822" s="271">
        <f>VLOOKUP($A$8:$A$1487,'[7]MFP''s'!A$8:C$1502,3,FALSE)</f>
        <v>586</v>
      </c>
      <c r="D822" s="364">
        <v>278</v>
      </c>
      <c r="E822" s="274">
        <f t="shared" si="86"/>
        <v>0.52559726962457343</v>
      </c>
      <c r="F822" s="196">
        <f t="shared" si="83"/>
        <v>10.444459999999999</v>
      </c>
      <c r="G822" s="196">
        <f t="shared" si="84"/>
        <v>8.2426999999999992</v>
      </c>
      <c r="H822" s="199">
        <f t="shared" si="85"/>
        <v>6.9583399999999997</v>
      </c>
      <c r="J822" s="72"/>
      <c r="K822" s="185"/>
      <c r="L822" s="49"/>
      <c r="M822" s="49"/>
      <c r="N822" s="49"/>
      <c r="O822" s="49"/>
      <c r="P822" s="49"/>
      <c r="Q822" s="49"/>
      <c r="R822" s="49"/>
      <c r="S822" s="49"/>
      <c r="T822" s="49"/>
      <c r="U822" s="49"/>
      <c r="V822" s="49"/>
      <c r="W822" s="49"/>
      <c r="X822" s="49"/>
      <c r="Y822" s="49"/>
      <c r="Z822" s="49"/>
      <c r="AA822" s="49"/>
      <c r="AB822" s="49"/>
      <c r="AC822" s="49"/>
    </row>
    <row r="823" spans="1:29" ht="30">
      <c r="A823" s="330" t="s">
        <v>750</v>
      </c>
      <c r="B823" s="331" t="s">
        <v>784</v>
      </c>
      <c r="C823" s="332">
        <v>3305</v>
      </c>
      <c r="D823" s="364">
        <v>1566</v>
      </c>
      <c r="E823" s="274">
        <f t="shared" si="86"/>
        <v>0.52617246596066569</v>
      </c>
      <c r="F823" s="196">
        <f t="shared" si="83"/>
        <v>58.834620000000001</v>
      </c>
      <c r="G823" s="196">
        <f t="shared" si="84"/>
        <v>46.431899999999999</v>
      </c>
      <c r="H823" s="199">
        <f t="shared" si="85"/>
        <v>39.196980000000003</v>
      </c>
      <c r="J823" s="72"/>
      <c r="K823" s="185"/>
      <c r="L823" s="49"/>
      <c r="M823" s="49"/>
      <c r="N823" s="49"/>
      <c r="O823" s="49"/>
      <c r="P823" s="49"/>
      <c r="Q823" s="49"/>
      <c r="R823" s="49"/>
      <c r="S823" s="49"/>
      <c r="T823" s="49"/>
      <c r="U823" s="49"/>
      <c r="V823" s="49"/>
      <c r="W823" s="49"/>
      <c r="X823" s="49"/>
      <c r="Y823" s="49"/>
      <c r="Z823" s="49"/>
      <c r="AA823" s="49"/>
      <c r="AB823" s="49"/>
      <c r="AC823" s="49"/>
    </row>
    <row r="824" spans="1:29">
      <c r="A824" s="79" t="s">
        <v>180</v>
      </c>
      <c r="B824" s="61" t="s">
        <v>181</v>
      </c>
      <c r="C824" s="271">
        <f>VLOOKUP($A$8:$A$1487,'[7]MFP''s'!A$8:C$1502,3,FALSE)</f>
        <v>111</v>
      </c>
      <c r="D824" s="364">
        <v>53</v>
      </c>
      <c r="E824" s="274">
        <f t="shared" si="86"/>
        <v>0.52252252252252251</v>
      </c>
      <c r="F824" s="196">
        <f t="shared" si="83"/>
        <v>1.9912099999999999</v>
      </c>
      <c r="G824" s="196">
        <f t="shared" si="84"/>
        <v>1.57145</v>
      </c>
      <c r="H824" s="199">
        <f t="shared" si="85"/>
        <v>1.3265899999999999</v>
      </c>
      <c r="J824" s="72"/>
      <c r="K824" s="185"/>
      <c r="L824" s="49"/>
      <c r="M824" s="49"/>
      <c r="N824" s="49"/>
      <c r="O824" s="49"/>
      <c r="P824" s="49"/>
      <c r="Q824" s="49"/>
      <c r="R824" s="49"/>
      <c r="S824" s="49"/>
      <c r="T824" s="49"/>
      <c r="U824" s="49"/>
      <c r="V824" s="49"/>
      <c r="W824" s="49"/>
      <c r="X824" s="49"/>
      <c r="Y824" s="49"/>
      <c r="Z824" s="49"/>
      <c r="AA824" s="49"/>
      <c r="AB824" s="49"/>
      <c r="AC824" s="49"/>
    </row>
    <row r="825" spans="1:29">
      <c r="A825" s="86" t="s">
        <v>69</v>
      </c>
      <c r="B825" s="65"/>
      <c r="C825" s="271"/>
      <c r="D825" s="364"/>
      <c r="E825" s="274"/>
      <c r="F825" s="196"/>
      <c r="G825" s="196"/>
      <c r="H825" s="199"/>
      <c r="J825" s="72"/>
      <c r="K825" s="185"/>
      <c r="L825" s="49"/>
      <c r="M825" s="49"/>
      <c r="N825" s="49"/>
      <c r="O825" s="49"/>
      <c r="P825" s="49"/>
      <c r="Q825" s="49"/>
      <c r="R825" s="49"/>
      <c r="S825" s="49"/>
      <c r="T825" s="49"/>
      <c r="U825" s="49"/>
      <c r="V825" s="49"/>
      <c r="W825" s="49"/>
      <c r="X825" s="49"/>
      <c r="Y825" s="49"/>
      <c r="Z825" s="49"/>
      <c r="AA825" s="49"/>
      <c r="AB825" s="49"/>
      <c r="AC825" s="49"/>
    </row>
    <row r="826" spans="1:29">
      <c r="A826" s="79" t="s">
        <v>115</v>
      </c>
      <c r="B826" s="61" t="s">
        <v>116</v>
      </c>
      <c r="C826" s="271">
        <f>VLOOKUP($A$8:$A$1487,'[7]MFP''s'!A$8:C$1502,3,FALSE)</f>
        <v>1070</v>
      </c>
      <c r="D826" s="364">
        <v>507</v>
      </c>
      <c r="E826" s="274">
        <f t="shared" si="86"/>
        <v>0.5261682242990654</v>
      </c>
      <c r="F826" s="196">
        <f t="shared" si="83"/>
        <v>19.047989999999999</v>
      </c>
      <c r="G826" s="196">
        <f t="shared" si="84"/>
        <v>15.032549999999999</v>
      </c>
      <c r="H826" s="199">
        <f t="shared" si="85"/>
        <v>12.69021</v>
      </c>
      <c r="J826" s="72"/>
      <c r="K826" s="185"/>
      <c r="L826" s="49"/>
      <c r="M826" s="49"/>
      <c r="N826" s="49"/>
      <c r="O826" s="49"/>
      <c r="P826" s="49"/>
      <c r="Q826" s="49"/>
      <c r="R826" s="49"/>
      <c r="S826" s="49"/>
      <c r="T826" s="49"/>
      <c r="U826" s="49"/>
      <c r="V826" s="49"/>
      <c r="W826" s="49"/>
      <c r="X826" s="49"/>
      <c r="Y826" s="49"/>
      <c r="Z826" s="49"/>
      <c r="AA826" s="49"/>
      <c r="AB826" s="49"/>
      <c r="AC826" s="49"/>
    </row>
    <row r="827" spans="1:29">
      <c r="A827" s="79">
        <v>4614506</v>
      </c>
      <c r="B827" s="61" t="s">
        <v>117</v>
      </c>
      <c r="C827" s="271">
        <f>VLOOKUP($A$8:$A$1487,'[7]MFP''s'!A$8:C$1502,3,FALSE)</f>
        <v>48</v>
      </c>
      <c r="D827" s="364">
        <v>23</v>
      </c>
      <c r="E827" s="274">
        <f t="shared" si="86"/>
        <v>0.52083333333333326</v>
      </c>
      <c r="F827" s="196">
        <f t="shared" si="83"/>
        <v>0.86410999999999993</v>
      </c>
      <c r="G827" s="196">
        <f t="shared" si="84"/>
        <v>0.68194999999999995</v>
      </c>
      <c r="H827" s="199">
        <f t="shared" si="85"/>
        <v>0.57569000000000004</v>
      </c>
      <c r="J827" s="184"/>
      <c r="L827" s="49"/>
      <c r="M827" s="49"/>
      <c r="N827" s="49"/>
      <c r="O827" s="49"/>
      <c r="P827" s="49"/>
      <c r="Q827" s="49"/>
      <c r="R827" s="49"/>
      <c r="S827" s="49"/>
      <c r="T827" s="49"/>
      <c r="U827" s="49"/>
      <c r="V827" s="49"/>
      <c r="W827" s="49"/>
      <c r="X827" s="49"/>
      <c r="Y827" s="49"/>
      <c r="Z827" s="49"/>
      <c r="AA827" s="49"/>
      <c r="AB827" s="49"/>
      <c r="AC827" s="49"/>
    </row>
    <row r="828" spans="1:29">
      <c r="A828" s="79">
        <v>4614511</v>
      </c>
      <c r="B828" s="61" t="s">
        <v>118</v>
      </c>
      <c r="C828" s="271">
        <f>VLOOKUP($A$8:$A$1487,'[7]MFP''s'!A$8:C$1502,3,FALSE)</f>
        <v>27</v>
      </c>
      <c r="D828" s="364">
        <v>13</v>
      </c>
      <c r="E828" s="274">
        <f t="shared" si="86"/>
        <v>0.5185185185185186</v>
      </c>
      <c r="F828" s="196">
        <f t="shared" si="83"/>
        <v>0.48841000000000001</v>
      </c>
      <c r="G828" s="196">
        <f t="shared" si="84"/>
        <v>0.38545000000000001</v>
      </c>
      <c r="H828" s="199">
        <f t="shared" si="85"/>
        <v>0.32539000000000001</v>
      </c>
      <c r="J828" s="184"/>
      <c r="L828" s="49"/>
      <c r="M828" s="49"/>
      <c r="N828" s="49"/>
      <c r="O828" s="49"/>
      <c r="P828" s="49"/>
      <c r="Q828" s="49"/>
      <c r="R828" s="49"/>
      <c r="S828" s="49"/>
      <c r="T828" s="49"/>
      <c r="U828" s="49"/>
      <c r="V828" s="49"/>
      <c r="W828" s="49"/>
      <c r="X828" s="49"/>
      <c r="Y828" s="49"/>
      <c r="Z828" s="49"/>
      <c r="AA828" s="49"/>
      <c r="AB828" s="49"/>
      <c r="AC828" s="49"/>
    </row>
    <row r="829" spans="1:29">
      <c r="A829" s="79" t="s">
        <v>119</v>
      </c>
      <c r="B829" s="61" t="s">
        <v>120</v>
      </c>
      <c r="C829" s="271">
        <f>VLOOKUP($A$8:$A$1487,'[7]MFP''s'!A$8:C$1502,3,FALSE)</f>
        <v>120</v>
      </c>
      <c r="D829" s="364">
        <v>57</v>
      </c>
      <c r="E829" s="274">
        <f t="shared" si="86"/>
        <v>0.52500000000000002</v>
      </c>
      <c r="F829" s="196">
        <f t="shared" si="83"/>
        <v>2.1414900000000001</v>
      </c>
      <c r="G829" s="196">
        <f t="shared" si="84"/>
        <v>1.6900500000000001</v>
      </c>
      <c r="H829" s="199">
        <f t="shared" si="85"/>
        <v>1.4267099999999999</v>
      </c>
      <c r="J829" s="184"/>
      <c r="L829" s="49"/>
      <c r="M829" s="49"/>
      <c r="N829" s="49"/>
      <c r="O829" s="49"/>
      <c r="P829" s="49"/>
      <c r="Q829" s="49"/>
      <c r="R829" s="49"/>
      <c r="S829" s="49"/>
      <c r="T829" s="49"/>
      <c r="U829" s="49"/>
      <c r="V829" s="49"/>
      <c r="W829" s="49"/>
      <c r="X829" s="49"/>
      <c r="Y829" s="49"/>
      <c r="Z829" s="49"/>
      <c r="AA829" s="49"/>
      <c r="AB829" s="49"/>
      <c r="AC829" s="49"/>
    </row>
    <row r="830" spans="1:29">
      <c r="A830" s="79" t="s">
        <v>121</v>
      </c>
      <c r="B830" s="61" t="s">
        <v>122</v>
      </c>
      <c r="C830" s="271">
        <f>VLOOKUP($A$8:$A$1487,'[7]MFP''s'!A$8:C$1502,3,FALSE)</f>
        <v>1068</v>
      </c>
      <c r="D830" s="364">
        <v>506</v>
      </c>
      <c r="E830" s="274">
        <f t="shared" si="86"/>
        <v>0.52621722846441954</v>
      </c>
      <c r="F830" s="196">
        <f t="shared" si="83"/>
        <v>19.01042</v>
      </c>
      <c r="G830" s="196">
        <f t="shared" si="84"/>
        <v>15.0029</v>
      </c>
      <c r="H830" s="199">
        <f t="shared" si="85"/>
        <v>12.665179999999999</v>
      </c>
      <c r="I830" s="49"/>
      <c r="J830" s="49"/>
      <c r="K830" s="49"/>
      <c r="L830" s="49"/>
      <c r="M830" s="49"/>
      <c r="N830" s="49"/>
      <c r="O830" s="49"/>
      <c r="P830" s="49"/>
      <c r="Q830" s="49"/>
      <c r="R830" s="49"/>
      <c r="S830" s="49"/>
      <c r="T830" s="49"/>
      <c r="U830" s="49"/>
      <c r="V830" s="49"/>
      <c r="W830" s="49"/>
      <c r="X830" s="49"/>
      <c r="Y830" s="49"/>
      <c r="Z830" s="49"/>
      <c r="AA830" s="49"/>
      <c r="AB830" s="49"/>
      <c r="AC830" s="49"/>
    </row>
    <row r="831" spans="1:29">
      <c r="A831" s="86" t="s">
        <v>285</v>
      </c>
      <c r="B831" s="65"/>
      <c r="C831" s="271"/>
      <c r="D831" s="364"/>
      <c r="E831" s="274"/>
      <c r="F831" s="196"/>
      <c r="G831" s="196"/>
      <c r="H831" s="199"/>
      <c r="I831" s="49"/>
      <c r="J831" s="49"/>
      <c r="K831" s="49"/>
      <c r="L831" s="49"/>
      <c r="M831" s="49"/>
      <c r="N831" s="49"/>
      <c r="O831" s="49"/>
      <c r="P831" s="49"/>
      <c r="Q831" s="49"/>
      <c r="R831" s="49"/>
      <c r="S831" s="49"/>
      <c r="T831" s="49"/>
      <c r="U831" s="49"/>
      <c r="V831" s="49"/>
      <c r="W831" s="49"/>
      <c r="X831" s="49"/>
      <c r="Y831" s="49"/>
      <c r="Z831" s="49"/>
      <c r="AA831" s="49"/>
      <c r="AB831" s="49"/>
      <c r="AC831" s="49"/>
    </row>
    <row r="832" spans="1:29">
      <c r="A832" s="79" t="s">
        <v>286</v>
      </c>
      <c r="B832" s="61" t="s">
        <v>287</v>
      </c>
      <c r="C832" s="271">
        <f>VLOOKUP($A$8:$A$1487,'[7]MFP''s'!A$8:C$1502,3,FALSE)</f>
        <v>4158</v>
      </c>
      <c r="D832" s="364">
        <v>1969</v>
      </c>
      <c r="E832" s="274">
        <f t="shared" si="86"/>
        <v>0.52645502645502651</v>
      </c>
      <c r="F832" s="196">
        <f t="shared" si="83"/>
        <v>73.97533</v>
      </c>
      <c r="G832" s="196">
        <f t="shared" si="84"/>
        <v>58.380849999999995</v>
      </c>
      <c r="H832" s="199">
        <f t="shared" si="85"/>
        <v>49.28407</v>
      </c>
      <c r="I832" s="49"/>
      <c r="J832" s="49"/>
      <c r="K832" s="49"/>
      <c r="L832" s="49"/>
      <c r="M832" s="49"/>
      <c r="N832" s="49"/>
      <c r="O832" s="49"/>
      <c r="P832" s="49"/>
      <c r="Q832" s="49"/>
      <c r="R832" s="49"/>
      <c r="S832" s="49"/>
      <c r="T832" s="49"/>
      <c r="U832" s="49"/>
      <c r="V832" s="49"/>
      <c r="W832" s="49"/>
      <c r="X832" s="49"/>
      <c r="Y832" s="49"/>
      <c r="Z832" s="49"/>
      <c r="AA832" s="49"/>
      <c r="AB832" s="49"/>
      <c r="AC832" s="49"/>
    </row>
    <row r="833" spans="1:29">
      <c r="A833" s="79" t="s">
        <v>288</v>
      </c>
      <c r="B833" s="61" t="s">
        <v>289</v>
      </c>
      <c r="C833" s="271">
        <f>VLOOKUP($A$8:$A$1487,'[7]MFP''s'!A$8:C$1502,3,FALSE)</f>
        <v>296</v>
      </c>
      <c r="D833" s="364">
        <v>141</v>
      </c>
      <c r="E833" s="274">
        <f t="shared" si="86"/>
        <v>0.52364864864864868</v>
      </c>
      <c r="F833" s="196">
        <f t="shared" ref="F833:F896" si="87">D833*$F$1</f>
        <v>5.2973699999999999</v>
      </c>
      <c r="G833" s="196">
        <f t="shared" si="84"/>
        <v>4.18065</v>
      </c>
      <c r="H833" s="199">
        <f t="shared" si="85"/>
        <v>3.5292300000000001</v>
      </c>
      <c r="I833" s="49"/>
      <c r="J833" s="49"/>
      <c r="K833" s="49"/>
      <c r="L833" s="49"/>
      <c r="M833" s="49"/>
      <c r="N833" s="49"/>
      <c r="O833" s="49"/>
      <c r="P833" s="49"/>
      <c r="Q833" s="49"/>
      <c r="R833" s="49"/>
      <c r="S833" s="49"/>
      <c r="T833" s="49"/>
      <c r="U833" s="49"/>
      <c r="V833" s="49"/>
      <c r="W833" s="49"/>
      <c r="X833" s="49"/>
      <c r="Y833" s="49"/>
      <c r="Z833" s="49"/>
      <c r="AA833" s="49"/>
      <c r="AB833" s="49"/>
      <c r="AC833" s="49"/>
    </row>
    <row r="834" spans="1:29">
      <c r="A834" s="79">
        <v>7640004312</v>
      </c>
      <c r="B834" s="61" t="s">
        <v>290</v>
      </c>
      <c r="C834" s="271">
        <f>VLOOKUP($A$8:$A$1487,'[7]MFP''s'!A$8:C$1502,3,FALSE)</f>
        <v>875</v>
      </c>
      <c r="D834" s="364">
        <v>415</v>
      </c>
      <c r="E834" s="274">
        <f t="shared" si="86"/>
        <v>0.52571428571428569</v>
      </c>
      <c r="F834" s="196">
        <f t="shared" si="87"/>
        <v>15.59155</v>
      </c>
      <c r="G834" s="196">
        <f t="shared" si="84"/>
        <v>12.30475</v>
      </c>
      <c r="H834" s="199">
        <f t="shared" si="85"/>
        <v>10.387449999999999</v>
      </c>
      <c r="I834" s="49"/>
      <c r="J834" s="49"/>
      <c r="K834" s="49"/>
      <c r="L834" s="49"/>
      <c r="M834" s="49"/>
      <c r="N834" s="49"/>
      <c r="O834" s="49"/>
      <c r="P834" s="49"/>
      <c r="Q834" s="49"/>
      <c r="R834" s="49"/>
      <c r="S834" s="49"/>
      <c r="T834" s="49"/>
      <c r="U834" s="49"/>
      <c r="V834" s="49"/>
      <c r="W834" s="49"/>
      <c r="X834" s="49"/>
      <c r="Y834" s="49"/>
      <c r="Z834" s="49"/>
      <c r="AA834" s="49"/>
      <c r="AB834" s="49"/>
      <c r="AC834" s="49"/>
    </row>
    <row r="835" spans="1:29">
      <c r="A835" s="79">
        <v>7640004313</v>
      </c>
      <c r="B835" s="61" t="s">
        <v>291</v>
      </c>
      <c r="C835" s="271">
        <f>VLOOKUP($A$8:$A$1487,'[7]MFP''s'!A$8:C$1502,3,FALSE)</f>
        <v>875</v>
      </c>
      <c r="D835" s="364">
        <v>415</v>
      </c>
      <c r="E835" s="274">
        <f t="shared" si="86"/>
        <v>0.52571428571428569</v>
      </c>
      <c r="F835" s="196">
        <f t="shared" si="87"/>
        <v>15.59155</v>
      </c>
      <c r="G835" s="196">
        <f t="shared" si="84"/>
        <v>12.30475</v>
      </c>
      <c r="H835" s="199">
        <f t="shared" si="85"/>
        <v>10.387449999999999</v>
      </c>
      <c r="I835" s="49"/>
      <c r="J835" s="49"/>
      <c r="K835" s="49"/>
      <c r="L835" s="49"/>
      <c r="M835" s="49"/>
      <c r="N835" s="49"/>
      <c r="O835" s="49"/>
      <c r="P835" s="49"/>
      <c r="Q835" s="49"/>
      <c r="R835" s="49"/>
      <c r="S835" s="49"/>
      <c r="T835" s="49"/>
      <c r="U835" s="49"/>
      <c r="V835" s="49"/>
      <c r="W835" s="49"/>
      <c r="X835" s="49"/>
      <c r="Y835" s="49"/>
      <c r="Z835" s="49"/>
      <c r="AA835" s="49"/>
      <c r="AB835" s="49"/>
      <c r="AC835" s="49"/>
    </row>
    <row r="836" spans="1:29">
      <c r="A836" s="79">
        <v>45109642</v>
      </c>
      <c r="B836" s="61" t="s">
        <v>292</v>
      </c>
      <c r="C836" s="271">
        <f>VLOOKUP($A$8:$A$1487,'[7]MFP''s'!A$8:C$1502,3,FALSE)</f>
        <v>1348</v>
      </c>
      <c r="D836" s="364">
        <v>639</v>
      </c>
      <c r="E836" s="274">
        <f t="shared" si="86"/>
        <v>0.52596439169139464</v>
      </c>
      <c r="F836" s="196">
        <f t="shared" si="87"/>
        <v>24.00723</v>
      </c>
      <c r="G836" s="196">
        <f t="shared" si="84"/>
        <v>18.946349999999999</v>
      </c>
      <c r="H836" s="199">
        <f t="shared" si="85"/>
        <v>15.99417</v>
      </c>
      <c r="I836" s="49"/>
      <c r="J836" s="49"/>
      <c r="K836" s="49"/>
      <c r="L836" s="49"/>
      <c r="M836" s="49"/>
      <c r="N836" s="49"/>
      <c r="O836" s="49"/>
      <c r="P836" s="49"/>
      <c r="Q836" s="49"/>
      <c r="R836" s="49"/>
      <c r="S836" s="49"/>
      <c r="T836" s="49"/>
      <c r="U836" s="49"/>
      <c r="V836" s="49"/>
      <c r="W836" s="49"/>
      <c r="X836" s="49"/>
      <c r="Y836" s="49"/>
      <c r="Z836" s="49"/>
      <c r="AA836" s="49"/>
      <c r="AB836" s="49"/>
      <c r="AC836" s="49"/>
    </row>
    <row r="837" spans="1:29">
      <c r="A837" s="79">
        <v>7640009476</v>
      </c>
      <c r="B837" s="61" t="s">
        <v>293</v>
      </c>
      <c r="C837" s="271">
        <f>VLOOKUP($A$8:$A$1487,'[7]MFP''s'!A$8:C$1502,3,FALSE)</f>
        <v>2650</v>
      </c>
      <c r="D837" s="364">
        <v>1255</v>
      </c>
      <c r="E837" s="274">
        <f t="shared" si="86"/>
        <v>0.52641509433962264</v>
      </c>
      <c r="F837" s="196">
        <f t="shared" si="87"/>
        <v>47.150349999999996</v>
      </c>
      <c r="G837" s="196">
        <f t="shared" si="84"/>
        <v>37.210749999999997</v>
      </c>
      <c r="H837" s="199">
        <f t="shared" si="85"/>
        <v>31.412649999999999</v>
      </c>
      <c r="I837" s="49"/>
      <c r="J837" s="49"/>
      <c r="K837" s="49"/>
      <c r="L837" s="49"/>
      <c r="M837" s="49"/>
      <c r="N837" s="49"/>
      <c r="O837" s="49"/>
      <c r="P837" s="49"/>
      <c r="Q837" s="49"/>
      <c r="R837" s="49"/>
      <c r="S837" s="49"/>
      <c r="T837" s="49"/>
      <c r="U837" s="49"/>
      <c r="V837" s="49"/>
      <c r="W837" s="49"/>
      <c r="X837" s="49"/>
      <c r="Y837" s="49"/>
      <c r="Z837" s="49"/>
      <c r="AA837" s="49"/>
      <c r="AB837" s="49"/>
      <c r="AC837" s="49"/>
    </row>
    <row r="838" spans="1:29">
      <c r="A838" s="79">
        <v>7640009477</v>
      </c>
      <c r="B838" s="61" t="s">
        <v>294</v>
      </c>
      <c r="C838" s="271">
        <f>VLOOKUP($A$8:$A$1487,'[7]MFP''s'!A$8:C$1502,3,FALSE)</f>
        <v>1166</v>
      </c>
      <c r="D838" s="364">
        <v>553</v>
      </c>
      <c r="E838" s="274">
        <f t="shared" si="86"/>
        <v>0.52572898799313894</v>
      </c>
      <c r="F838" s="196">
        <f t="shared" si="87"/>
        <v>20.776209999999999</v>
      </c>
      <c r="G838" s="196">
        <f t="shared" si="84"/>
        <v>16.396449999999998</v>
      </c>
      <c r="H838" s="199">
        <f t="shared" si="85"/>
        <v>13.84159</v>
      </c>
      <c r="I838" s="49"/>
      <c r="J838" s="49"/>
      <c r="K838" s="49"/>
      <c r="L838" s="49"/>
      <c r="M838" s="49"/>
      <c r="N838" s="49"/>
      <c r="O838" s="49"/>
      <c r="P838" s="49"/>
      <c r="Q838" s="49"/>
      <c r="R838" s="49"/>
      <c r="S838" s="49"/>
      <c r="T838" s="49"/>
      <c r="U838" s="49"/>
      <c r="V838" s="49"/>
      <c r="W838" s="49"/>
      <c r="X838" s="49"/>
      <c r="Y838" s="49"/>
      <c r="Z838" s="49"/>
      <c r="AA838" s="49"/>
      <c r="AB838" s="49"/>
      <c r="AC838" s="49"/>
    </row>
    <row r="839" spans="1:29">
      <c r="A839" s="79">
        <v>7640009478</v>
      </c>
      <c r="B839" s="61" t="s">
        <v>295</v>
      </c>
      <c r="C839" s="271">
        <f>VLOOKUP($A$8:$A$1487,'[7]MFP''s'!A$8:C$1502,3,FALSE)</f>
        <v>3179</v>
      </c>
      <c r="D839" s="364">
        <v>1506</v>
      </c>
      <c r="E839" s="274">
        <f t="shared" si="86"/>
        <v>0.52626612142183071</v>
      </c>
      <c r="F839" s="196">
        <f t="shared" si="87"/>
        <v>56.580419999999997</v>
      </c>
      <c r="G839" s="196">
        <f t="shared" si="84"/>
        <v>44.652899999999995</v>
      </c>
      <c r="H839" s="199">
        <f t="shared" si="85"/>
        <v>37.695180000000001</v>
      </c>
      <c r="I839" s="49"/>
      <c r="J839" s="49"/>
      <c r="K839" s="49"/>
      <c r="L839" s="49"/>
      <c r="M839" s="49"/>
      <c r="N839" s="49"/>
      <c r="O839" s="49"/>
      <c r="P839" s="49"/>
      <c r="Q839" s="49"/>
      <c r="R839" s="49"/>
      <c r="S839" s="49"/>
      <c r="T839" s="49"/>
      <c r="U839" s="49"/>
      <c r="V839" s="49"/>
      <c r="W839" s="49"/>
      <c r="X839" s="49"/>
      <c r="Y839" s="49"/>
      <c r="Z839" s="49"/>
      <c r="AA839" s="49"/>
      <c r="AB839" s="49"/>
      <c r="AC839" s="49"/>
    </row>
    <row r="840" spans="1:29" ht="30">
      <c r="A840" s="84">
        <v>3000005452</v>
      </c>
      <c r="B840" s="61" t="s">
        <v>296</v>
      </c>
      <c r="C840" s="271">
        <f>VLOOKUP($A$8:$A$1487,'[7]MFP''s'!A$8:C$1502,3,FALSE)</f>
        <v>3400</v>
      </c>
      <c r="D840" s="364">
        <v>1610</v>
      </c>
      <c r="E840" s="274">
        <f t="shared" si="86"/>
        <v>0.52647058823529413</v>
      </c>
      <c r="F840" s="196">
        <f t="shared" si="87"/>
        <v>60.487699999999997</v>
      </c>
      <c r="G840" s="196">
        <f t="shared" si="84"/>
        <v>47.736499999999999</v>
      </c>
      <c r="H840" s="199">
        <f t="shared" si="85"/>
        <v>40.298299999999998</v>
      </c>
      <c r="I840" s="49"/>
      <c r="J840" s="49"/>
      <c r="K840" s="49"/>
      <c r="L840" s="49"/>
      <c r="M840" s="49"/>
      <c r="N840" s="49"/>
      <c r="O840" s="49"/>
      <c r="P840" s="49"/>
      <c r="Q840" s="49"/>
      <c r="R840" s="49"/>
      <c r="S840" s="49"/>
      <c r="T840" s="49"/>
      <c r="U840" s="49"/>
      <c r="V840" s="49"/>
      <c r="W840" s="49"/>
      <c r="X840" s="49"/>
      <c r="Y840" s="49"/>
      <c r="Z840" s="49"/>
      <c r="AA840" s="49"/>
      <c r="AB840" s="49"/>
      <c r="AC840" s="49"/>
    </row>
    <row r="841" spans="1:29">
      <c r="A841" s="79">
        <v>7640017030</v>
      </c>
      <c r="B841" s="61" t="s">
        <v>297</v>
      </c>
      <c r="C841" s="271">
        <f>VLOOKUP($A$8:$A$1487,'[7]MFP''s'!A$8:C$1502,3,FALSE)</f>
        <v>4500</v>
      </c>
      <c r="D841" s="364">
        <v>2131</v>
      </c>
      <c r="E841" s="274">
        <f t="shared" si="86"/>
        <v>0.52644444444444449</v>
      </c>
      <c r="F841" s="196">
        <f t="shared" si="87"/>
        <v>80.061669999999992</v>
      </c>
      <c r="G841" s="196">
        <f t="shared" ref="G841:G903" si="88">D841*$G$1</f>
        <v>63.184149999999995</v>
      </c>
      <c r="H841" s="199">
        <f t="shared" ref="H841:H903" si="89">D841*$H$1</f>
        <v>53.338929999999998</v>
      </c>
      <c r="I841" s="49"/>
      <c r="J841" s="49"/>
      <c r="K841" s="49"/>
      <c r="L841" s="49"/>
      <c r="M841" s="49"/>
      <c r="N841" s="49"/>
      <c r="O841" s="49"/>
      <c r="P841" s="49"/>
      <c r="Q841" s="49"/>
      <c r="R841" s="49"/>
      <c r="S841" s="49"/>
      <c r="T841" s="49"/>
      <c r="U841" s="49"/>
      <c r="V841" s="49"/>
      <c r="W841" s="49"/>
      <c r="X841" s="49"/>
      <c r="Y841" s="49"/>
      <c r="Z841" s="49"/>
      <c r="AA841" s="49"/>
      <c r="AB841" s="49"/>
      <c r="AC841" s="49"/>
    </row>
    <row r="842" spans="1:29">
      <c r="A842" s="86" t="s">
        <v>123</v>
      </c>
      <c r="B842" s="65"/>
      <c r="C842" s="271"/>
      <c r="D842" s="364"/>
      <c r="E842" s="274"/>
      <c r="F842" s="196"/>
      <c r="G842" s="196"/>
      <c r="H842" s="199"/>
      <c r="I842" s="49"/>
      <c r="J842" s="49"/>
      <c r="K842" s="49"/>
      <c r="L842" s="49"/>
      <c r="M842" s="49"/>
      <c r="N842" s="49"/>
      <c r="O842" s="49"/>
      <c r="P842" s="49"/>
      <c r="Q842" s="49"/>
      <c r="R842" s="49"/>
      <c r="S842" s="49"/>
      <c r="T842" s="49"/>
      <c r="U842" s="49"/>
      <c r="V842" s="49"/>
      <c r="W842" s="49"/>
      <c r="X842" s="49"/>
      <c r="Y842" s="49"/>
      <c r="Z842" s="49"/>
      <c r="AA842" s="49"/>
      <c r="AB842" s="49"/>
      <c r="AC842" s="49"/>
    </row>
    <row r="843" spans="1:29">
      <c r="A843" s="79" t="s">
        <v>124</v>
      </c>
      <c r="B843" s="61" t="s">
        <v>125</v>
      </c>
      <c r="C843" s="271">
        <f>VLOOKUP($A$8:$A$1487,'[7]MFP''s'!A$8:C$1502,3,FALSE)</f>
        <v>53</v>
      </c>
      <c r="D843" s="364">
        <v>26</v>
      </c>
      <c r="E843" s="274">
        <f t="shared" si="86"/>
        <v>0.50943396226415094</v>
      </c>
      <c r="F843" s="196">
        <f t="shared" si="87"/>
        <v>0.97682000000000002</v>
      </c>
      <c r="G843" s="196">
        <f t="shared" si="88"/>
        <v>0.77090000000000003</v>
      </c>
      <c r="H843" s="199">
        <f t="shared" si="89"/>
        <v>0.65078000000000003</v>
      </c>
      <c r="I843" s="49"/>
      <c r="J843" s="49"/>
      <c r="K843" s="49"/>
      <c r="L843" s="49"/>
      <c r="M843" s="49"/>
      <c r="N843" s="49"/>
      <c r="O843" s="49"/>
      <c r="P843" s="49"/>
      <c r="Q843" s="49"/>
      <c r="R843" s="49"/>
      <c r="S843" s="49"/>
      <c r="T843" s="49"/>
      <c r="U843" s="49"/>
      <c r="V843" s="49"/>
      <c r="W843" s="49"/>
      <c r="X843" s="49"/>
      <c r="Y843" s="49"/>
      <c r="Z843" s="49"/>
      <c r="AA843" s="49"/>
      <c r="AB843" s="49"/>
      <c r="AC843" s="49"/>
    </row>
    <row r="844" spans="1:29" ht="30">
      <c r="A844" s="79" t="s">
        <v>126</v>
      </c>
      <c r="B844" s="61" t="s">
        <v>127</v>
      </c>
      <c r="C844" s="271">
        <f>VLOOKUP($A$8:$A$1487,'[7]MFP''s'!A$8:C$1502,3,FALSE)</f>
        <v>1100</v>
      </c>
      <c r="D844" s="364">
        <v>521</v>
      </c>
      <c r="E844" s="274">
        <f t="shared" si="86"/>
        <v>0.52636363636363637</v>
      </c>
      <c r="F844" s="196">
        <f t="shared" si="87"/>
        <v>19.573969999999999</v>
      </c>
      <c r="G844" s="196">
        <f t="shared" si="88"/>
        <v>15.447649999999999</v>
      </c>
      <c r="H844" s="199">
        <f t="shared" si="89"/>
        <v>13.04063</v>
      </c>
      <c r="I844" s="49"/>
      <c r="J844" s="49"/>
      <c r="K844" s="49"/>
      <c r="L844" s="49"/>
      <c r="M844" s="49"/>
      <c r="N844" s="49"/>
      <c r="O844" s="49"/>
      <c r="P844" s="49"/>
      <c r="Q844" s="49"/>
      <c r="R844" s="49"/>
      <c r="S844" s="49"/>
      <c r="T844" s="49"/>
      <c r="U844" s="49"/>
      <c r="V844" s="49"/>
      <c r="W844" s="49"/>
      <c r="X844" s="49"/>
      <c r="Y844" s="49"/>
      <c r="Z844" s="49"/>
      <c r="AA844" s="49"/>
      <c r="AB844" s="49"/>
      <c r="AC844" s="49"/>
    </row>
    <row r="845" spans="1:29">
      <c r="A845" s="62" t="s">
        <v>128</v>
      </c>
      <c r="B845" s="61" t="s">
        <v>129</v>
      </c>
      <c r="C845" s="271">
        <f>VLOOKUP($A$8:$A$1487,'[7]MFP''s'!A$8:C$1502,3,FALSE)</f>
        <v>785</v>
      </c>
      <c r="D845" s="364">
        <v>372</v>
      </c>
      <c r="E845" s="274">
        <f t="shared" si="86"/>
        <v>0.52611464968152866</v>
      </c>
      <c r="F845" s="196">
        <f t="shared" si="87"/>
        <v>13.976039999999999</v>
      </c>
      <c r="G845" s="196">
        <f t="shared" si="88"/>
        <v>11.0298</v>
      </c>
      <c r="H845" s="199">
        <f t="shared" si="89"/>
        <v>9.3111599999999992</v>
      </c>
      <c r="I845" s="49"/>
      <c r="J845" s="49"/>
      <c r="K845" s="49"/>
      <c r="L845" s="49"/>
      <c r="M845" s="49"/>
      <c r="N845" s="49"/>
      <c r="O845" s="49"/>
      <c r="P845" s="49"/>
      <c r="Q845" s="49"/>
      <c r="R845" s="49"/>
      <c r="S845" s="49"/>
      <c r="T845" s="49"/>
      <c r="U845" s="49"/>
      <c r="V845" s="49"/>
      <c r="W845" s="49"/>
      <c r="X845" s="49"/>
      <c r="Y845" s="49"/>
      <c r="Z845" s="49"/>
      <c r="AA845" s="49"/>
      <c r="AB845" s="49"/>
      <c r="AC845" s="49"/>
    </row>
    <row r="846" spans="1:29">
      <c r="A846" s="62" t="s">
        <v>130</v>
      </c>
      <c r="B846" s="61" t="s">
        <v>131</v>
      </c>
      <c r="C846" s="271">
        <f>VLOOKUP($A$8:$A$1487,'[7]MFP''s'!A$8:C$1502,3,FALSE)</f>
        <v>668</v>
      </c>
      <c r="D846" s="364">
        <v>317</v>
      </c>
      <c r="E846" s="274">
        <f t="shared" si="86"/>
        <v>0.52544910179640714</v>
      </c>
      <c r="F846" s="196">
        <f t="shared" si="87"/>
        <v>11.909689999999999</v>
      </c>
      <c r="G846" s="196">
        <f t="shared" si="88"/>
        <v>9.399049999999999</v>
      </c>
      <c r="H846" s="199">
        <f t="shared" si="89"/>
        <v>7.9345100000000004</v>
      </c>
      <c r="I846" s="49"/>
      <c r="J846" s="49"/>
      <c r="K846" s="49"/>
      <c r="L846" s="49"/>
      <c r="M846" s="49"/>
      <c r="N846" s="49"/>
      <c r="O846" s="49"/>
      <c r="P846" s="49"/>
      <c r="Q846" s="49"/>
      <c r="R846" s="49"/>
      <c r="S846" s="49"/>
      <c r="T846" s="49"/>
      <c r="U846" s="49"/>
      <c r="V846" s="49"/>
      <c r="W846" s="49"/>
      <c r="X846" s="49"/>
      <c r="Y846" s="49"/>
      <c r="Z846" s="49"/>
      <c r="AA846" s="49"/>
      <c r="AB846" s="49"/>
      <c r="AC846" s="49"/>
    </row>
    <row r="847" spans="1:29">
      <c r="A847" s="62" t="s">
        <v>132</v>
      </c>
      <c r="B847" s="61" t="s">
        <v>133</v>
      </c>
      <c r="C847" s="271">
        <f>VLOOKUP($A$8:$A$1487,'[7]MFP''s'!A$8:C$1502,3,FALSE)</f>
        <v>821</v>
      </c>
      <c r="D847" s="364">
        <v>389</v>
      </c>
      <c r="E847" s="274">
        <f t="shared" si="86"/>
        <v>0.52618757612667477</v>
      </c>
      <c r="F847" s="196">
        <f t="shared" si="87"/>
        <v>14.61473</v>
      </c>
      <c r="G847" s="196">
        <f t="shared" si="88"/>
        <v>11.533849999999999</v>
      </c>
      <c r="H847" s="199">
        <f t="shared" si="89"/>
        <v>9.7366700000000002</v>
      </c>
      <c r="I847" s="49"/>
      <c r="J847" s="49"/>
      <c r="K847" s="49"/>
      <c r="L847" s="49"/>
      <c r="M847" s="49"/>
      <c r="N847" s="49"/>
      <c r="O847" s="49"/>
      <c r="P847" s="49"/>
      <c r="Q847" s="49"/>
      <c r="R847" s="49"/>
      <c r="S847" s="49"/>
      <c r="T847" s="49"/>
      <c r="U847" s="49"/>
      <c r="V847" s="49"/>
      <c r="W847" s="49"/>
      <c r="X847" s="49"/>
      <c r="Y847" s="49"/>
      <c r="Z847" s="49"/>
      <c r="AA847" s="49"/>
      <c r="AB847" s="49"/>
      <c r="AC847" s="49"/>
    </row>
    <row r="848" spans="1:29">
      <c r="A848" s="62" t="s">
        <v>134</v>
      </c>
      <c r="B848" s="61" t="s">
        <v>135</v>
      </c>
      <c r="C848" s="271">
        <f>VLOOKUP($A$8:$A$1487,'[7]MFP''s'!A$8:C$1502,3,FALSE)</f>
        <v>690</v>
      </c>
      <c r="D848" s="364">
        <v>327</v>
      </c>
      <c r="E848" s="274">
        <f t="shared" si="86"/>
        <v>0.5260869565217392</v>
      </c>
      <c r="F848" s="196">
        <f t="shared" si="87"/>
        <v>12.28539</v>
      </c>
      <c r="G848" s="196">
        <f t="shared" si="88"/>
        <v>9.695549999999999</v>
      </c>
      <c r="H848" s="199">
        <f t="shared" si="89"/>
        <v>8.1848100000000006</v>
      </c>
      <c r="I848" s="49"/>
      <c r="J848" s="49"/>
      <c r="K848" s="49"/>
      <c r="L848" s="49"/>
      <c r="M848" s="49"/>
      <c r="N848" s="49"/>
      <c r="O848" s="49"/>
      <c r="P848" s="49"/>
      <c r="Q848" s="49"/>
      <c r="R848" s="49"/>
      <c r="S848" s="49"/>
      <c r="T848" s="49"/>
      <c r="U848" s="49"/>
      <c r="V848" s="49"/>
      <c r="W848" s="49"/>
      <c r="X848" s="49"/>
      <c r="Y848" s="49"/>
      <c r="Z848" s="49"/>
      <c r="AA848" s="49"/>
      <c r="AB848" s="49"/>
      <c r="AC848" s="49"/>
    </row>
    <row r="849" spans="1:29">
      <c r="A849" s="62" t="s">
        <v>136</v>
      </c>
      <c r="B849" s="61" t="s">
        <v>137</v>
      </c>
      <c r="C849" s="271">
        <f>VLOOKUP($A$8:$A$1487,'[7]MFP''s'!A$8:C$1502,3,FALSE)</f>
        <v>191</v>
      </c>
      <c r="D849" s="364">
        <v>91</v>
      </c>
      <c r="E849" s="274">
        <f t="shared" si="86"/>
        <v>0.52356020942408377</v>
      </c>
      <c r="F849" s="196">
        <f t="shared" si="87"/>
        <v>3.4188700000000001</v>
      </c>
      <c r="G849" s="196">
        <f t="shared" si="88"/>
        <v>2.69815</v>
      </c>
      <c r="H849" s="199">
        <f t="shared" si="89"/>
        <v>2.27773</v>
      </c>
      <c r="I849" s="49"/>
      <c r="J849" s="49"/>
      <c r="K849" s="49"/>
      <c r="L849" s="49"/>
      <c r="M849" s="49"/>
      <c r="N849" s="49"/>
      <c r="O849" s="49"/>
      <c r="P849" s="49"/>
      <c r="Q849" s="49"/>
      <c r="R849" s="49"/>
      <c r="S849" s="49"/>
      <c r="T849" s="49"/>
      <c r="U849" s="49"/>
      <c r="V849" s="49"/>
      <c r="W849" s="49"/>
      <c r="X849" s="49"/>
      <c r="Y849" s="49"/>
      <c r="Z849" s="49"/>
      <c r="AA849" s="49"/>
      <c r="AB849" s="49"/>
      <c r="AC849" s="49"/>
    </row>
    <row r="850" spans="1:29" ht="30">
      <c r="A850" s="79" t="s">
        <v>138</v>
      </c>
      <c r="B850" s="61" t="s">
        <v>139</v>
      </c>
      <c r="C850" s="271">
        <f>VLOOKUP($A$8:$A$1487,'[7]MFP''s'!A$8:C$1502,3,FALSE)</f>
        <v>1500</v>
      </c>
      <c r="D850" s="364">
        <v>711</v>
      </c>
      <c r="E850" s="274">
        <f t="shared" si="86"/>
        <v>0.52600000000000002</v>
      </c>
      <c r="F850" s="196">
        <f t="shared" si="87"/>
        <v>26.71227</v>
      </c>
      <c r="G850" s="196">
        <f t="shared" si="88"/>
        <v>21.081150000000001</v>
      </c>
      <c r="H850" s="199">
        <f t="shared" si="89"/>
        <v>17.796330000000001</v>
      </c>
      <c r="I850" s="49"/>
      <c r="J850" s="49"/>
      <c r="K850" s="49"/>
      <c r="L850" s="49"/>
      <c r="M850" s="49"/>
      <c r="N850" s="49"/>
      <c r="O850" s="49"/>
      <c r="P850" s="49"/>
      <c r="Q850" s="49"/>
      <c r="R850" s="49"/>
      <c r="S850" s="49"/>
      <c r="T850" s="49"/>
      <c r="U850" s="49"/>
      <c r="V850" s="49"/>
      <c r="W850" s="49"/>
      <c r="X850" s="49"/>
      <c r="Y850" s="49"/>
      <c r="Z850" s="49"/>
      <c r="AA850" s="49"/>
      <c r="AB850" s="49"/>
      <c r="AC850" s="49"/>
    </row>
    <row r="851" spans="1:29">
      <c r="A851" s="62" t="s">
        <v>140</v>
      </c>
      <c r="B851" s="61" t="s">
        <v>141</v>
      </c>
      <c r="C851" s="271">
        <f>VLOOKUP($A$8:$A$1487,'[7]MFP''s'!A$8:C$1502,3,FALSE)</f>
        <v>250</v>
      </c>
      <c r="D851" s="364">
        <v>119</v>
      </c>
      <c r="E851" s="274">
        <f t="shared" si="86"/>
        <v>0.52400000000000002</v>
      </c>
      <c r="F851" s="196">
        <f t="shared" si="87"/>
        <v>4.4708300000000003</v>
      </c>
      <c r="G851" s="196">
        <f t="shared" si="88"/>
        <v>3.5283500000000001</v>
      </c>
      <c r="H851" s="199">
        <f t="shared" si="89"/>
        <v>2.9785699999999999</v>
      </c>
      <c r="I851" s="49"/>
      <c r="J851" s="49"/>
      <c r="K851" s="49"/>
      <c r="L851" s="49"/>
      <c r="M851" s="49"/>
      <c r="N851" s="49"/>
      <c r="O851" s="49"/>
      <c r="P851" s="49"/>
      <c r="Q851" s="49"/>
      <c r="R851" s="49"/>
      <c r="S851" s="49"/>
      <c r="T851" s="49"/>
      <c r="U851" s="49"/>
      <c r="V851" s="49"/>
      <c r="W851" s="49"/>
      <c r="X851" s="49"/>
      <c r="Y851" s="49"/>
      <c r="Z851" s="49"/>
      <c r="AA851" s="49"/>
      <c r="AB851" s="49"/>
      <c r="AC851" s="49"/>
    </row>
    <row r="852" spans="1:29">
      <c r="A852" s="62" t="s">
        <v>142</v>
      </c>
      <c r="B852" s="61" t="s">
        <v>143</v>
      </c>
      <c r="C852" s="271">
        <f>VLOOKUP($A$8:$A$1487,'[7]MFP''s'!A$8:C$1502,3,FALSE)</f>
        <v>290</v>
      </c>
      <c r="D852" s="364">
        <v>138</v>
      </c>
      <c r="E852" s="274">
        <f t="shared" si="86"/>
        <v>0.5241379310344827</v>
      </c>
      <c r="F852" s="196">
        <f t="shared" si="87"/>
        <v>5.18466</v>
      </c>
      <c r="G852" s="196">
        <f t="shared" si="88"/>
        <v>4.0917000000000003</v>
      </c>
      <c r="H852" s="199">
        <f t="shared" si="89"/>
        <v>3.4541400000000002</v>
      </c>
      <c r="I852" s="49"/>
      <c r="J852" s="49"/>
      <c r="K852" s="49"/>
      <c r="L852" s="49"/>
      <c r="M852" s="49"/>
      <c r="N852" s="49"/>
      <c r="O852" s="49"/>
      <c r="P852" s="49"/>
      <c r="Q852" s="49"/>
      <c r="R852" s="49"/>
      <c r="S852" s="49"/>
      <c r="T852" s="49"/>
      <c r="U852" s="49"/>
      <c r="V852" s="49"/>
      <c r="W852" s="49"/>
      <c r="X852" s="49"/>
      <c r="Y852" s="49"/>
      <c r="Z852" s="49"/>
      <c r="AA852" s="49"/>
      <c r="AB852" s="49"/>
      <c r="AC852" s="49"/>
    </row>
    <row r="853" spans="1:29">
      <c r="A853" s="64" t="s">
        <v>47</v>
      </c>
      <c r="B853" s="65"/>
      <c r="C853" s="271"/>
      <c r="D853" s="364"/>
      <c r="E853" s="274"/>
      <c r="F853" s="196"/>
      <c r="G853" s="196"/>
      <c r="H853" s="199"/>
      <c r="I853" s="49"/>
      <c r="J853" s="49"/>
      <c r="K853" s="49"/>
      <c r="L853" s="49"/>
      <c r="M853" s="49"/>
      <c r="N853" s="49"/>
      <c r="O853" s="49"/>
      <c r="P853" s="49"/>
      <c r="Q853" s="49"/>
      <c r="R853" s="49"/>
      <c r="S853" s="49"/>
      <c r="T853" s="49"/>
      <c r="U853" s="49"/>
      <c r="V853" s="49"/>
      <c r="W853" s="49"/>
      <c r="X853" s="49"/>
      <c r="Y853" s="49"/>
      <c r="Z853" s="49"/>
      <c r="AA853" s="49"/>
      <c r="AB853" s="49"/>
      <c r="AC853" s="49"/>
    </row>
    <row r="854" spans="1:29">
      <c r="A854" s="62" t="s">
        <v>144</v>
      </c>
      <c r="B854" s="61" t="s">
        <v>145</v>
      </c>
      <c r="C854" s="271">
        <f>VLOOKUP($A$8:$A$1487,'[7]MFP''s'!A$8:C$1502,3,FALSE)</f>
        <v>947</v>
      </c>
      <c r="D854" s="364">
        <v>430</v>
      </c>
      <c r="E854" s="274">
        <f t="shared" si="86"/>
        <v>0.5459345300950369</v>
      </c>
      <c r="F854" s="196">
        <f t="shared" si="87"/>
        <v>16.155100000000001</v>
      </c>
      <c r="G854" s="196">
        <f t="shared" si="88"/>
        <v>12.749499999999999</v>
      </c>
      <c r="H854" s="199">
        <f t="shared" si="89"/>
        <v>10.7629</v>
      </c>
      <c r="I854" s="49"/>
      <c r="J854" s="49"/>
      <c r="K854" s="49"/>
      <c r="L854" s="49"/>
      <c r="M854" s="49"/>
      <c r="N854" s="49"/>
      <c r="O854" s="49"/>
      <c r="P854" s="49"/>
      <c r="Q854" s="49"/>
      <c r="R854" s="49"/>
      <c r="S854" s="49"/>
      <c r="T854" s="49"/>
      <c r="U854" s="49"/>
      <c r="V854" s="49"/>
      <c r="W854" s="49"/>
      <c r="X854" s="49"/>
      <c r="Y854" s="49"/>
      <c r="Z854" s="49"/>
      <c r="AA854" s="49"/>
      <c r="AB854" s="49"/>
      <c r="AC854" s="49"/>
    </row>
    <row r="855" spans="1:29">
      <c r="A855" s="62">
        <v>7640005064</v>
      </c>
      <c r="B855" s="61" t="s">
        <v>67</v>
      </c>
      <c r="C855" s="271">
        <f>VLOOKUP($A$8:$A$1487,'[7]MFP''s'!A$8:C$1502,3,FALSE)</f>
        <v>423</v>
      </c>
      <c r="D855" s="364">
        <v>201</v>
      </c>
      <c r="E855" s="274">
        <f t="shared" si="86"/>
        <v>0.52482269503546097</v>
      </c>
      <c r="F855" s="196">
        <f t="shared" si="87"/>
        <v>7.5515699999999999</v>
      </c>
      <c r="G855" s="196">
        <f t="shared" si="88"/>
        <v>5.9596499999999999</v>
      </c>
      <c r="H855" s="199">
        <f t="shared" si="89"/>
        <v>5.0310300000000003</v>
      </c>
      <c r="I855" s="49"/>
      <c r="J855" s="49"/>
      <c r="K855" s="49"/>
      <c r="L855" s="49"/>
      <c r="M855" s="49"/>
      <c r="N855" s="49"/>
      <c r="O855" s="49"/>
      <c r="P855" s="49"/>
      <c r="Q855" s="49"/>
      <c r="R855" s="49"/>
      <c r="S855" s="49"/>
      <c r="T855" s="49"/>
      <c r="U855" s="49"/>
      <c r="V855" s="49"/>
      <c r="W855" s="49"/>
      <c r="X855" s="49"/>
      <c r="Y855" s="49"/>
      <c r="Z855" s="49"/>
      <c r="AA855" s="49"/>
      <c r="AB855" s="49"/>
      <c r="AC855" s="49"/>
    </row>
    <row r="856" spans="1:29">
      <c r="A856" s="62">
        <v>7640008394</v>
      </c>
      <c r="B856" s="61" t="s">
        <v>68</v>
      </c>
      <c r="C856" s="271">
        <f>VLOOKUP($A$8:$A$1487,'[7]MFP''s'!A$8:C$1502,3,FALSE)</f>
        <v>476</v>
      </c>
      <c r="D856" s="364">
        <v>226</v>
      </c>
      <c r="E856" s="274">
        <f t="shared" si="86"/>
        <v>0.52521008403361347</v>
      </c>
      <c r="F856" s="196">
        <f t="shared" si="87"/>
        <v>8.4908199999999994</v>
      </c>
      <c r="G856" s="196">
        <f t="shared" si="88"/>
        <v>6.7008999999999999</v>
      </c>
      <c r="H856" s="199">
        <f t="shared" si="89"/>
        <v>5.6567800000000004</v>
      </c>
      <c r="I856" s="49"/>
      <c r="J856" s="49"/>
      <c r="K856" s="49"/>
      <c r="L856" s="49"/>
      <c r="M856" s="49"/>
      <c r="N856" s="49"/>
      <c r="O856" s="49"/>
      <c r="P856" s="49"/>
      <c r="Q856" s="49"/>
      <c r="R856" s="49"/>
      <c r="S856" s="49"/>
      <c r="T856" s="49"/>
      <c r="U856" s="49"/>
      <c r="V856" s="49"/>
      <c r="W856" s="49"/>
      <c r="X856" s="49"/>
      <c r="Y856" s="49"/>
      <c r="Z856" s="49"/>
      <c r="AA856" s="49"/>
      <c r="AB856" s="49"/>
      <c r="AC856" s="49"/>
    </row>
    <row r="857" spans="1:29">
      <c r="A857" s="62">
        <v>7640013468</v>
      </c>
      <c r="B857" s="61" t="s">
        <v>146</v>
      </c>
      <c r="C857" s="271">
        <f>VLOOKUP($A$8:$A$1487,'[7]MFP''s'!A$8:C$1502,3,FALSE)</f>
        <v>423</v>
      </c>
      <c r="D857" s="364">
        <v>201</v>
      </c>
      <c r="E857" s="274">
        <f t="shared" si="86"/>
        <v>0.52482269503546097</v>
      </c>
      <c r="F857" s="196">
        <f t="shared" si="87"/>
        <v>7.5515699999999999</v>
      </c>
      <c r="G857" s="196">
        <f t="shared" si="88"/>
        <v>5.9596499999999999</v>
      </c>
      <c r="H857" s="199">
        <f t="shared" si="89"/>
        <v>5.0310300000000003</v>
      </c>
      <c r="I857" s="49"/>
      <c r="J857" s="49"/>
      <c r="K857" s="49"/>
      <c r="L857" s="49"/>
      <c r="M857" s="49"/>
      <c r="N857" s="49"/>
      <c r="O857" s="49"/>
      <c r="P857" s="49"/>
      <c r="Q857" s="49"/>
      <c r="R857" s="49"/>
      <c r="S857" s="49"/>
      <c r="T857" s="49"/>
      <c r="U857" s="49"/>
      <c r="V857" s="49"/>
      <c r="W857" s="49"/>
      <c r="X857" s="49"/>
      <c r="Y857" s="49"/>
      <c r="Z857" s="49"/>
      <c r="AA857" s="49"/>
      <c r="AB857" s="49"/>
      <c r="AC857" s="49"/>
    </row>
    <row r="858" spans="1:29">
      <c r="A858" s="62" t="s">
        <v>147</v>
      </c>
      <c r="B858" s="61" t="s">
        <v>375</v>
      </c>
      <c r="C858" s="271">
        <f>VLOOKUP($A$8:$A$1487,'[7]MFP''s'!A$8:C$1502,3,FALSE)</f>
        <v>846</v>
      </c>
      <c r="D858" s="364">
        <v>401</v>
      </c>
      <c r="E858" s="274">
        <f t="shared" si="86"/>
        <v>0.52600472813238763</v>
      </c>
      <c r="F858" s="196">
        <f t="shared" si="87"/>
        <v>15.065569999999999</v>
      </c>
      <c r="G858" s="196">
        <f t="shared" si="88"/>
        <v>11.88965</v>
      </c>
      <c r="H858" s="199">
        <f t="shared" si="89"/>
        <v>10.03703</v>
      </c>
      <c r="I858" s="49"/>
      <c r="J858" s="49"/>
      <c r="K858" s="49"/>
      <c r="L858" s="49"/>
      <c r="M858" s="49"/>
      <c r="N858" s="49"/>
      <c r="O858" s="49"/>
      <c r="P858" s="49"/>
      <c r="Q858" s="49"/>
      <c r="R858" s="49"/>
      <c r="S858" s="49"/>
      <c r="T858" s="49"/>
      <c r="U858" s="49"/>
      <c r="V858" s="49"/>
      <c r="W858" s="49"/>
      <c r="X858" s="49"/>
      <c r="Y858" s="49"/>
      <c r="Z858" s="49"/>
      <c r="AA858" s="49"/>
      <c r="AB858" s="49"/>
      <c r="AC858" s="49"/>
    </row>
    <row r="859" spans="1:29">
      <c r="A859" s="62" t="s">
        <v>149</v>
      </c>
      <c r="B859" s="61" t="s">
        <v>150</v>
      </c>
      <c r="C859" s="271">
        <f>VLOOKUP($A$8:$A$1487,'[7]MFP''s'!A$8:C$1502,3,FALSE)</f>
        <v>60</v>
      </c>
      <c r="D859" s="364">
        <v>29</v>
      </c>
      <c r="E859" s="274">
        <f t="shared" si="86"/>
        <v>0.51666666666666661</v>
      </c>
      <c r="F859" s="196">
        <f t="shared" si="87"/>
        <v>1.0895299999999999</v>
      </c>
      <c r="G859" s="196">
        <f t="shared" si="88"/>
        <v>0.85985</v>
      </c>
      <c r="H859" s="199">
        <f t="shared" si="89"/>
        <v>0.72587000000000002</v>
      </c>
      <c r="I859" s="49"/>
      <c r="J859" s="49"/>
      <c r="K859" s="49"/>
      <c r="L859" s="49"/>
      <c r="M859" s="49"/>
      <c r="N859" s="49"/>
      <c r="O859" s="49"/>
      <c r="P859" s="49"/>
      <c r="Q859" s="49"/>
      <c r="R859" s="49"/>
      <c r="S859" s="49"/>
      <c r="T859" s="49"/>
      <c r="U859" s="49"/>
      <c r="V859" s="49"/>
      <c r="W859" s="49"/>
      <c r="X859" s="49"/>
      <c r="Y859" s="49"/>
      <c r="Z859" s="49"/>
      <c r="AA859" s="49"/>
      <c r="AB859" s="49"/>
      <c r="AC859" s="49"/>
    </row>
    <row r="860" spans="1:29">
      <c r="A860" s="62" t="s">
        <v>151</v>
      </c>
      <c r="B860" s="61" t="s">
        <v>152</v>
      </c>
      <c r="C860" s="271">
        <f>VLOOKUP($A$8:$A$1487,'[7]MFP''s'!A$8:C$1502,3,FALSE)</f>
        <v>200</v>
      </c>
      <c r="D860" s="364">
        <v>95</v>
      </c>
      <c r="E860" s="274">
        <f t="shared" si="86"/>
        <v>0.52500000000000002</v>
      </c>
      <c r="F860" s="196">
        <f t="shared" si="87"/>
        <v>3.56915</v>
      </c>
      <c r="G860" s="196">
        <f t="shared" si="88"/>
        <v>2.8167499999999999</v>
      </c>
      <c r="H860" s="199">
        <f t="shared" si="89"/>
        <v>2.37785</v>
      </c>
      <c r="I860" s="49"/>
      <c r="J860" s="49"/>
      <c r="K860" s="49"/>
      <c r="L860" s="49"/>
      <c r="M860" s="49"/>
      <c r="N860" s="49"/>
      <c r="O860" s="49"/>
      <c r="P860" s="49"/>
      <c r="Q860" s="49"/>
      <c r="R860" s="49"/>
      <c r="S860" s="49"/>
      <c r="T860" s="49"/>
      <c r="U860" s="49"/>
      <c r="V860" s="49"/>
      <c r="W860" s="49"/>
      <c r="X860" s="49"/>
      <c r="Y860" s="49"/>
      <c r="Z860" s="49"/>
      <c r="AA860" s="49"/>
      <c r="AB860" s="49"/>
      <c r="AC860" s="49"/>
    </row>
    <row r="861" spans="1:29">
      <c r="A861" s="62" t="s">
        <v>153</v>
      </c>
      <c r="B861" s="61" t="s">
        <v>154</v>
      </c>
      <c r="C861" s="271">
        <f>VLOOKUP($A$8:$A$1487,'[7]MFP''s'!A$8:C$1502,3,FALSE)</f>
        <v>279</v>
      </c>
      <c r="D861" s="364">
        <v>133</v>
      </c>
      <c r="E861" s="274">
        <f t="shared" si="86"/>
        <v>0.52329749103942658</v>
      </c>
      <c r="F861" s="196">
        <f t="shared" si="87"/>
        <v>4.99681</v>
      </c>
      <c r="G861" s="196">
        <f t="shared" si="88"/>
        <v>3.9434499999999999</v>
      </c>
      <c r="H861" s="199">
        <f t="shared" si="89"/>
        <v>3.3289900000000001</v>
      </c>
      <c r="I861" s="49"/>
      <c r="J861" s="49"/>
      <c r="K861" s="49"/>
      <c r="L861" s="49"/>
      <c r="M861" s="49"/>
      <c r="N861" s="49"/>
      <c r="O861" s="49"/>
      <c r="P861" s="49"/>
      <c r="Q861" s="49"/>
      <c r="R861" s="49"/>
      <c r="S861" s="49"/>
      <c r="T861" s="49"/>
      <c r="U861" s="49"/>
      <c r="V861" s="49"/>
      <c r="W861" s="49"/>
      <c r="X861" s="49"/>
      <c r="Y861" s="49"/>
      <c r="Z861" s="49"/>
      <c r="AA861" s="49"/>
      <c r="AB861" s="49"/>
      <c r="AC861" s="49"/>
    </row>
    <row r="862" spans="1:29">
      <c r="A862" s="63">
        <v>7640006869</v>
      </c>
      <c r="B862" s="61" t="s">
        <v>155</v>
      </c>
      <c r="C862" s="271">
        <f>VLOOKUP($A$8:$A$1487,'[7]MFP''s'!A$8:C$1502,3,FALSE)</f>
        <v>223</v>
      </c>
      <c r="D862" s="364">
        <v>106</v>
      </c>
      <c r="E862" s="274">
        <f t="shared" si="86"/>
        <v>0.5246636771300448</v>
      </c>
      <c r="F862" s="196">
        <f t="shared" si="87"/>
        <v>3.9824199999999998</v>
      </c>
      <c r="G862" s="196">
        <f t="shared" si="88"/>
        <v>3.1429</v>
      </c>
      <c r="H862" s="199">
        <f t="shared" si="89"/>
        <v>2.6531799999999999</v>
      </c>
      <c r="M862" s="49"/>
      <c r="N862" s="49"/>
      <c r="O862" s="49"/>
      <c r="P862" s="49"/>
      <c r="Q862" s="49"/>
      <c r="R862" s="49"/>
      <c r="S862" s="49"/>
      <c r="T862" s="49"/>
      <c r="U862" s="49"/>
      <c r="V862" s="49"/>
      <c r="W862" s="49"/>
      <c r="X862" s="49"/>
      <c r="Y862" s="49"/>
      <c r="Z862" s="49"/>
      <c r="AA862" s="49"/>
      <c r="AB862" s="49"/>
      <c r="AC862" s="49"/>
    </row>
    <row r="863" spans="1:29">
      <c r="A863" s="62" t="s">
        <v>156</v>
      </c>
      <c r="B863" s="61" t="s">
        <v>157</v>
      </c>
      <c r="C863" s="271">
        <f>VLOOKUP($A$8:$A$1487,'[7]MFP''s'!A$8:C$1502,3,FALSE)</f>
        <v>126</v>
      </c>
      <c r="D863" s="364">
        <v>60</v>
      </c>
      <c r="E863" s="274">
        <f t="shared" si="86"/>
        <v>0.52380952380952384</v>
      </c>
      <c r="F863" s="196">
        <f t="shared" si="87"/>
        <v>2.2542</v>
      </c>
      <c r="G863" s="196">
        <f t="shared" si="88"/>
        <v>1.7789999999999999</v>
      </c>
      <c r="H863" s="199">
        <f t="shared" si="89"/>
        <v>1.5018</v>
      </c>
      <c r="M863" s="49"/>
      <c r="N863" s="49"/>
      <c r="O863" s="49"/>
      <c r="P863" s="49"/>
      <c r="Q863" s="49"/>
      <c r="R863" s="49"/>
      <c r="S863" s="49"/>
      <c r="T863" s="49"/>
      <c r="U863" s="49"/>
      <c r="V863" s="49"/>
      <c r="W863" s="49"/>
      <c r="X863" s="49"/>
      <c r="Y863" s="49"/>
      <c r="Z863" s="49"/>
      <c r="AA863" s="49"/>
      <c r="AB863" s="49"/>
      <c r="AC863" s="49"/>
    </row>
    <row r="864" spans="1:29">
      <c r="A864" s="62" t="s">
        <v>158</v>
      </c>
      <c r="B864" s="61" t="s">
        <v>159</v>
      </c>
      <c r="C864" s="271">
        <f>VLOOKUP($A$8:$A$1487,'[7]MFP''s'!A$8:C$1502,3,FALSE)</f>
        <v>123</v>
      </c>
      <c r="D864" s="364">
        <v>59</v>
      </c>
      <c r="E864" s="274">
        <f t="shared" si="86"/>
        <v>0.52032520325203246</v>
      </c>
      <c r="F864" s="196">
        <f t="shared" si="87"/>
        <v>2.2166299999999999</v>
      </c>
      <c r="G864" s="196">
        <f t="shared" si="88"/>
        <v>1.74935</v>
      </c>
      <c r="H864" s="199">
        <f t="shared" si="89"/>
        <v>1.4767699999999999</v>
      </c>
      <c r="M864" s="49"/>
      <c r="N864" s="49"/>
      <c r="O864" s="49"/>
      <c r="P864" s="49"/>
      <c r="Q864" s="49"/>
      <c r="R864" s="49"/>
      <c r="S864" s="49"/>
      <c r="T864" s="49"/>
      <c r="U864" s="49"/>
      <c r="V864" s="49"/>
      <c r="W864" s="49"/>
      <c r="X864" s="49"/>
      <c r="Y864" s="49"/>
      <c r="Z864" s="49"/>
      <c r="AA864" s="49"/>
      <c r="AB864" s="49"/>
      <c r="AC864" s="49"/>
    </row>
    <row r="865" spans="1:29">
      <c r="A865" s="62" t="s">
        <v>160</v>
      </c>
      <c r="B865" s="61" t="s">
        <v>161</v>
      </c>
      <c r="C865" s="271">
        <f>VLOOKUP($A$8:$A$1487,'[7]MFP''s'!A$8:C$1502,3,FALSE)</f>
        <v>112</v>
      </c>
      <c r="D865" s="364">
        <v>54</v>
      </c>
      <c r="E865" s="274">
        <f t="shared" si="86"/>
        <v>0.51785714285714279</v>
      </c>
      <c r="F865" s="196">
        <f t="shared" si="87"/>
        <v>2.0287799999999998</v>
      </c>
      <c r="G865" s="196">
        <f t="shared" si="88"/>
        <v>1.6011</v>
      </c>
      <c r="H865" s="199">
        <f t="shared" si="89"/>
        <v>1.35162</v>
      </c>
      <c r="M865" s="49"/>
      <c r="N865" s="49"/>
      <c r="O865" s="49"/>
      <c r="P865" s="49"/>
      <c r="Q865" s="49"/>
      <c r="R865" s="49"/>
      <c r="S865" s="49"/>
      <c r="T865" s="49"/>
      <c r="U865" s="49"/>
      <c r="V865" s="49"/>
      <c r="W865" s="49"/>
      <c r="X865" s="49"/>
      <c r="Y865" s="49"/>
      <c r="Z865" s="49"/>
      <c r="AA865" s="49"/>
      <c r="AB865" s="49"/>
      <c r="AC865" s="49"/>
    </row>
    <row r="866" spans="1:29" ht="30">
      <c r="A866" s="62">
        <v>4623474</v>
      </c>
      <c r="B866" s="61" t="s">
        <v>162</v>
      </c>
      <c r="C866" s="271">
        <f>VLOOKUP($A$8:$A$1487,'[7]MFP''s'!A$8:C$1502,3,FALSE)</f>
        <v>86</v>
      </c>
      <c r="D866" s="364">
        <v>41</v>
      </c>
      <c r="E866" s="274">
        <f t="shared" si="86"/>
        <v>0.52325581395348841</v>
      </c>
      <c r="F866" s="196">
        <f t="shared" si="87"/>
        <v>1.54037</v>
      </c>
      <c r="G866" s="196">
        <f t="shared" si="88"/>
        <v>1.2156499999999999</v>
      </c>
      <c r="H866" s="199">
        <f t="shared" si="89"/>
        <v>1.02623</v>
      </c>
      <c r="M866" s="49"/>
      <c r="N866" s="49"/>
      <c r="O866" s="49"/>
      <c r="P866" s="49"/>
      <c r="Q866" s="49"/>
      <c r="R866" s="49"/>
      <c r="S866" s="49"/>
      <c r="T866" s="49"/>
      <c r="U866" s="49"/>
      <c r="V866" s="49"/>
      <c r="W866" s="49"/>
      <c r="X866" s="49"/>
      <c r="Y866" s="49"/>
      <c r="Z866" s="49"/>
      <c r="AA866" s="49"/>
      <c r="AB866" s="49"/>
      <c r="AC866" s="49"/>
    </row>
    <row r="867" spans="1:29">
      <c r="A867" s="63">
        <v>7640005261</v>
      </c>
      <c r="B867" s="61" t="s">
        <v>163</v>
      </c>
      <c r="C867" s="271">
        <f>VLOOKUP($A$8:$A$1487,'[7]MFP''s'!A$8:C$1502,3,FALSE)</f>
        <v>69</v>
      </c>
      <c r="D867" s="364">
        <v>33</v>
      </c>
      <c r="E867" s="274">
        <f t="shared" si="86"/>
        <v>0.52173913043478259</v>
      </c>
      <c r="F867" s="196">
        <f t="shared" si="87"/>
        <v>1.2398100000000001</v>
      </c>
      <c r="G867" s="196">
        <f t="shared" si="88"/>
        <v>0.97844999999999993</v>
      </c>
      <c r="H867" s="199">
        <f t="shared" si="89"/>
        <v>0.82599</v>
      </c>
      <c r="M867" s="49"/>
      <c r="N867" s="49"/>
      <c r="O867" s="49"/>
      <c r="P867" s="49"/>
      <c r="Q867" s="49"/>
      <c r="R867" s="49"/>
      <c r="S867" s="49"/>
      <c r="T867" s="49"/>
      <c r="U867" s="49"/>
      <c r="V867" s="49"/>
      <c r="W867" s="49"/>
      <c r="X867" s="49"/>
      <c r="Y867" s="49"/>
      <c r="Z867" s="49"/>
      <c r="AA867" s="49"/>
      <c r="AB867" s="49"/>
      <c r="AC867" s="49"/>
    </row>
    <row r="868" spans="1:29">
      <c r="A868" s="62" t="s">
        <v>164</v>
      </c>
      <c r="B868" s="61" t="s">
        <v>165</v>
      </c>
      <c r="C868" s="271">
        <f>VLOOKUP($A$8:$A$1487,'[7]MFP''s'!A$8:C$1502,3,FALSE)</f>
        <v>1225</v>
      </c>
      <c r="D868" s="364">
        <v>581</v>
      </c>
      <c r="E868" s="274">
        <f t="shared" si="86"/>
        <v>0.52571428571428569</v>
      </c>
      <c r="F868" s="196">
        <f t="shared" si="87"/>
        <v>21.82817</v>
      </c>
      <c r="G868" s="196">
        <f t="shared" si="88"/>
        <v>17.226649999999999</v>
      </c>
      <c r="H868" s="199">
        <f t="shared" si="89"/>
        <v>14.54243</v>
      </c>
      <c r="M868" s="49"/>
      <c r="N868" s="49"/>
      <c r="O868" s="49"/>
      <c r="P868" s="49"/>
      <c r="Q868" s="49"/>
      <c r="R868" s="49"/>
      <c r="S868" s="49"/>
      <c r="T868" s="49"/>
      <c r="U868" s="49"/>
      <c r="V868" s="49"/>
      <c r="W868" s="49"/>
      <c r="X868" s="49"/>
      <c r="Y868" s="49"/>
      <c r="Z868" s="49"/>
      <c r="AA868" s="49"/>
      <c r="AB868" s="49"/>
      <c r="AC868" s="49"/>
    </row>
    <row r="869" spans="1:29" s="173" customFormat="1">
      <c r="A869" s="62" t="s">
        <v>387</v>
      </c>
      <c r="B869" s="78" t="s">
        <v>388</v>
      </c>
      <c r="C869" s="271">
        <f>VLOOKUP($A$8:$A$1487,'[7]MFP''s'!A$8:C$1502,3,FALSE)</f>
        <v>307</v>
      </c>
      <c r="D869" s="364">
        <v>272</v>
      </c>
      <c r="E869" s="274">
        <f t="shared" si="86"/>
        <v>0.11400651465798051</v>
      </c>
      <c r="F869" s="196">
        <f t="shared" si="87"/>
        <v>10.21904</v>
      </c>
      <c r="G869" s="196">
        <f t="shared" si="88"/>
        <v>8.0648</v>
      </c>
      <c r="H869" s="199">
        <f t="shared" si="89"/>
        <v>6.80816</v>
      </c>
      <c r="J869" s="172"/>
      <c r="K869" s="172"/>
      <c r="L869" s="172"/>
    </row>
    <row r="870" spans="1:29">
      <c r="A870" s="93">
        <v>7640013463</v>
      </c>
      <c r="B870" s="61" t="s">
        <v>55</v>
      </c>
      <c r="C870" s="271">
        <f>VLOOKUP($A$8:$A$1487,'[7]MFP''s'!A$8:C$1502,3,FALSE)</f>
        <v>317</v>
      </c>
      <c r="D870" s="364">
        <v>151</v>
      </c>
      <c r="E870" s="274">
        <f t="shared" ref="E870:E933" si="90">100%-(D870/C870)</f>
        <v>0.52365930599369093</v>
      </c>
      <c r="F870" s="196">
        <f t="shared" si="87"/>
        <v>5.6730700000000001</v>
      </c>
      <c r="G870" s="196">
        <f t="shared" si="88"/>
        <v>4.47715</v>
      </c>
      <c r="H870" s="199">
        <f t="shared" si="89"/>
        <v>3.7795299999999998</v>
      </c>
      <c r="M870" s="49"/>
      <c r="N870" s="49"/>
      <c r="O870" s="49"/>
      <c r="P870" s="49"/>
      <c r="Q870" s="49"/>
      <c r="R870" s="49"/>
      <c r="S870" s="49"/>
      <c r="T870" s="49"/>
      <c r="U870" s="49"/>
      <c r="V870" s="49"/>
      <c r="W870" s="49"/>
      <c r="X870" s="49"/>
      <c r="Y870" s="49"/>
      <c r="Z870" s="49"/>
      <c r="AA870" s="49"/>
      <c r="AB870" s="49"/>
      <c r="AC870" s="49"/>
    </row>
    <row r="871" spans="1:29">
      <c r="A871" s="63" t="s">
        <v>166</v>
      </c>
      <c r="B871" s="61" t="s">
        <v>167</v>
      </c>
      <c r="C871" s="271">
        <f>VLOOKUP($A$8:$A$1487,'[7]MFP''s'!A$8:C$1502,3,FALSE)</f>
        <v>30</v>
      </c>
      <c r="D871" s="364">
        <v>15</v>
      </c>
      <c r="E871" s="274">
        <f t="shared" si="90"/>
        <v>0.5</v>
      </c>
      <c r="F871" s="196">
        <f t="shared" si="87"/>
        <v>0.56355</v>
      </c>
      <c r="G871" s="196">
        <f t="shared" si="88"/>
        <v>0.44474999999999998</v>
      </c>
      <c r="H871" s="199">
        <f t="shared" si="89"/>
        <v>0.37545000000000001</v>
      </c>
      <c r="M871" s="49"/>
      <c r="N871" s="49"/>
      <c r="O871" s="49"/>
      <c r="P871" s="49"/>
      <c r="Q871" s="49"/>
      <c r="R871" s="49"/>
      <c r="S871" s="49"/>
      <c r="T871" s="49"/>
      <c r="U871" s="49"/>
      <c r="V871" s="49"/>
      <c r="W871" s="49"/>
      <c r="X871" s="49"/>
      <c r="Y871" s="49"/>
      <c r="Z871" s="49"/>
      <c r="AA871" s="49"/>
      <c r="AB871" s="49"/>
      <c r="AC871" s="49"/>
    </row>
    <row r="872" spans="1:29">
      <c r="A872" s="64" t="s">
        <v>377</v>
      </c>
      <c r="B872" s="61"/>
      <c r="C872" s="271"/>
      <c r="D872" s="364"/>
      <c r="E872" s="274"/>
      <c r="F872" s="196"/>
      <c r="G872" s="196"/>
      <c r="H872" s="199"/>
      <c r="M872" s="49"/>
      <c r="N872" s="49"/>
      <c r="O872" s="49"/>
      <c r="P872" s="49"/>
      <c r="Q872" s="49"/>
      <c r="R872" s="49"/>
      <c r="S872" s="49"/>
      <c r="T872" s="49"/>
      <c r="U872" s="49"/>
      <c r="V872" s="49"/>
      <c r="W872" s="49"/>
      <c r="X872" s="49"/>
      <c r="Y872" s="49"/>
      <c r="Z872" s="49"/>
      <c r="AA872" s="49"/>
      <c r="AB872" s="49"/>
      <c r="AC872" s="49"/>
    </row>
    <row r="873" spans="1:29">
      <c r="A873" s="71" t="s">
        <v>168</v>
      </c>
      <c r="B873" s="61" t="s">
        <v>169</v>
      </c>
      <c r="C873" s="271">
        <f>VLOOKUP($A$8:$A$1487,'[7]MFP''s'!A$8:C$1502,3,FALSE)</f>
        <v>250</v>
      </c>
      <c r="D873" s="364">
        <v>250</v>
      </c>
      <c r="E873" s="274">
        <f t="shared" si="90"/>
        <v>0</v>
      </c>
      <c r="F873" s="196">
        <f t="shared" si="87"/>
        <v>9.3925000000000001</v>
      </c>
      <c r="G873" s="196">
        <f t="shared" si="88"/>
        <v>7.4124999999999996</v>
      </c>
      <c r="H873" s="199">
        <f t="shared" si="89"/>
        <v>6.2575000000000003</v>
      </c>
      <c r="M873" s="49"/>
      <c r="N873" s="49"/>
      <c r="O873" s="49"/>
      <c r="P873" s="49"/>
      <c r="Q873" s="49"/>
      <c r="R873" s="49"/>
      <c r="S873" s="49"/>
      <c r="T873" s="49"/>
      <c r="U873" s="49"/>
      <c r="V873" s="49"/>
      <c r="W873" s="49"/>
      <c r="X873" s="49"/>
      <c r="Y873" s="49"/>
      <c r="Z873" s="49"/>
      <c r="AA873" s="49"/>
      <c r="AB873" s="49"/>
      <c r="AC873" s="49"/>
    </row>
    <row r="874" spans="1:29">
      <c r="A874" s="212"/>
      <c r="B874" s="213"/>
      <c r="C874" s="215"/>
      <c r="D874" s="369"/>
      <c r="E874" s="215"/>
      <c r="F874" s="215"/>
      <c r="G874" s="215"/>
      <c r="H874" s="216"/>
      <c r="M874" s="49"/>
      <c r="N874" s="49"/>
      <c r="O874" s="49"/>
      <c r="P874" s="49"/>
      <c r="Q874" s="49"/>
      <c r="R874" s="49"/>
      <c r="S874" s="49"/>
      <c r="T874" s="49"/>
      <c r="U874" s="49"/>
      <c r="V874" s="49"/>
      <c r="W874" s="49"/>
      <c r="X874" s="49"/>
      <c r="Y874" s="49"/>
      <c r="Z874" s="49"/>
      <c r="AA874" s="49"/>
      <c r="AB874" s="49"/>
      <c r="AC874" s="49"/>
    </row>
    <row r="875" spans="1:29" ht="135">
      <c r="A875" s="220" t="s">
        <v>299</v>
      </c>
      <c r="B875" s="221" t="s">
        <v>689</v>
      </c>
      <c r="C875" s="271">
        <f>VLOOKUP($A$8:$A$1487,'[7]MFP''s'!A$8:C$1502,3,FALSE)</f>
        <v>29930</v>
      </c>
      <c r="D875" s="364">
        <v>14173</v>
      </c>
      <c r="E875" s="274">
        <f t="shared" si="90"/>
        <v>0.52646174406949542</v>
      </c>
      <c r="F875" s="196">
        <f t="shared" si="87"/>
        <v>532.47960999999998</v>
      </c>
      <c r="G875" s="196">
        <f t="shared" si="88"/>
        <v>420.22944999999999</v>
      </c>
      <c r="H875" s="199">
        <f t="shared" si="89"/>
        <v>354.75018999999998</v>
      </c>
      <c r="J875" s="184"/>
      <c r="M875" s="49"/>
      <c r="N875" s="49"/>
      <c r="O875" s="49"/>
      <c r="P875" s="49"/>
      <c r="Q875" s="49"/>
      <c r="R875" s="49"/>
      <c r="S875" s="49"/>
      <c r="T875" s="49"/>
      <c r="U875" s="49"/>
      <c r="V875" s="49"/>
      <c r="W875" s="49"/>
      <c r="X875" s="49"/>
      <c r="Y875" s="49"/>
      <c r="Z875" s="49"/>
      <c r="AA875" s="49"/>
      <c r="AB875" s="49"/>
      <c r="AC875" s="49"/>
    </row>
    <row r="876" spans="1:29">
      <c r="A876" s="195" t="s">
        <v>384</v>
      </c>
      <c r="B876" s="197"/>
      <c r="C876" s="271"/>
      <c r="D876" s="357"/>
      <c r="E876" s="274"/>
      <c r="F876" s="196"/>
      <c r="G876" s="196"/>
      <c r="H876" s="199"/>
      <c r="M876" s="49"/>
      <c r="N876" s="49"/>
      <c r="O876" s="49"/>
      <c r="P876" s="49"/>
      <c r="Q876" s="49"/>
      <c r="R876" s="49"/>
      <c r="S876" s="49"/>
      <c r="T876" s="49"/>
      <c r="U876" s="49"/>
      <c r="V876" s="49"/>
      <c r="W876" s="49"/>
      <c r="X876" s="49"/>
      <c r="Y876" s="49"/>
      <c r="Z876" s="49"/>
      <c r="AA876" s="49"/>
      <c r="AB876" s="49"/>
      <c r="AC876" s="49"/>
    </row>
    <row r="877" spans="1:29">
      <c r="A877" s="60" t="s">
        <v>381</v>
      </c>
      <c r="B877" s="65"/>
      <c r="C877" s="271"/>
      <c r="D877" s="364"/>
      <c r="E877" s="274"/>
      <c r="F877" s="196">
        <f t="shared" si="87"/>
        <v>0</v>
      </c>
      <c r="G877" s="196">
        <f t="shared" si="88"/>
        <v>0</v>
      </c>
      <c r="H877" s="199">
        <f t="shared" si="89"/>
        <v>0</v>
      </c>
      <c r="J877" s="72"/>
      <c r="K877" s="185"/>
      <c r="M877" s="49"/>
      <c r="N877" s="49"/>
      <c r="O877" s="49"/>
      <c r="P877" s="49"/>
      <c r="Q877" s="49"/>
      <c r="R877" s="49"/>
      <c r="S877" s="49"/>
      <c r="T877" s="49"/>
      <c r="U877" s="49"/>
      <c r="V877" s="49"/>
      <c r="W877" s="49"/>
      <c r="X877" s="49"/>
      <c r="Y877" s="49"/>
      <c r="Z877" s="49"/>
      <c r="AA877" s="49"/>
      <c r="AB877" s="49"/>
      <c r="AC877" s="49"/>
    </row>
    <row r="878" spans="1:29">
      <c r="A878" s="62" t="s">
        <v>100</v>
      </c>
      <c r="B878" s="61" t="s">
        <v>101</v>
      </c>
      <c r="C878" s="271">
        <f>VLOOKUP($A$8:$A$1487,'[7]MFP''s'!A$8:C$1502,3,FALSE)</f>
        <v>1402</v>
      </c>
      <c r="D878" s="364">
        <v>664</v>
      </c>
      <c r="E878" s="274">
        <f t="shared" si="90"/>
        <v>0.52639087018544939</v>
      </c>
      <c r="F878" s="196">
        <f t="shared" si="87"/>
        <v>24.946480000000001</v>
      </c>
      <c r="G878" s="196">
        <f t="shared" si="88"/>
        <v>19.6876</v>
      </c>
      <c r="H878" s="199">
        <f t="shared" si="89"/>
        <v>16.61992</v>
      </c>
      <c r="J878" s="72"/>
      <c r="K878" s="185"/>
      <c r="L878" s="49"/>
      <c r="M878" s="49"/>
      <c r="N878" s="49"/>
      <c r="O878" s="49"/>
      <c r="P878" s="49"/>
      <c r="Q878" s="49"/>
      <c r="R878" s="49"/>
      <c r="S878" s="49"/>
      <c r="T878" s="49"/>
      <c r="U878" s="49"/>
      <c r="V878" s="49"/>
      <c r="W878" s="49"/>
      <c r="X878" s="49"/>
      <c r="Y878" s="49"/>
      <c r="Z878" s="49"/>
      <c r="AA878" s="49"/>
      <c r="AB878" s="49"/>
      <c r="AC878" s="49"/>
    </row>
    <row r="879" spans="1:29">
      <c r="A879" s="62" t="s">
        <v>102</v>
      </c>
      <c r="B879" s="61" t="s">
        <v>103</v>
      </c>
      <c r="C879" s="271">
        <f>VLOOKUP($A$8:$A$1487,'[7]MFP''s'!A$8:C$1502,3,FALSE)</f>
        <v>1191</v>
      </c>
      <c r="D879" s="364">
        <v>564</v>
      </c>
      <c r="E879" s="274">
        <f t="shared" si="90"/>
        <v>0.52644836272040307</v>
      </c>
      <c r="F879" s="196">
        <f t="shared" si="87"/>
        <v>21.18948</v>
      </c>
      <c r="G879" s="196">
        <f t="shared" si="88"/>
        <v>16.7226</v>
      </c>
      <c r="H879" s="199">
        <f t="shared" si="89"/>
        <v>14.11692</v>
      </c>
      <c r="J879" s="72"/>
      <c r="K879" s="185"/>
      <c r="L879" s="49"/>
      <c r="M879" s="49"/>
      <c r="N879" s="49"/>
      <c r="O879" s="49"/>
      <c r="P879" s="49"/>
      <c r="Q879" s="49"/>
      <c r="R879" s="49"/>
      <c r="S879" s="49"/>
      <c r="T879" s="49"/>
      <c r="U879" s="49"/>
      <c r="V879" s="49"/>
      <c r="W879" s="49"/>
      <c r="X879" s="49"/>
      <c r="Y879" s="49"/>
      <c r="Z879" s="49"/>
      <c r="AA879" s="49"/>
      <c r="AB879" s="49"/>
      <c r="AC879" s="49"/>
    </row>
    <row r="880" spans="1:29">
      <c r="A880" s="62" t="s">
        <v>104</v>
      </c>
      <c r="B880" s="61" t="s">
        <v>105</v>
      </c>
      <c r="C880" s="271">
        <f>VLOOKUP($A$8:$A$1487,'[7]MFP''s'!A$8:C$1502,3,FALSE)</f>
        <v>913</v>
      </c>
      <c r="D880" s="364">
        <v>433</v>
      </c>
      <c r="E880" s="274">
        <f t="shared" si="90"/>
        <v>0.52573932092004383</v>
      </c>
      <c r="F880" s="196">
        <f t="shared" si="87"/>
        <v>16.267810000000001</v>
      </c>
      <c r="G880" s="196">
        <f t="shared" si="88"/>
        <v>12.83845</v>
      </c>
      <c r="H880" s="199">
        <f t="shared" si="89"/>
        <v>10.83799</v>
      </c>
      <c r="J880" s="72"/>
      <c r="K880" s="185"/>
      <c r="L880" s="49"/>
      <c r="M880" s="49"/>
      <c r="N880" s="49"/>
      <c r="O880" s="49"/>
      <c r="P880" s="49"/>
      <c r="Q880" s="49"/>
      <c r="R880" s="49"/>
      <c r="S880" s="49"/>
      <c r="T880" s="49"/>
      <c r="U880" s="49"/>
      <c r="V880" s="49"/>
      <c r="W880" s="49"/>
      <c r="X880" s="49"/>
      <c r="Y880" s="49"/>
      <c r="Z880" s="49"/>
      <c r="AA880" s="49"/>
      <c r="AB880" s="49"/>
      <c r="AC880" s="49"/>
    </row>
    <row r="881" spans="1:29">
      <c r="A881" s="63" t="s">
        <v>382</v>
      </c>
      <c r="B881" s="61" t="s">
        <v>106</v>
      </c>
      <c r="C881" s="271">
        <f>VLOOKUP($A$8:$A$1487,'[7]MFP''s'!A$8:C$1502,3,FALSE)</f>
        <v>222</v>
      </c>
      <c r="D881" s="364">
        <v>106</v>
      </c>
      <c r="E881" s="274">
        <f t="shared" si="90"/>
        <v>0.52252252252252251</v>
      </c>
      <c r="F881" s="196">
        <f t="shared" si="87"/>
        <v>3.9824199999999998</v>
      </c>
      <c r="G881" s="196">
        <f t="shared" si="88"/>
        <v>3.1429</v>
      </c>
      <c r="H881" s="199">
        <f t="shared" si="89"/>
        <v>2.6531799999999999</v>
      </c>
      <c r="J881" s="72"/>
      <c r="K881" s="185"/>
      <c r="L881" s="49"/>
      <c r="M881" s="49"/>
      <c r="N881" s="49"/>
      <c r="O881" s="49"/>
      <c r="P881" s="49"/>
      <c r="Q881" s="49"/>
      <c r="R881" s="49"/>
      <c r="S881" s="49"/>
      <c r="T881" s="49"/>
      <c r="U881" s="49"/>
      <c r="V881" s="49"/>
      <c r="W881" s="49"/>
      <c r="X881" s="49"/>
      <c r="Y881" s="49"/>
      <c r="Z881" s="49"/>
      <c r="AA881" s="49"/>
      <c r="AB881" s="49"/>
      <c r="AC881" s="49"/>
    </row>
    <row r="882" spans="1:29">
      <c r="A882" s="62" t="s">
        <v>174</v>
      </c>
      <c r="B882" s="61" t="s">
        <v>175</v>
      </c>
      <c r="C882" s="271">
        <f>VLOOKUP($A$8:$A$1487,'[7]MFP''s'!A$8:C$1502,3,FALSE)</f>
        <v>3339</v>
      </c>
      <c r="D882" s="364">
        <v>1582</v>
      </c>
      <c r="E882" s="274">
        <f t="shared" si="90"/>
        <v>0.52620545073375258</v>
      </c>
      <c r="F882" s="196">
        <f t="shared" si="87"/>
        <v>59.435739999999996</v>
      </c>
      <c r="G882" s="196">
        <f t="shared" si="88"/>
        <v>46.906300000000002</v>
      </c>
      <c r="H882" s="199">
        <f t="shared" si="89"/>
        <v>39.597459999999998</v>
      </c>
      <c r="J882" s="72"/>
      <c r="K882" s="185"/>
      <c r="L882" s="49"/>
      <c r="M882" s="49"/>
      <c r="N882" s="49"/>
      <c r="O882" s="49"/>
      <c r="P882" s="49"/>
      <c r="Q882" s="49"/>
      <c r="R882" s="49"/>
      <c r="S882" s="49"/>
      <c r="T882" s="49"/>
      <c r="U882" s="49"/>
      <c r="V882" s="49"/>
      <c r="W882" s="49"/>
      <c r="X882" s="49"/>
      <c r="Y882" s="49"/>
      <c r="Z882" s="49"/>
      <c r="AA882" s="49"/>
      <c r="AB882" s="49"/>
      <c r="AC882" s="49"/>
    </row>
    <row r="883" spans="1:29">
      <c r="A883" s="63" t="s">
        <v>176</v>
      </c>
      <c r="B883" s="61" t="s">
        <v>177</v>
      </c>
      <c r="C883" s="271">
        <f>VLOOKUP($A$8:$A$1487,'[7]MFP''s'!A$8:C$1502,3,FALSE)</f>
        <v>1781</v>
      </c>
      <c r="D883" s="364">
        <v>844</v>
      </c>
      <c r="E883" s="274">
        <f t="shared" si="90"/>
        <v>0.52610892756878158</v>
      </c>
      <c r="F883" s="196">
        <f t="shared" si="87"/>
        <v>31.70908</v>
      </c>
      <c r="G883" s="196">
        <f t="shared" si="88"/>
        <v>25.0246</v>
      </c>
      <c r="H883" s="199">
        <f t="shared" si="89"/>
        <v>21.125319999999999</v>
      </c>
      <c r="J883" s="184"/>
      <c r="K883" s="185"/>
      <c r="L883" s="49"/>
      <c r="M883" s="49"/>
      <c r="N883" s="49"/>
      <c r="O883" s="49"/>
      <c r="P883" s="49"/>
      <c r="Q883" s="49"/>
      <c r="R883" s="49"/>
      <c r="S883" s="49"/>
      <c r="T883" s="49"/>
      <c r="U883" s="49"/>
      <c r="V883" s="49"/>
      <c r="W883" s="49"/>
      <c r="X883" s="49"/>
      <c r="Y883" s="49"/>
      <c r="Z883" s="49"/>
      <c r="AA883" s="49"/>
      <c r="AB883" s="49"/>
      <c r="AC883" s="49"/>
    </row>
    <row r="884" spans="1:29" ht="31.5" customHeight="1">
      <c r="A884" s="60" t="s">
        <v>66</v>
      </c>
      <c r="B884" s="65"/>
      <c r="C884" s="271"/>
      <c r="D884" s="364"/>
      <c r="E884" s="274"/>
      <c r="F884" s="196"/>
      <c r="G884" s="196"/>
      <c r="H884" s="199"/>
      <c r="J884" s="184"/>
      <c r="K884" s="185"/>
      <c r="L884" s="49"/>
      <c r="M884" s="49"/>
      <c r="N884" s="49"/>
      <c r="O884" s="49"/>
      <c r="P884" s="49"/>
      <c r="Q884" s="49"/>
      <c r="R884" s="49"/>
      <c r="S884" s="49"/>
      <c r="T884" s="49"/>
      <c r="U884" s="49"/>
      <c r="V884" s="49"/>
      <c r="W884" s="49"/>
      <c r="X884" s="49"/>
      <c r="Y884" s="49"/>
      <c r="Z884" s="49"/>
      <c r="AA884" s="49"/>
      <c r="AB884" s="49"/>
      <c r="AC884" s="49"/>
    </row>
    <row r="885" spans="1:29">
      <c r="A885" s="62" t="s">
        <v>107</v>
      </c>
      <c r="B885" s="61" t="s">
        <v>108</v>
      </c>
      <c r="C885" s="271">
        <f>VLOOKUP($A$8:$A$1487,'[7]MFP''s'!A$8:C$1502,3,FALSE)</f>
        <v>500</v>
      </c>
      <c r="D885" s="364">
        <v>237</v>
      </c>
      <c r="E885" s="274">
        <f t="shared" si="90"/>
        <v>0.52600000000000002</v>
      </c>
      <c r="F885" s="196">
        <f t="shared" si="87"/>
        <v>8.9040900000000001</v>
      </c>
      <c r="G885" s="196">
        <f t="shared" si="88"/>
        <v>7.02705</v>
      </c>
      <c r="H885" s="199">
        <f t="shared" si="89"/>
        <v>5.9321099999999998</v>
      </c>
      <c r="J885" s="184"/>
      <c r="K885" s="185"/>
      <c r="L885" s="49"/>
      <c r="M885" s="49"/>
      <c r="N885" s="49"/>
      <c r="O885" s="49"/>
      <c r="P885" s="49"/>
      <c r="Q885" s="49"/>
      <c r="R885" s="49"/>
      <c r="S885" s="49"/>
      <c r="T885" s="49"/>
      <c r="U885" s="49"/>
      <c r="V885" s="49"/>
      <c r="W885" s="49"/>
      <c r="X885" s="49"/>
      <c r="Y885" s="49"/>
      <c r="Z885" s="49"/>
      <c r="AA885" s="49"/>
      <c r="AB885" s="49"/>
      <c r="AC885" s="49"/>
    </row>
    <row r="886" spans="1:29">
      <c r="A886" s="62" t="s">
        <v>178</v>
      </c>
      <c r="B886" s="61" t="s">
        <v>179</v>
      </c>
      <c r="C886" s="271">
        <f>VLOOKUP($A$8:$A$1487,'[7]MFP''s'!A$8:C$1502,3,FALSE)</f>
        <v>500</v>
      </c>
      <c r="D886" s="364">
        <v>237</v>
      </c>
      <c r="E886" s="274">
        <f t="shared" si="90"/>
        <v>0.52600000000000002</v>
      </c>
      <c r="F886" s="196">
        <f t="shared" si="87"/>
        <v>8.9040900000000001</v>
      </c>
      <c r="G886" s="196">
        <f t="shared" si="88"/>
        <v>7.02705</v>
      </c>
      <c r="H886" s="199">
        <f t="shared" si="89"/>
        <v>5.9321099999999998</v>
      </c>
      <c r="J886" s="72"/>
      <c r="K886" s="185"/>
      <c r="L886" s="49"/>
      <c r="M886" s="49"/>
      <c r="N886" s="49"/>
      <c r="O886" s="49"/>
      <c r="P886" s="49"/>
      <c r="Q886" s="49"/>
      <c r="R886" s="49"/>
      <c r="S886" s="49"/>
      <c r="T886" s="49"/>
      <c r="U886" s="49"/>
      <c r="V886" s="49"/>
      <c r="W886" s="49"/>
      <c r="X886" s="49"/>
      <c r="Y886" s="49"/>
      <c r="Z886" s="49"/>
      <c r="AA886" s="49"/>
      <c r="AB886" s="49"/>
      <c r="AC886" s="49"/>
    </row>
    <row r="887" spans="1:29">
      <c r="A887" s="62" t="s">
        <v>185</v>
      </c>
      <c r="B887" s="61" t="s">
        <v>186</v>
      </c>
      <c r="C887" s="271">
        <f>VLOOKUP($A$8:$A$1487,'[7]MFP''s'!A$8:C$1502,3,FALSE)</f>
        <v>1113</v>
      </c>
      <c r="D887" s="364">
        <v>528</v>
      </c>
      <c r="E887" s="274">
        <f t="shared" si="90"/>
        <v>0.52560646900269536</v>
      </c>
      <c r="F887" s="196">
        <f t="shared" si="87"/>
        <v>19.836960000000001</v>
      </c>
      <c r="G887" s="196">
        <f t="shared" si="88"/>
        <v>15.655199999999999</v>
      </c>
      <c r="H887" s="199">
        <f t="shared" si="89"/>
        <v>13.21584</v>
      </c>
      <c r="J887" s="72"/>
      <c r="K887" s="185"/>
      <c r="L887" s="49"/>
      <c r="M887" s="49"/>
      <c r="N887" s="49"/>
      <c r="O887" s="49"/>
      <c r="P887" s="49"/>
      <c r="Q887" s="49"/>
      <c r="R887" s="49"/>
      <c r="S887" s="49"/>
      <c r="T887" s="49"/>
      <c r="U887" s="49"/>
      <c r="V887" s="49"/>
      <c r="W887" s="49"/>
      <c r="X887" s="49"/>
      <c r="Y887" s="49"/>
      <c r="Z887" s="49"/>
      <c r="AA887" s="49"/>
      <c r="AB887" s="49"/>
      <c r="AC887" s="49"/>
    </row>
    <row r="888" spans="1:29" ht="30">
      <c r="A888" s="330" t="s">
        <v>748</v>
      </c>
      <c r="B888" s="70" t="s">
        <v>783</v>
      </c>
      <c r="C888" s="271">
        <v>1855</v>
      </c>
      <c r="D888" s="364">
        <v>879</v>
      </c>
      <c r="E888" s="274">
        <f t="shared" si="90"/>
        <v>0.52614555256064688</v>
      </c>
      <c r="F888" s="196">
        <f t="shared" si="87"/>
        <v>33.024029999999996</v>
      </c>
      <c r="G888" s="196">
        <f t="shared" si="88"/>
        <v>26.062349999999999</v>
      </c>
      <c r="H888" s="199">
        <f t="shared" si="89"/>
        <v>22.001370000000001</v>
      </c>
      <c r="J888" s="72"/>
      <c r="K888" s="185"/>
      <c r="L888" s="49"/>
      <c r="M888" s="49"/>
      <c r="N888" s="49"/>
      <c r="O888" s="49"/>
      <c r="P888" s="49"/>
      <c r="Q888" s="49"/>
      <c r="R888" s="49"/>
      <c r="S888" s="49"/>
      <c r="T888" s="49"/>
      <c r="U888" s="49"/>
      <c r="V888" s="49"/>
      <c r="W888" s="49"/>
      <c r="X888" s="49"/>
      <c r="Y888" s="49"/>
      <c r="Z888" s="49"/>
      <c r="AA888" s="49"/>
      <c r="AB888" s="49"/>
      <c r="AC888" s="49"/>
    </row>
    <row r="889" spans="1:29">
      <c r="A889" s="62" t="s">
        <v>109</v>
      </c>
      <c r="B889" s="61" t="s">
        <v>110</v>
      </c>
      <c r="C889" s="271">
        <f>VLOOKUP($A$8:$A$1487,'[7]MFP''s'!A$8:C$1502,3,FALSE)</f>
        <v>1553</v>
      </c>
      <c r="D889" s="364">
        <v>736</v>
      </c>
      <c r="E889" s="274">
        <f t="shared" si="90"/>
        <v>0.5260785576303928</v>
      </c>
      <c r="F889" s="196">
        <f t="shared" si="87"/>
        <v>27.651519999999998</v>
      </c>
      <c r="G889" s="196">
        <f t="shared" si="88"/>
        <v>21.822399999999998</v>
      </c>
      <c r="H889" s="199">
        <f t="shared" si="89"/>
        <v>18.422080000000001</v>
      </c>
      <c r="J889" s="72"/>
      <c r="K889" s="185"/>
      <c r="L889" s="49"/>
      <c r="M889" s="49"/>
      <c r="N889" s="49"/>
      <c r="O889" s="49"/>
      <c r="P889" s="49"/>
      <c r="Q889" s="49"/>
      <c r="R889" s="49"/>
      <c r="S889" s="49"/>
      <c r="T889" s="49"/>
      <c r="U889" s="49"/>
      <c r="V889" s="49"/>
      <c r="W889" s="49"/>
      <c r="X889" s="49"/>
      <c r="Y889" s="49"/>
      <c r="Z889" s="49"/>
      <c r="AA889" s="49"/>
      <c r="AB889" s="49"/>
      <c r="AC889" s="49"/>
    </row>
    <row r="890" spans="1:29">
      <c r="A890" s="62" t="s">
        <v>187</v>
      </c>
      <c r="B890" s="61" t="s">
        <v>188</v>
      </c>
      <c r="C890" s="271">
        <f>VLOOKUP($A$8:$A$1487,'[7]MFP''s'!A$8:C$1502,3,FALSE)</f>
        <v>3020</v>
      </c>
      <c r="D890" s="364">
        <v>1431</v>
      </c>
      <c r="E890" s="274">
        <f t="shared" si="90"/>
        <v>0.526158940397351</v>
      </c>
      <c r="F890" s="196">
        <f t="shared" si="87"/>
        <v>53.76267</v>
      </c>
      <c r="G890" s="196">
        <f t="shared" si="88"/>
        <v>42.42915</v>
      </c>
      <c r="H890" s="199">
        <f t="shared" si="89"/>
        <v>35.817929999999997</v>
      </c>
      <c r="J890" s="72"/>
      <c r="K890" s="185"/>
      <c r="L890" s="49"/>
      <c r="M890" s="49"/>
      <c r="N890" s="49"/>
      <c r="O890" s="49"/>
      <c r="P890" s="49"/>
      <c r="Q890" s="49"/>
      <c r="R890" s="49"/>
      <c r="S890" s="49"/>
      <c r="T890" s="49"/>
      <c r="U890" s="49"/>
      <c r="V890" s="49"/>
      <c r="W890" s="49"/>
      <c r="X890" s="49"/>
      <c r="Y890" s="49"/>
      <c r="Z890" s="49"/>
      <c r="AA890" s="49"/>
      <c r="AB890" s="49"/>
      <c r="AC890" s="49"/>
    </row>
    <row r="891" spans="1:29">
      <c r="A891" s="62" t="s">
        <v>111</v>
      </c>
      <c r="B891" s="61" t="s">
        <v>112</v>
      </c>
      <c r="C891" s="271">
        <f>VLOOKUP($A$8:$A$1487,'[7]MFP''s'!A$8:C$1502,3,FALSE)</f>
        <v>585</v>
      </c>
      <c r="D891" s="364">
        <v>278</v>
      </c>
      <c r="E891" s="274">
        <f t="shared" si="90"/>
        <v>0.52478632478632481</v>
      </c>
      <c r="F891" s="196">
        <f t="shared" si="87"/>
        <v>10.444459999999999</v>
      </c>
      <c r="G891" s="196">
        <f t="shared" si="88"/>
        <v>8.2426999999999992</v>
      </c>
      <c r="H891" s="199">
        <f t="shared" si="89"/>
        <v>6.9583399999999997</v>
      </c>
      <c r="J891" s="72"/>
      <c r="K891" s="185"/>
      <c r="L891" s="49"/>
      <c r="M891" s="49"/>
      <c r="N891" s="49"/>
      <c r="O891" s="49"/>
      <c r="P891" s="49"/>
      <c r="Q891" s="49"/>
      <c r="R891" s="49"/>
      <c r="S891" s="49"/>
      <c r="T891" s="49"/>
      <c r="U891" s="49"/>
      <c r="V891" s="49"/>
      <c r="W891" s="49"/>
      <c r="X891" s="49"/>
      <c r="Y891" s="49"/>
      <c r="Z891" s="49"/>
      <c r="AA891" s="49"/>
      <c r="AB891" s="49"/>
      <c r="AC891" s="49"/>
    </row>
    <row r="892" spans="1:29">
      <c r="A892" s="62" t="s">
        <v>113</v>
      </c>
      <c r="B892" s="61" t="s">
        <v>114</v>
      </c>
      <c r="C892" s="271">
        <f>VLOOKUP($A$8:$A$1487,'[7]MFP''s'!A$8:C$1502,3,FALSE)</f>
        <v>586</v>
      </c>
      <c r="D892" s="364">
        <v>278</v>
      </c>
      <c r="E892" s="274">
        <f t="shared" si="90"/>
        <v>0.52559726962457343</v>
      </c>
      <c r="F892" s="196">
        <f t="shared" si="87"/>
        <v>10.444459999999999</v>
      </c>
      <c r="G892" s="196">
        <f t="shared" si="88"/>
        <v>8.2426999999999992</v>
      </c>
      <c r="H892" s="199">
        <f t="shared" si="89"/>
        <v>6.9583399999999997</v>
      </c>
      <c r="J892" s="72"/>
      <c r="K892" s="185"/>
      <c r="L892" s="49"/>
      <c r="M892" s="49"/>
      <c r="N892" s="49"/>
      <c r="O892" s="49"/>
      <c r="P892" s="49"/>
      <c r="Q892" s="49"/>
      <c r="R892" s="49"/>
      <c r="S892" s="49"/>
      <c r="T892" s="49"/>
      <c r="U892" s="49"/>
      <c r="V892" s="49"/>
      <c r="W892" s="49"/>
      <c r="X892" s="49"/>
      <c r="Y892" s="49"/>
      <c r="Z892" s="49"/>
      <c r="AA892" s="49"/>
      <c r="AB892" s="49"/>
      <c r="AC892" s="49"/>
    </row>
    <row r="893" spans="1:29">
      <c r="A893" s="62" t="s">
        <v>189</v>
      </c>
      <c r="B893" s="61" t="s">
        <v>190</v>
      </c>
      <c r="C893" s="271">
        <f>VLOOKUP($A$8:$A$1487,'[7]MFP''s'!A$8:C$1502,3,FALSE)</f>
        <v>863</v>
      </c>
      <c r="D893" s="364">
        <v>409</v>
      </c>
      <c r="E893" s="274">
        <f t="shared" si="90"/>
        <v>0.526071842410197</v>
      </c>
      <c r="F893" s="196">
        <f t="shared" si="87"/>
        <v>15.36613</v>
      </c>
      <c r="G893" s="196">
        <f t="shared" si="88"/>
        <v>12.126849999999999</v>
      </c>
      <c r="H893" s="199">
        <f t="shared" si="89"/>
        <v>10.237270000000001</v>
      </c>
      <c r="J893" s="72"/>
      <c r="K893" s="185"/>
      <c r="L893" s="49"/>
      <c r="M893" s="49"/>
      <c r="N893" s="49"/>
      <c r="O893" s="49"/>
      <c r="P893" s="49"/>
      <c r="Q893" s="49"/>
      <c r="R893" s="49"/>
      <c r="S893" s="49"/>
      <c r="T893" s="49"/>
      <c r="U893" s="49"/>
      <c r="V893" s="49"/>
      <c r="W893" s="49"/>
      <c r="X893" s="49"/>
      <c r="Y893" s="49"/>
      <c r="Z893" s="49"/>
      <c r="AA893" s="49"/>
      <c r="AB893" s="49"/>
      <c r="AC893" s="49"/>
    </row>
    <row r="894" spans="1:29" ht="30">
      <c r="A894" s="330" t="s">
        <v>750</v>
      </c>
      <c r="B894" s="331" t="s">
        <v>784</v>
      </c>
      <c r="C894" s="332">
        <v>3305</v>
      </c>
      <c r="D894" s="364">
        <v>1566</v>
      </c>
      <c r="E894" s="274">
        <f t="shared" si="90"/>
        <v>0.52617246596066569</v>
      </c>
      <c r="F894" s="196">
        <f t="shared" si="87"/>
        <v>58.834620000000001</v>
      </c>
      <c r="G894" s="196">
        <f t="shared" si="88"/>
        <v>46.431899999999999</v>
      </c>
      <c r="H894" s="199">
        <f t="shared" si="89"/>
        <v>39.196980000000003</v>
      </c>
      <c r="I894" s="49"/>
      <c r="J894" s="49"/>
      <c r="K894" s="49"/>
      <c r="L894" s="49"/>
      <c r="M894" s="49"/>
      <c r="N894" s="49"/>
      <c r="O894" s="49"/>
      <c r="P894" s="49"/>
      <c r="Q894" s="49"/>
      <c r="R894" s="49"/>
      <c r="S894" s="49"/>
      <c r="T894" s="49"/>
      <c r="U894" s="49"/>
      <c r="V894" s="49"/>
      <c r="W894" s="49"/>
      <c r="X894" s="49"/>
      <c r="Y894" s="49"/>
      <c r="Z894" s="49"/>
      <c r="AA894" s="49"/>
      <c r="AB894" s="49"/>
      <c r="AC894" s="49"/>
    </row>
    <row r="895" spans="1:29">
      <c r="A895" s="62" t="s">
        <v>182</v>
      </c>
      <c r="B895" s="61" t="s">
        <v>183</v>
      </c>
      <c r="C895" s="271">
        <f>VLOOKUP($A$8:$A$1487,'[7]MFP''s'!A$8:C$1502,3,FALSE)</f>
        <v>1670</v>
      </c>
      <c r="D895" s="364">
        <v>791</v>
      </c>
      <c r="E895" s="274">
        <f t="shared" si="90"/>
        <v>0.52634730538922159</v>
      </c>
      <c r="F895" s="196">
        <f t="shared" si="87"/>
        <v>29.717869999999998</v>
      </c>
      <c r="G895" s="196">
        <f t="shared" si="88"/>
        <v>23.453150000000001</v>
      </c>
      <c r="H895" s="199">
        <f t="shared" si="89"/>
        <v>19.798729999999999</v>
      </c>
      <c r="I895" s="49"/>
      <c r="J895" s="49"/>
      <c r="K895" s="49"/>
      <c r="L895" s="49"/>
      <c r="M895" s="49"/>
      <c r="N895" s="49"/>
      <c r="O895" s="49"/>
      <c r="P895" s="49"/>
      <c r="Q895" s="49"/>
      <c r="R895" s="49"/>
      <c r="S895" s="49"/>
      <c r="T895" s="49"/>
      <c r="U895" s="49"/>
      <c r="V895" s="49"/>
      <c r="W895" s="49"/>
      <c r="X895" s="49"/>
      <c r="Y895" s="49"/>
      <c r="Z895" s="49"/>
      <c r="AA895" s="49"/>
      <c r="AB895" s="49"/>
      <c r="AC895" s="49"/>
    </row>
    <row r="896" spans="1:29">
      <c r="A896" s="62" t="s">
        <v>191</v>
      </c>
      <c r="B896" s="61" t="s">
        <v>192</v>
      </c>
      <c r="C896" s="271">
        <f>VLOOKUP($A$8:$A$1487,'[7]MFP''s'!A$8:C$1502,3,FALSE)</f>
        <v>5510</v>
      </c>
      <c r="D896" s="364">
        <v>2610</v>
      </c>
      <c r="E896" s="274">
        <f t="shared" si="90"/>
        <v>0.52631578947368429</v>
      </c>
      <c r="F896" s="196">
        <f t="shared" si="87"/>
        <v>98.057699999999997</v>
      </c>
      <c r="G896" s="196">
        <f t="shared" si="88"/>
        <v>77.386499999999998</v>
      </c>
      <c r="H896" s="199">
        <f t="shared" si="89"/>
        <v>65.328299999999999</v>
      </c>
      <c r="I896" s="49"/>
      <c r="J896" s="49"/>
      <c r="K896" s="49"/>
      <c r="L896" s="49"/>
      <c r="M896" s="49"/>
      <c r="N896" s="49"/>
      <c r="O896" s="49"/>
      <c r="P896" s="49"/>
      <c r="Q896" s="49"/>
      <c r="R896" s="49"/>
      <c r="S896" s="49"/>
      <c r="T896" s="49"/>
      <c r="U896" s="49"/>
      <c r="V896" s="49"/>
      <c r="W896" s="49"/>
      <c r="X896" s="49"/>
      <c r="Y896" s="49"/>
      <c r="Z896" s="49"/>
      <c r="AA896" s="49"/>
      <c r="AB896" s="49"/>
      <c r="AC896" s="49"/>
    </row>
    <row r="897" spans="1:29">
      <c r="A897" s="62" t="s">
        <v>180</v>
      </c>
      <c r="B897" s="61" t="s">
        <v>181</v>
      </c>
      <c r="C897" s="271">
        <f>VLOOKUP($A$8:$A$1487,'[7]MFP''s'!A$8:C$1502,3,FALSE)</f>
        <v>111</v>
      </c>
      <c r="D897" s="364">
        <v>53</v>
      </c>
      <c r="E897" s="274">
        <f t="shared" si="90"/>
        <v>0.52252252252252251</v>
      </c>
      <c r="F897" s="196">
        <f t="shared" ref="F897:F960" si="91">D897*$F$1</f>
        <v>1.9912099999999999</v>
      </c>
      <c r="G897" s="196">
        <f t="shared" si="88"/>
        <v>1.57145</v>
      </c>
      <c r="H897" s="199">
        <f t="shared" si="89"/>
        <v>1.3265899999999999</v>
      </c>
      <c r="I897" s="49"/>
      <c r="J897" s="49"/>
      <c r="K897" s="49"/>
      <c r="L897" s="49"/>
      <c r="M897" s="49"/>
      <c r="N897" s="49"/>
      <c r="O897" s="49"/>
      <c r="P897" s="49"/>
      <c r="Q897" s="49"/>
      <c r="R897" s="49"/>
      <c r="S897" s="49"/>
      <c r="T897" s="49"/>
      <c r="U897" s="49"/>
      <c r="V897" s="49"/>
      <c r="W897" s="49"/>
      <c r="X897" s="49"/>
      <c r="Y897" s="49"/>
      <c r="Z897" s="49"/>
      <c r="AA897" s="49"/>
      <c r="AB897" s="49"/>
      <c r="AC897" s="49"/>
    </row>
    <row r="898" spans="1:29">
      <c r="A898" s="60" t="s">
        <v>69</v>
      </c>
      <c r="B898" s="65"/>
      <c r="C898" s="271"/>
      <c r="D898" s="364"/>
      <c r="E898" s="274"/>
      <c r="F898" s="196"/>
      <c r="G898" s="196"/>
      <c r="H898" s="199"/>
      <c r="I898" s="49"/>
      <c r="J898" s="49"/>
      <c r="K898" s="49"/>
      <c r="L898" s="49"/>
      <c r="M898" s="49"/>
      <c r="N898" s="49"/>
      <c r="O898" s="49"/>
      <c r="P898" s="49"/>
      <c r="Q898" s="49"/>
      <c r="R898" s="49"/>
      <c r="S898" s="49"/>
      <c r="T898" s="49"/>
      <c r="U898" s="49"/>
      <c r="V898" s="49"/>
      <c r="W898" s="49"/>
      <c r="X898" s="49"/>
      <c r="Y898" s="49"/>
      <c r="Z898" s="49"/>
      <c r="AA898" s="49"/>
      <c r="AB898" s="49"/>
      <c r="AC898" s="49"/>
    </row>
    <row r="899" spans="1:29">
      <c r="A899" s="62" t="s">
        <v>115</v>
      </c>
      <c r="B899" s="61" t="s">
        <v>116</v>
      </c>
      <c r="C899" s="271">
        <f>VLOOKUP($A$8:$A$1487,'[7]MFP''s'!A$8:C$1502,3,FALSE)</f>
        <v>1070</v>
      </c>
      <c r="D899" s="364">
        <v>507</v>
      </c>
      <c r="E899" s="274">
        <f t="shared" si="90"/>
        <v>0.5261682242990654</v>
      </c>
      <c r="F899" s="196">
        <f t="shared" si="91"/>
        <v>19.047989999999999</v>
      </c>
      <c r="G899" s="196">
        <f t="shared" si="88"/>
        <v>15.032549999999999</v>
      </c>
      <c r="H899" s="199">
        <f t="shared" si="89"/>
        <v>12.69021</v>
      </c>
      <c r="I899" s="49"/>
      <c r="J899" s="49"/>
      <c r="K899" s="49"/>
      <c r="L899" s="49"/>
      <c r="M899" s="49"/>
      <c r="N899" s="49"/>
      <c r="O899" s="49"/>
      <c r="P899" s="49"/>
      <c r="Q899" s="49"/>
      <c r="R899" s="49"/>
      <c r="S899" s="49"/>
      <c r="T899" s="49"/>
      <c r="U899" s="49"/>
      <c r="V899" s="49"/>
      <c r="W899" s="49"/>
      <c r="X899" s="49"/>
      <c r="Y899" s="49"/>
      <c r="Z899" s="49"/>
      <c r="AA899" s="49"/>
      <c r="AB899" s="49"/>
      <c r="AC899" s="49"/>
    </row>
    <row r="900" spans="1:29">
      <c r="A900" s="62">
        <v>4614506</v>
      </c>
      <c r="B900" s="61" t="s">
        <v>117</v>
      </c>
      <c r="C900" s="271">
        <f>VLOOKUP($A$8:$A$1487,'[7]MFP''s'!A$8:C$1502,3,FALSE)</f>
        <v>48</v>
      </c>
      <c r="D900" s="364">
        <v>23</v>
      </c>
      <c r="E900" s="274">
        <f t="shared" si="90"/>
        <v>0.52083333333333326</v>
      </c>
      <c r="F900" s="196">
        <f t="shared" si="91"/>
        <v>0.86410999999999993</v>
      </c>
      <c r="G900" s="196">
        <f t="shared" si="88"/>
        <v>0.68194999999999995</v>
      </c>
      <c r="H900" s="199">
        <f t="shared" si="89"/>
        <v>0.57569000000000004</v>
      </c>
      <c r="I900" s="49"/>
      <c r="J900" s="49"/>
      <c r="K900" s="49"/>
      <c r="L900" s="49"/>
      <c r="M900" s="49"/>
      <c r="N900" s="49"/>
      <c r="O900" s="49"/>
      <c r="P900" s="49"/>
      <c r="Q900" s="49"/>
      <c r="R900" s="49"/>
      <c r="S900" s="49"/>
      <c r="T900" s="49"/>
      <c r="U900" s="49"/>
      <c r="V900" s="49"/>
      <c r="W900" s="49"/>
      <c r="X900" s="49"/>
      <c r="Y900" s="49"/>
      <c r="Z900" s="49"/>
      <c r="AA900" s="49"/>
      <c r="AB900" s="49"/>
      <c r="AC900" s="49"/>
    </row>
    <row r="901" spans="1:29">
      <c r="A901" s="62">
        <v>4614511</v>
      </c>
      <c r="B901" s="61" t="s">
        <v>118</v>
      </c>
      <c r="C901" s="271">
        <f>VLOOKUP($A$8:$A$1487,'[7]MFP''s'!A$8:C$1502,3,FALSE)</f>
        <v>27</v>
      </c>
      <c r="D901" s="364">
        <v>13</v>
      </c>
      <c r="E901" s="274">
        <f t="shared" si="90"/>
        <v>0.5185185185185186</v>
      </c>
      <c r="F901" s="196">
        <f t="shared" si="91"/>
        <v>0.48841000000000001</v>
      </c>
      <c r="G901" s="196">
        <f t="shared" si="88"/>
        <v>0.38545000000000001</v>
      </c>
      <c r="H901" s="199">
        <f t="shared" si="89"/>
        <v>0.32539000000000001</v>
      </c>
      <c r="I901" s="49"/>
      <c r="J901" s="49"/>
      <c r="K901" s="49"/>
      <c r="L901" s="49"/>
      <c r="M901" s="49"/>
      <c r="N901" s="49"/>
      <c r="O901" s="49"/>
      <c r="P901" s="49"/>
      <c r="Q901" s="49"/>
      <c r="R901" s="49"/>
      <c r="S901" s="49"/>
      <c r="T901" s="49"/>
      <c r="U901" s="49"/>
      <c r="V901" s="49"/>
      <c r="W901" s="49"/>
      <c r="X901" s="49"/>
      <c r="Y901" s="49"/>
      <c r="Z901" s="49"/>
      <c r="AA901" s="49"/>
      <c r="AB901" s="49"/>
      <c r="AC901" s="49"/>
    </row>
    <row r="902" spans="1:29">
      <c r="A902" s="62" t="s">
        <v>119</v>
      </c>
      <c r="B902" s="61" t="s">
        <v>120</v>
      </c>
      <c r="C902" s="271">
        <f>VLOOKUP($A$8:$A$1487,'[7]MFP''s'!A$8:C$1502,3,FALSE)</f>
        <v>120</v>
      </c>
      <c r="D902" s="364">
        <v>57</v>
      </c>
      <c r="E902" s="274">
        <f t="shared" si="90"/>
        <v>0.52500000000000002</v>
      </c>
      <c r="F902" s="196">
        <f t="shared" si="91"/>
        <v>2.1414900000000001</v>
      </c>
      <c r="G902" s="196">
        <f t="shared" si="88"/>
        <v>1.6900500000000001</v>
      </c>
      <c r="H902" s="199">
        <f t="shared" si="89"/>
        <v>1.4267099999999999</v>
      </c>
      <c r="I902" s="49"/>
      <c r="J902" s="49"/>
      <c r="K902" s="49"/>
      <c r="L902" s="49"/>
      <c r="M902" s="49"/>
      <c r="N902" s="49"/>
      <c r="O902" s="49"/>
      <c r="P902" s="49"/>
      <c r="Q902" s="49"/>
      <c r="R902" s="49"/>
      <c r="S902" s="49"/>
      <c r="T902" s="49"/>
      <c r="U902" s="49"/>
      <c r="V902" s="49"/>
      <c r="W902" s="49"/>
      <c r="X902" s="49"/>
      <c r="Y902" s="49"/>
      <c r="Z902" s="49"/>
      <c r="AA902" s="49"/>
      <c r="AB902" s="49"/>
      <c r="AC902" s="49"/>
    </row>
    <row r="903" spans="1:29">
      <c r="A903" s="62" t="s">
        <v>121</v>
      </c>
      <c r="B903" s="61" t="s">
        <v>122</v>
      </c>
      <c r="C903" s="271">
        <f>VLOOKUP($A$8:$A$1487,'[7]MFP''s'!A$8:C$1502,3,FALSE)</f>
        <v>1068</v>
      </c>
      <c r="D903" s="364">
        <v>506</v>
      </c>
      <c r="E903" s="274">
        <f t="shared" si="90"/>
        <v>0.52621722846441954</v>
      </c>
      <c r="F903" s="196">
        <f t="shared" si="91"/>
        <v>19.01042</v>
      </c>
      <c r="G903" s="196">
        <f t="shared" si="88"/>
        <v>15.0029</v>
      </c>
      <c r="H903" s="199">
        <f t="shared" si="89"/>
        <v>12.665179999999999</v>
      </c>
      <c r="I903" s="49"/>
      <c r="J903" s="49"/>
      <c r="K903" s="49"/>
      <c r="L903" s="49"/>
      <c r="M903" s="49"/>
      <c r="N903" s="49"/>
      <c r="O903" s="49"/>
      <c r="P903" s="49"/>
      <c r="Q903" s="49"/>
      <c r="R903" s="49"/>
      <c r="S903" s="49"/>
      <c r="T903" s="49"/>
      <c r="U903" s="49"/>
      <c r="V903" s="49"/>
      <c r="W903" s="49"/>
      <c r="X903" s="49"/>
      <c r="Y903" s="49"/>
      <c r="Z903" s="49"/>
      <c r="AA903" s="49"/>
      <c r="AB903" s="49"/>
      <c r="AC903" s="49"/>
    </row>
    <row r="904" spans="1:29">
      <c r="A904" s="60" t="s">
        <v>285</v>
      </c>
      <c r="B904" s="65"/>
      <c r="C904" s="271"/>
      <c r="D904" s="364"/>
      <c r="E904" s="274"/>
      <c r="F904" s="196"/>
      <c r="G904" s="196"/>
      <c r="H904" s="199"/>
      <c r="I904" s="49"/>
      <c r="J904" s="49"/>
      <c r="K904" s="49"/>
      <c r="L904" s="49"/>
      <c r="M904" s="49"/>
      <c r="N904" s="49"/>
      <c r="O904" s="49"/>
      <c r="P904" s="49"/>
      <c r="Q904" s="49"/>
      <c r="R904" s="49"/>
      <c r="S904" s="49"/>
      <c r="T904" s="49"/>
      <c r="U904" s="49"/>
      <c r="V904" s="49"/>
      <c r="W904" s="49"/>
      <c r="X904" s="49"/>
      <c r="Y904" s="49"/>
      <c r="Z904" s="49"/>
      <c r="AA904" s="49"/>
      <c r="AB904" s="49"/>
      <c r="AC904" s="49"/>
    </row>
    <row r="905" spans="1:29">
      <c r="A905" s="62" t="s">
        <v>286</v>
      </c>
      <c r="B905" s="61" t="s">
        <v>287</v>
      </c>
      <c r="C905" s="271">
        <f>VLOOKUP($A$8:$A$1487,'[7]MFP''s'!A$8:C$1502,3,FALSE)</f>
        <v>4158</v>
      </c>
      <c r="D905" s="364">
        <v>1969</v>
      </c>
      <c r="E905" s="274">
        <f t="shared" si="90"/>
        <v>0.52645502645502651</v>
      </c>
      <c r="F905" s="196">
        <f t="shared" si="91"/>
        <v>73.97533</v>
      </c>
      <c r="G905" s="196">
        <f t="shared" ref="G905:G968" si="92">D905*$G$1</f>
        <v>58.380849999999995</v>
      </c>
      <c r="H905" s="199">
        <f t="shared" ref="H905:H968" si="93">D905*$H$1</f>
        <v>49.28407</v>
      </c>
      <c r="I905" s="49"/>
      <c r="J905" s="49"/>
      <c r="K905" s="49"/>
      <c r="L905" s="49"/>
      <c r="M905" s="49"/>
      <c r="N905" s="49"/>
      <c r="O905" s="49"/>
      <c r="P905" s="49"/>
      <c r="Q905" s="49"/>
      <c r="R905" s="49"/>
      <c r="S905" s="49"/>
      <c r="T905" s="49"/>
      <c r="U905" s="49"/>
      <c r="V905" s="49"/>
      <c r="W905" s="49"/>
      <c r="X905" s="49"/>
      <c r="Y905" s="49"/>
      <c r="Z905" s="49"/>
      <c r="AA905" s="49"/>
      <c r="AB905" s="49"/>
      <c r="AC905" s="49"/>
    </row>
    <row r="906" spans="1:29">
      <c r="A906" s="62" t="s">
        <v>288</v>
      </c>
      <c r="B906" s="61" t="s">
        <v>289</v>
      </c>
      <c r="C906" s="271">
        <f>VLOOKUP($A$8:$A$1487,'[7]MFP''s'!A$8:C$1502,3,FALSE)</f>
        <v>296</v>
      </c>
      <c r="D906" s="364">
        <v>141</v>
      </c>
      <c r="E906" s="274">
        <f t="shared" si="90"/>
        <v>0.52364864864864868</v>
      </c>
      <c r="F906" s="196">
        <f t="shared" si="91"/>
        <v>5.2973699999999999</v>
      </c>
      <c r="G906" s="196">
        <f t="shared" si="92"/>
        <v>4.18065</v>
      </c>
      <c r="H906" s="199">
        <f t="shared" si="93"/>
        <v>3.5292300000000001</v>
      </c>
      <c r="I906" s="49"/>
      <c r="J906" s="49"/>
      <c r="K906" s="49"/>
      <c r="L906" s="49"/>
      <c r="M906" s="49"/>
      <c r="N906" s="49"/>
      <c r="O906" s="49"/>
      <c r="P906" s="49"/>
      <c r="Q906" s="49"/>
      <c r="R906" s="49"/>
      <c r="S906" s="49"/>
      <c r="T906" s="49"/>
      <c r="U906" s="49"/>
      <c r="V906" s="49"/>
      <c r="W906" s="49"/>
      <c r="X906" s="49"/>
      <c r="Y906" s="49"/>
      <c r="Z906" s="49"/>
      <c r="AA906" s="49"/>
      <c r="AB906" s="49"/>
      <c r="AC906" s="49"/>
    </row>
    <row r="907" spans="1:29">
      <c r="A907" s="62">
        <v>7640004312</v>
      </c>
      <c r="B907" s="61" t="s">
        <v>290</v>
      </c>
      <c r="C907" s="271">
        <f>VLOOKUP($A$8:$A$1487,'[7]MFP''s'!A$8:C$1502,3,FALSE)</f>
        <v>875</v>
      </c>
      <c r="D907" s="364">
        <v>415</v>
      </c>
      <c r="E907" s="274">
        <f t="shared" si="90"/>
        <v>0.52571428571428569</v>
      </c>
      <c r="F907" s="196">
        <f t="shared" si="91"/>
        <v>15.59155</v>
      </c>
      <c r="G907" s="196">
        <f t="shared" si="92"/>
        <v>12.30475</v>
      </c>
      <c r="H907" s="199">
        <f t="shared" si="93"/>
        <v>10.387449999999999</v>
      </c>
      <c r="I907" s="49"/>
      <c r="J907" s="49"/>
      <c r="K907" s="49"/>
      <c r="L907" s="49"/>
      <c r="M907" s="49"/>
      <c r="N907" s="49"/>
      <c r="O907" s="49"/>
      <c r="P907" s="49"/>
      <c r="Q907" s="49"/>
      <c r="R907" s="49"/>
      <c r="S907" s="49"/>
      <c r="T907" s="49"/>
      <c r="U907" s="49"/>
      <c r="V907" s="49"/>
      <c r="W907" s="49"/>
      <c r="X907" s="49"/>
      <c r="Y907" s="49"/>
      <c r="Z907" s="49"/>
      <c r="AA907" s="49"/>
      <c r="AB907" s="49"/>
      <c r="AC907" s="49"/>
    </row>
    <row r="908" spans="1:29">
      <c r="A908" s="62">
        <v>7640004313</v>
      </c>
      <c r="B908" s="61" t="s">
        <v>291</v>
      </c>
      <c r="C908" s="271">
        <f>VLOOKUP($A$8:$A$1487,'[7]MFP''s'!A$8:C$1502,3,FALSE)</f>
        <v>875</v>
      </c>
      <c r="D908" s="364">
        <v>415</v>
      </c>
      <c r="E908" s="274">
        <f t="shared" si="90"/>
        <v>0.52571428571428569</v>
      </c>
      <c r="F908" s="196">
        <f t="shared" si="91"/>
        <v>15.59155</v>
      </c>
      <c r="G908" s="196">
        <f t="shared" si="92"/>
        <v>12.30475</v>
      </c>
      <c r="H908" s="199">
        <f t="shared" si="93"/>
        <v>10.387449999999999</v>
      </c>
      <c r="I908" s="49"/>
      <c r="J908" s="49"/>
      <c r="K908" s="49"/>
      <c r="L908" s="49"/>
      <c r="M908" s="49"/>
      <c r="N908" s="49"/>
      <c r="O908" s="49"/>
      <c r="P908" s="49"/>
      <c r="Q908" s="49"/>
      <c r="R908" s="49"/>
      <c r="S908" s="49"/>
      <c r="T908" s="49"/>
      <c r="U908" s="49"/>
      <c r="V908" s="49"/>
      <c r="W908" s="49"/>
      <c r="X908" s="49"/>
      <c r="Y908" s="49"/>
      <c r="Z908" s="49"/>
      <c r="AA908" s="49"/>
      <c r="AB908" s="49"/>
      <c r="AC908" s="49"/>
    </row>
    <row r="909" spans="1:29">
      <c r="A909" s="62">
        <v>45109642</v>
      </c>
      <c r="B909" s="61" t="s">
        <v>292</v>
      </c>
      <c r="C909" s="271">
        <f>VLOOKUP($A$8:$A$1487,'[7]MFP''s'!A$8:C$1502,3,FALSE)</f>
        <v>1348</v>
      </c>
      <c r="D909" s="364">
        <v>639</v>
      </c>
      <c r="E909" s="274">
        <f t="shared" si="90"/>
        <v>0.52596439169139464</v>
      </c>
      <c r="F909" s="196">
        <f t="shared" si="91"/>
        <v>24.00723</v>
      </c>
      <c r="G909" s="196">
        <f t="shared" si="92"/>
        <v>18.946349999999999</v>
      </c>
      <c r="H909" s="199">
        <f t="shared" si="93"/>
        <v>15.99417</v>
      </c>
      <c r="I909" s="49"/>
      <c r="J909" s="49"/>
      <c r="K909" s="49"/>
      <c r="L909" s="49"/>
      <c r="M909" s="49"/>
      <c r="N909" s="49"/>
      <c r="O909" s="49"/>
      <c r="P909" s="49"/>
      <c r="Q909" s="49"/>
      <c r="R909" s="49"/>
      <c r="S909" s="49"/>
      <c r="T909" s="49"/>
      <c r="U909" s="49"/>
      <c r="V909" s="49"/>
      <c r="W909" s="49"/>
      <c r="X909" s="49"/>
      <c r="Y909" s="49"/>
      <c r="Z909" s="49"/>
      <c r="AA909" s="49"/>
      <c r="AB909" s="49"/>
      <c r="AC909" s="49"/>
    </row>
    <row r="910" spans="1:29">
      <c r="A910" s="62">
        <v>7640009476</v>
      </c>
      <c r="B910" s="61" t="s">
        <v>293</v>
      </c>
      <c r="C910" s="271">
        <f>VLOOKUP($A$8:$A$1487,'[7]MFP''s'!A$8:C$1502,3,FALSE)</f>
        <v>2650</v>
      </c>
      <c r="D910" s="364">
        <v>1255</v>
      </c>
      <c r="E910" s="274">
        <f t="shared" si="90"/>
        <v>0.52641509433962264</v>
      </c>
      <c r="F910" s="196">
        <f t="shared" si="91"/>
        <v>47.150349999999996</v>
      </c>
      <c r="G910" s="196">
        <f t="shared" si="92"/>
        <v>37.210749999999997</v>
      </c>
      <c r="H910" s="199">
        <f t="shared" si="93"/>
        <v>31.412649999999999</v>
      </c>
      <c r="I910" s="49"/>
      <c r="J910" s="49"/>
      <c r="K910" s="49"/>
      <c r="L910" s="49"/>
      <c r="M910" s="49"/>
      <c r="N910" s="49"/>
      <c r="O910" s="49"/>
      <c r="P910" s="49"/>
      <c r="Q910" s="49"/>
      <c r="R910" s="49"/>
      <c r="S910" s="49"/>
      <c r="T910" s="49"/>
      <c r="U910" s="49"/>
      <c r="V910" s="49"/>
      <c r="W910" s="49"/>
      <c r="X910" s="49"/>
      <c r="Y910" s="49"/>
      <c r="Z910" s="49"/>
      <c r="AA910" s="49"/>
      <c r="AB910" s="49"/>
      <c r="AC910" s="49"/>
    </row>
    <row r="911" spans="1:29">
      <c r="A911" s="62">
        <v>7640009477</v>
      </c>
      <c r="B911" s="61" t="s">
        <v>294</v>
      </c>
      <c r="C911" s="271">
        <f>VLOOKUP($A$8:$A$1487,'[7]MFP''s'!A$8:C$1502,3,FALSE)</f>
        <v>1166</v>
      </c>
      <c r="D911" s="364">
        <v>553</v>
      </c>
      <c r="E911" s="274">
        <f t="shared" si="90"/>
        <v>0.52572898799313894</v>
      </c>
      <c r="F911" s="196">
        <f t="shared" si="91"/>
        <v>20.776209999999999</v>
      </c>
      <c r="G911" s="196">
        <f t="shared" si="92"/>
        <v>16.396449999999998</v>
      </c>
      <c r="H911" s="199">
        <f t="shared" si="93"/>
        <v>13.84159</v>
      </c>
      <c r="I911" s="49"/>
      <c r="J911" s="49"/>
      <c r="K911" s="49"/>
      <c r="L911" s="49"/>
      <c r="M911" s="49"/>
      <c r="N911" s="49"/>
      <c r="O911" s="49"/>
      <c r="P911" s="49"/>
      <c r="Q911" s="49"/>
      <c r="R911" s="49"/>
      <c r="S911" s="49"/>
      <c r="T911" s="49"/>
      <c r="U911" s="49"/>
      <c r="V911" s="49"/>
      <c r="W911" s="49"/>
      <c r="X911" s="49"/>
      <c r="Y911" s="49"/>
      <c r="Z911" s="49"/>
      <c r="AA911" s="49"/>
      <c r="AB911" s="49"/>
      <c r="AC911" s="49"/>
    </row>
    <row r="912" spans="1:29">
      <c r="A912" s="62">
        <v>7640009478</v>
      </c>
      <c r="B912" s="61" t="s">
        <v>295</v>
      </c>
      <c r="C912" s="271">
        <f>VLOOKUP($A$8:$A$1487,'[7]MFP''s'!A$8:C$1502,3,FALSE)</f>
        <v>3179</v>
      </c>
      <c r="D912" s="364">
        <v>1506</v>
      </c>
      <c r="E912" s="274">
        <f t="shared" si="90"/>
        <v>0.52626612142183071</v>
      </c>
      <c r="F912" s="196">
        <f t="shared" si="91"/>
        <v>56.580419999999997</v>
      </c>
      <c r="G912" s="196">
        <f t="shared" si="92"/>
        <v>44.652899999999995</v>
      </c>
      <c r="H912" s="199">
        <f t="shared" si="93"/>
        <v>37.695180000000001</v>
      </c>
      <c r="I912" s="49"/>
      <c r="J912" s="49"/>
      <c r="K912" s="49"/>
      <c r="L912" s="49"/>
      <c r="M912" s="49"/>
      <c r="N912" s="49"/>
      <c r="O912" s="49"/>
      <c r="P912" s="49"/>
      <c r="Q912" s="49"/>
      <c r="R912" s="49"/>
      <c r="S912" s="49"/>
      <c r="T912" s="49"/>
      <c r="U912" s="49"/>
      <c r="V912" s="49"/>
      <c r="W912" s="49"/>
      <c r="X912" s="49"/>
      <c r="Y912" s="49"/>
      <c r="Z912" s="49"/>
      <c r="AA912" s="49"/>
      <c r="AB912" s="49"/>
      <c r="AC912" s="49"/>
    </row>
    <row r="913" spans="1:29" ht="30">
      <c r="A913" s="63">
        <v>3000005452</v>
      </c>
      <c r="B913" s="61" t="s">
        <v>296</v>
      </c>
      <c r="C913" s="271">
        <f>VLOOKUP($A$8:$A$1487,'[7]MFP''s'!A$8:C$1502,3,FALSE)</f>
        <v>3400</v>
      </c>
      <c r="D913" s="364">
        <v>1610</v>
      </c>
      <c r="E913" s="274">
        <f t="shared" si="90"/>
        <v>0.52647058823529413</v>
      </c>
      <c r="F913" s="196">
        <f t="shared" si="91"/>
        <v>60.487699999999997</v>
      </c>
      <c r="G913" s="196">
        <f t="shared" si="92"/>
        <v>47.736499999999999</v>
      </c>
      <c r="H913" s="199">
        <f t="shared" si="93"/>
        <v>40.298299999999998</v>
      </c>
      <c r="I913" s="49"/>
      <c r="J913" s="49"/>
      <c r="K913" s="49"/>
      <c r="L913" s="49"/>
      <c r="M913" s="49"/>
      <c r="N913" s="49"/>
      <c r="O913" s="49"/>
      <c r="P913" s="49"/>
      <c r="Q913" s="49"/>
      <c r="R913" s="49"/>
      <c r="S913" s="49"/>
      <c r="T913" s="49"/>
      <c r="U913" s="49"/>
      <c r="V913" s="49"/>
      <c r="W913" s="49"/>
      <c r="X913" s="49"/>
      <c r="Y913" s="49"/>
      <c r="Z913" s="49"/>
      <c r="AA913" s="49"/>
      <c r="AB913" s="49"/>
      <c r="AC913" s="49"/>
    </row>
    <row r="914" spans="1:29">
      <c r="A914" s="62">
        <v>7640017030</v>
      </c>
      <c r="B914" s="61" t="s">
        <v>297</v>
      </c>
      <c r="C914" s="271">
        <f>VLOOKUP($A$8:$A$1487,'[7]MFP''s'!A$8:C$1502,3,FALSE)</f>
        <v>4500</v>
      </c>
      <c r="D914" s="364">
        <v>2131</v>
      </c>
      <c r="E914" s="274">
        <f t="shared" si="90"/>
        <v>0.52644444444444449</v>
      </c>
      <c r="F914" s="196">
        <f t="shared" si="91"/>
        <v>80.061669999999992</v>
      </c>
      <c r="G914" s="196">
        <f t="shared" si="92"/>
        <v>63.184149999999995</v>
      </c>
      <c r="H914" s="199">
        <f t="shared" si="93"/>
        <v>53.338929999999998</v>
      </c>
      <c r="I914" s="49"/>
      <c r="J914" s="49"/>
      <c r="K914" s="49"/>
      <c r="L914" s="49"/>
      <c r="M914" s="49"/>
      <c r="N914" s="49"/>
      <c r="O914" s="49"/>
      <c r="P914" s="49"/>
      <c r="Q914" s="49"/>
      <c r="R914" s="49"/>
      <c r="S914" s="49"/>
      <c r="T914" s="49"/>
      <c r="U914" s="49"/>
      <c r="V914" s="49"/>
      <c r="W914" s="49"/>
      <c r="X914" s="49"/>
      <c r="Y914" s="49"/>
      <c r="Z914" s="49"/>
      <c r="AA914" s="49"/>
      <c r="AB914" s="49"/>
      <c r="AC914" s="49"/>
    </row>
    <row r="915" spans="1:29">
      <c r="A915" s="60" t="s">
        <v>123</v>
      </c>
      <c r="B915" s="65"/>
      <c r="C915" s="271"/>
      <c r="D915" s="364"/>
      <c r="E915" s="274"/>
      <c r="F915" s="196"/>
      <c r="G915" s="196"/>
      <c r="H915" s="199"/>
      <c r="I915" s="49"/>
      <c r="J915" s="49"/>
      <c r="K915" s="49"/>
      <c r="L915" s="49"/>
      <c r="M915" s="49"/>
      <c r="N915" s="49"/>
      <c r="O915" s="49"/>
      <c r="P915" s="49"/>
      <c r="Q915" s="49"/>
      <c r="R915" s="49"/>
      <c r="S915" s="49"/>
      <c r="T915" s="49"/>
      <c r="U915" s="49"/>
      <c r="V915" s="49"/>
      <c r="W915" s="49"/>
      <c r="X915" s="49"/>
      <c r="Y915" s="49"/>
      <c r="Z915" s="49"/>
      <c r="AA915" s="49"/>
      <c r="AB915" s="49"/>
      <c r="AC915" s="49"/>
    </row>
    <row r="916" spans="1:29">
      <c r="A916" s="62" t="s">
        <v>124</v>
      </c>
      <c r="B916" s="61" t="s">
        <v>125</v>
      </c>
      <c r="C916" s="271">
        <f>VLOOKUP($A$8:$A$1487,'[7]MFP''s'!A$8:C$1502,3,FALSE)</f>
        <v>53</v>
      </c>
      <c r="D916" s="364">
        <v>26</v>
      </c>
      <c r="E916" s="274">
        <f t="shared" si="90"/>
        <v>0.50943396226415094</v>
      </c>
      <c r="F916" s="196">
        <f t="shared" si="91"/>
        <v>0.97682000000000002</v>
      </c>
      <c r="G916" s="196">
        <f t="shared" si="92"/>
        <v>0.77090000000000003</v>
      </c>
      <c r="H916" s="199">
        <f t="shared" si="93"/>
        <v>0.65078000000000003</v>
      </c>
      <c r="I916" s="49"/>
      <c r="J916" s="49"/>
      <c r="K916" s="49"/>
      <c r="L916" s="49"/>
      <c r="M916" s="49"/>
      <c r="N916" s="49"/>
      <c r="O916" s="49"/>
      <c r="P916" s="49"/>
      <c r="Q916" s="49"/>
      <c r="R916" s="49"/>
      <c r="S916" s="49"/>
      <c r="T916" s="49"/>
      <c r="U916" s="49"/>
      <c r="V916" s="49"/>
      <c r="W916" s="49"/>
      <c r="X916" s="49"/>
      <c r="Y916" s="49"/>
      <c r="Z916" s="49"/>
      <c r="AA916" s="49"/>
      <c r="AB916" s="49"/>
      <c r="AC916" s="49"/>
    </row>
    <row r="917" spans="1:29" ht="30">
      <c r="A917" s="62" t="s">
        <v>126</v>
      </c>
      <c r="B917" s="61" t="s">
        <v>127</v>
      </c>
      <c r="C917" s="271">
        <f>VLOOKUP($A$8:$A$1487,'[7]MFP''s'!A$8:C$1502,3,FALSE)</f>
        <v>1100</v>
      </c>
      <c r="D917" s="364">
        <v>521</v>
      </c>
      <c r="E917" s="274">
        <f t="shared" si="90"/>
        <v>0.52636363636363637</v>
      </c>
      <c r="F917" s="196">
        <f t="shared" si="91"/>
        <v>19.573969999999999</v>
      </c>
      <c r="G917" s="196">
        <f t="shared" si="92"/>
        <v>15.447649999999999</v>
      </c>
      <c r="H917" s="199">
        <f t="shared" si="93"/>
        <v>13.04063</v>
      </c>
      <c r="I917" s="49"/>
      <c r="J917" s="49"/>
      <c r="K917" s="49"/>
      <c r="L917" s="49"/>
      <c r="M917" s="49"/>
      <c r="N917" s="49"/>
      <c r="O917" s="49"/>
      <c r="P917" s="49"/>
      <c r="Q917" s="49"/>
      <c r="R917" s="49"/>
      <c r="S917" s="49"/>
      <c r="T917" s="49"/>
      <c r="U917" s="49"/>
      <c r="V917" s="49"/>
      <c r="W917" s="49"/>
      <c r="X917" s="49"/>
      <c r="Y917" s="49"/>
      <c r="Z917" s="49"/>
      <c r="AA917" s="49"/>
      <c r="AB917" s="49"/>
      <c r="AC917" s="49"/>
    </row>
    <row r="918" spans="1:29">
      <c r="A918" s="62" t="s">
        <v>128</v>
      </c>
      <c r="B918" s="61" t="s">
        <v>129</v>
      </c>
      <c r="C918" s="271">
        <f>VLOOKUP($A$8:$A$1487,'[7]MFP''s'!A$8:C$1502,3,FALSE)</f>
        <v>785</v>
      </c>
      <c r="D918" s="364">
        <v>372</v>
      </c>
      <c r="E918" s="274">
        <f t="shared" si="90"/>
        <v>0.52611464968152866</v>
      </c>
      <c r="F918" s="196">
        <f t="shared" si="91"/>
        <v>13.976039999999999</v>
      </c>
      <c r="G918" s="196">
        <f t="shared" si="92"/>
        <v>11.0298</v>
      </c>
      <c r="H918" s="199">
        <f t="shared" si="93"/>
        <v>9.3111599999999992</v>
      </c>
      <c r="I918" s="49"/>
      <c r="J918" s="49"/>
      <c r="K918" s="49"/>
      <c r="L918" s="49"/>
      <c r="M918" s="49"/>
      <c r="N918" s="49"/>
      <c r="O918" s="49"/>
      <c r="P918" s="49"/>
      <c r="Q918" s="49"/>
      <c r="R918" s="49"/>
      <c r="S918" s="49"/>
      <c r="T918" s="49"/>
      <c r="U918" s="49"/>
      <c r="V918" s="49"/>
      <c r="W918" s="49"/>
      <c r="X918" s="49"/>
      <c r="Y918" s="49"/>
      <c r="Z918" s="49"/>
      <c r="AA918" s="49"/>
      <c r="AB918" s="49"/>
      <c r="AC918" s="49"/>
    </row>
    <row r="919" spans="1:29">
      <c r="A919" s="62" t="s">
        <v>130</v>
      </c>
      <c r="B919" s="61" t="s">
        <v>131</v>
      </c>
      <c r="C919" s="271">
        <f>VLOOKUP($A$8:$A$1487,'[7]MFP''s'!A$8:C$1502,3,FALSE)</f>
        <v>668</v>
      </c>
      <c r="D919" s="364">
        <v>317</v>
      </c>
      <c r="E919" s="274">
        <f t="shared" si="90"/>
        <v>0.52544910179640714</v>
      </c>
      <c r="F919" s="196">
        <f t="shared" si="91"/>
        <v>11.909689999999999</v>
      </c>
      <c r="G919" s="196">
        <f t="shared" si="92"/>
        <v>9.399049999999999</v>
      </c>
      <c r="H919" s="199">
        <f t="shared" si="93"/>
        <v>7.9345100000000004</v>
      </c>
      <c r="I919" s="49"/>
      <c r="J919" s="49"/>
      <c r="K919" s="49"/>
      <c r="L919" s="49"/>
      <c r="M919" s="49"/>
      <c r="N919" s="49"/>
      <c r="O919" s="49"/>
      <c r="P919" s="49"/>
      <c r="Q919" s="49"/>
      <c r="R919" s="49"/>
      <c r="S919" s="49"/>
      <c r="T919" s="49"/>
      <c r="U919" s="49"/>
      <c r="V919" s="49"/>
      <c r="W919" s="49"/>
      <c r="X919" s="49"/>
      <c r="Y919" s="49"/>
      <c r="Z919" s="49"/>
      <c r="AA919" s="49"/>
      <c r="AB919" s="49"/>
      <c r="AC919" s="49"/>
    </row>
    <row r="920" spans="1:29">
      <c r="A920" s="62" t="s">
        <v>132</v>
      </c>
      <c r="B920" s="61" t="s">
        <v>133</v>
      </c>
      <c r="C920" s="271">
        <f>VLOOKUP($A$8:$A$1487,'[7]MFP''s'!A$8:C$1502,3,FALSE)</f>
        <v>821</v>
      </c>
      <c r="D920" s="364">
        <v>389</v>
      </c>
      <c r="E920" s="274">
        <f t="shared" si="90"/>
        <v>0.52618757612667477</v>
      </c>
      <c r="F920" s="196">
        <f t="shared" si="91"/>
        <v>14.61473</v>
      </c>
      <c r="G920" s="196">
        <f t="shared" si="92"/>
        <v>11.533849999999999</v>
      </c>
      <c r="H920" s="199">
        <f t="shared" si="93"/>
        <v>9.7366700000000002</v>
      </c>
      <c r="I920" s="49"/>
      <c r="J920" s="49"/>
      <c r="K920" s="49"/>
      <c r="L920" s="49"/>
      <c r="M920" s="49"/>
      <c r="N920" s="49"/>
      <c r="O920" s="49"/>
      <c r="P920" s="49"/>
      <c r="Q920" s="49"/>
      <c r="R920" s="49"/>
      <c r="S920" s="49"/>
      <c r="T920" s="49"/>
      <c r="U920" s="49"/>
      <c r="V920" s="49"/>
      <c r="W920" s="49"/>
      <c r="X920" s="49"/>
      <c r="Y920" s="49"/>
      <c r="Z920" s="49"/>
      <c r="AA920" s="49"/>
      <c r="AB920" s="49"/>
      <c r="AC920" s="49"/>
    </row>
    <row r="921" spans="1:29">
      <c r="A921" s="62" t="s">
        <v>134</v>
      </c>
      <c r="B921" s="61" t="s">
        <v>135</v>
      </c>
      <c r="C921" s="271">
        <f>VLOOKUP($A$8:$A$1487,'[7]MFP''s'!A$8:C$1502,3,FALSE)</f>
        <v>690</v>
      </c>
      <c r="D921" s="364">
        <v>327</v>
      </c>
      <c r="E921" s="274">
        <f t="shared" si="90"/>
        <v>0.5260869565217392</v>
      </c>
      <c r="F921" s="196">
        <f t="shared" si="91"/>
        <v>12.28539</v>
      </c>
      <c r="G921" s="196">
        <f t="shared" si="92"/>
        <v>9.695549999999999</v>
      </c>
      <c r="H921" s="199">
        <f t="shared" si="93"/>
        <v>8.1848100000000006</v>
      </c>
      <c r="I921" s="49"/>
      <c r="J921" s="49"/>
      <c r="K921" s="49"/>
      <c r="L921" s="49"/>
      <c r="M921" s="49"/>
      <c r="N921" s="49"/>
      <c r="O921" s="49"/>
      <c r="P921" s="49"/>
      <c r="Q921" s="49"/>
      <c r="R921" s="49"/>
      <c r="S921" s="49"/>
      <c r="T921" s="49"/>
      <c r="U921" s="49"/>
      <c r="V921" s="49"/>
      <c r="W921" s="49"/>
      <c r="X921" s="49"/>
      <c r="Y921" s="49"/>
      <c r="Z921" s="49"/>
      <c r="AA921" s="49"/>
      <c r="AB921" s="49"/>
      <c r="AC921" s="49"/>
    </row>
    <row r="922" spans="1:29">
      <c r="A922" s="62" t="s">
        <v>136</v>
      </c>
      <c r="B922" s="61" t="s">
        <v>137</v>
      </c>
      <c r="C922" s="271">
        <f>VLOOKUP($A$8:$A$1487,'[7]MFP''s'!A$8:C$1502,3,FALSE)</f>
        <v>191</v>
      </c>
      <c r="D922" s="364">
        <v>91</v>
      </c>
      <c r="E922" s="274">
        <f t="shared" si="90"/>
        <v>0.52356020942408377</v>
      </c>
      <c r="F922" s="196">
        <f t="shared" si="91"/>
        <v>3.4188700000000001</v>
      </c>
      <c r="G922" s="196">
        <f t="shared" si="92"/>
        <v>2.69815</v>
      </c>
      <c r="H922" s="199">
        <f t="shared" si="93"/>
        <v>2.27773</v>
      </c>
      <c r="I922" s="49"/>
      <c r="J922" s="49"/>
      <c r="K922" s="49"/>
      <c r="L922" s="49"/>
      <c r="M922" s="49"/>
      <c r="N922" s="49"/>
      <c r="O922" s="49"/>
      <c r="P922" s="49"/>
      <c r="Q922" s="49"/>
      <c r="R922" s="49"/>
      <c r="S922" s="49"/>
      <c r="T922" s="49"/>
      <c r="U922" s="49"/>
      <c r="V922" s="49"/>
      <c r="W922" s="49"/>
      <c r="X922" s="49"/>
      <c r="Y922" s="49"/>
      <c r="Z922" s="49"/>
      <c r="AA922" s="49"/>
      <c r="AB922" s="49"/>
      <c r="AC922" s="49"/>
    </row>
    <row r="923" spans="1:29" ht="30">
      <c r="A923" s="62" t="s">
        <v>138</v>
      </c>
      <c r="B923" s="61" t="s">
        <v>139</v>
      </c>
      <c r="C923" s="271">
        <f>VLOOKUP($A$8:$A$1487,'[7]MFP''s'!A$8:C$1502,3,FALSE)</f>
        <v>1500</v>
      </c>
      <c r="D923" s="364">
        <v>711</v>
      </c>
      <c r="E923" s="274">
        <f t="shared" si="90"/>
        <v>0.52600000000000002</v>
      </c>
      <c r="F923" s="196">
        <f t="shared" si="91"/>
        <v>26.71227</v>
      </c>
      <c r="G923" s="196">
        <f t="shared" si="92"/>
        <v>21.081150000000001</v>
      </c>
      <c r="H923" s="199">
        <f t="shared" si="93"/>
        <v>17.796330000000001</v>
      </c>
      <c r="I923" s="49"/>
      <c r="J923" s="49"/>
      <c r="K923" s="49"/>
      <c r="L923" s="49"/>
      <c r="M923" s="49"/>
      <c r="N923" s="49"/>
      <c r="O923" s="49"/>
      <c r="P923" s="49"/>
      <c r="Q923" s="49"/>
      <c r="R923" s="49"/>
      <c r="S923" s="49"/>
      <c r="T923" s="49"/>
      <c r="U923" s="49"/>
      <c r="V923" s="49"/>
      <c r="W923" s="49"/>
      <c r="X923" s="49"/>
      <c r="Y923" s="49"/>
      <c r="Z923" s="49"/>
      <c r="AA923" s="49"/>
      <c r="AB923" s="49"/>
      <c r="AC923" s="49"/>
    </row>
    <row r="924" spans="1:29">
      <c r="A924" s="62" t="s">
        <v>140</v>
      </c>
      <c r="B924" s="61" t="s">
        <v>141</v>
      </c>
      <c r="C924" s="271">
        <f>VLOOKUP($A$8:$A$1487,'[7]MFP''s'!A$8:C$1502,3,FALSE)</f>
        <v>250</v>
      </c>
      <c r="D924" s="364">
        <v>119</v>
      </c>
      <c r="E924" s="274">
        <f t="shared" si="90"/>
        <v>0.52400000000000002</v>
      </c>
      <c r="F924" s="196">
        <f t="shared" si="91"/>
        <v>4.4708300000000003</v>
      </c>
      <c r="G924" s="196">
        <f t="shared" si="92"/>
        <v>3.5283500000000001</v>
      </c>
      <c r="H924" s="199">
        <f t="shared" si="93"/>
        <v>2.9785699999999999</v>
      </c>
      <c r="I924" s="49"/>
      <c r="J924" s="49"/>
      <c r="K924" s="49"/>
      <c r="L924" s="49"/>
      <c r="M924" s="49"/>
      <c r="N924" s="49"/>
      <c r="O924" s="49"/>
      <c r="P924" s="49"/>
      <c r="Q924" s="49"/>
      <c r="R924" s="49"/>
      <c r="S924" s="49"/>
      <c r="T924" s="49"/>
      <c r="U924" s="49"/>
      <c r="V924" s="49"/>
      <c r="W924" s="49"/>
      <c r="X924" s="49"/>
      <c r="Y924" s="49"/>
      <c r="Z924" s="49"/>
      <c r="AA924" s="49"/>
      <c r="AB924" s="49"/>
      <c r="AC924" s="49"/>
    </row>
    <row r="925" spans="1:29">
      <c r="A925" s="62" t="s">
        <v>142</v>
      </c>
      <c r="B925" s="61" t="s">
        <v>143</v>
      </c>
      <c r="C925" s="271">
        <f>VLOOKUP($A$8:$A$1487,'[7]MFP''s'!A$8:C$1502,3,FALSE)</f>
        <v>290</v>
      </c>
      <c r="D925" s="364">
        <v>138</v>
      </c>
      <c r="E925" s="274">
        <f t="shared" si="90"/>
        <v>0.5241379310344827</v>
      </c>
      <c r="F925" s="196">
        <f t="shared" si="91"/>
        <v>5.18466</v>
      </c>
      <c r="G925" s="196">
        <f t="shared" si="92"/>
        <v>4.0917000000000003</v>
      </c>
      <c r="H925" s="199">
        <f t="shared" si="93"/>
        <v>3.4541400000000002</v>
      </c>
      <c r="I925" s="49"/>
      <c r="J925" s="49"/>
      <c r="K925" s="49"/>
      <c r="L925" s="49"/>
      <c r="M925" s="49"/>
      <c r="N925" s="49"/>
      <c r="O925" s="49"/>
      <c r="P925" s="49"/>
      <c r="Q925" s="49"/>
      <c r="R925" s="49"/>
      <c r="S925" s="49"/>
      <c r="T925" s="49"/>
      <c r="U925" s="49"/>
      <c r="V925" s="49"/>
      <c r="W925" s="49"/>
      <c r="X925" s="49"/>
      <c r="Y925" s="49"/>
      <c r="Z925" s="49"/>
      <c r="AA925" s="49"/>
      <c r="AB925" s="49"/>
      <c r="AC925" s="49"/>
    </row>
    <row r="926" spans="1:29">
      <c r="A926" s="60" t="s">
        <v>47</v>
      </c>
      <c r="B926" s="65"/>
      <c r="C926" s="271"/>
      <c r="D926" s="364"/>
      <c r="E926" s="274"/>
      <c r="F926" s="196"/>
      <c r="G926" s="196"/>
      <c r="H926" s="199"/>
      <c r="I926" s="49"/>
      <c r="J926" s="49"/>
      <c r="K926" s="49"/>
      <c r="L926" s="49"/>
      <c r="M926" s="49"/>
      <c r="N926" s="49"/>
      <c r="O926" s="49"/>
      <c r="P926" s="49"/>
      <c r="Q926" s="49"/>
      <c r="R926" s="49"/>
      <c r="S926" s="49"/>
      <c r="T926" s="49"/>
      <c r="U926" s="49"/>
      <c r="V926" s="49"/>
      <c r="W926" s="49"/>
      <c r="X926" s="49"/>
      <c r="Y926" s="49"/>
      <c r="Z926" s="49"/>
      <c r="AA926" s="49"/>
      <c r="AB926" s="49"/>
      <c r="AC926" s="49"/>
    </row>
    <row r="927" spans="1:29">
      <c r="A927" s="62" t="s">
        <v>144</v>
      </c>
      <c r="B927" s="61" t="s">
        <v>145</v>
      </c>
      <c r="C927" s="271">
        <f>VLOOKUP($A$8:$A$1487,'[7]MFP''s'!A$8:C$1502,3,FALSE)</f>
        <v>947</v>
      </c>
      <c r="D927" s="364">
        <v>430</v>
      </c>
      <c r="E927" s="274">
        <f t="shared" si="90"/>
        <v>0.5459345300950369</v>
      </c>
      <c r="F927" s="196">
        <f t="shared" si="91"/>
        <v>16.155100000000001</v>
      </c>
      <c r="G927" s="196">
        <f t="shared" si="92"/>
        <v>12.749499999999999</v>
      </c>
      <c r="H927" s="199">
        <f t="shared" si="93"/>
        <v>10.7629</v>
      </c>
      <c r="I927" s="49"/>
      <c r="J927" s="49"/>
      <c r="K927" s="49"/>
      <c r="L927" s="49"/>
      <c r="M927" s="49"/>
      <c r="N927" s="49"/>
      <c r="O927" s="49"/>
      <c r="P927" s="49"/>
      <c r="Q927" s="49"/>
      <c r="R927" s="49"/>
      <c r="S927" s="49"/>
      <c r="T927" s="49"/>
      <c r="U927" s="49"/>
      <c r="V927" s="49"/>
      <c r="W927" s="49"/>
      <c r="X927" s="49"/>
      <c r="Y927" s="49"/>
      <c r="Z927" s="49"/>
      <c r="AA927" s="49"/>
      <c r="AB927" s="49"/>
      <c r="AC927" s="49"/>
    </row>
    <row r="928" spans="1:29">
      <c r="A928" s="62">
        <v>7640005064</v>
      </c>
      <c r="B928" s="61" t="s">
        <v>67</v>
      </c>
      <c r="C928" s="271">
        <f>VLOOKUP($A$8:$A$1487,'[7]MFP''s'!A$8:C$1502,3,FALSE)</f>
        <v>423</v>
      </c>
      <c r="D928" s="364">
        <v>201</v>
      </c>
      <c r="E928" s="274">
        <f t="shared" si="90"/>
        <v>0.52482269503546097</v>
      </c>
      <c r="F928" s="196">
        <f t="shared" si="91"/>
        <v>7.5515699999999999</v>
      </c>
      <c r="G928" s="196">
        <f t="shared" si="92"/>
        <v>5.9596499999999999</v>
      </c>
      <c r="H928" s="199">
        <f t="shared" si="93"/>
        <v>5.0310300000000003</v>
      </c>
      <c r="I928" s="49"/>
      <c r="J928" s="49"/>
      <c r="K928" s="49"/>
      <c r="L928" s="49"/>
      <c r="M928" s="49"/>
      <c r="N928" s="49"/>
      <c r="O928" s="49"/>
      <c r="P928" s="49"/>
      <c r="Q928" s="49"/>
      <c r="R928" s="49"/>
      <c r="S928" s="49"/>
      <c r="T928" s="49"/>
      <c r="U928" s="49"/>
      <c r="V928" s="49"/>
      <c r="W928" s="49"/>
      <c r="X928" s="49"/>
      <c r="Y928" s="49"/>
      <c r="Z928" s="49"/>
      <c r="AA928" s="49"/>
      <c r="AB928" s="49"/>
      <c r="AC928" s="49"/>
    </row>
    <row r="929" spans="1:29">
      <c r="A929" s="62">
        <v>7640008394</v>
      </c>
      <c r="B929" s="61" t="s">
        <v>68</v>
      </c>
      <c r="C929" s="271">
        <f>VLOOKUP($A$8:$A$1487,'[7]MFP''s'!A$8:C$1502,3,FALSE)</f>
        <v>476</v>
      </c>
      <c r="D929" s="364">
        <v>226</v>
      </c>
      <c r="E929" s="274">
        <f t="shared" si="90"/>
        <v>0.52521008403361347</v>
      </c>
      <c r="F929" s="196">
        <f t="shared" si="91"/>
        <v>8.4908199999999994</v>
      </c>
      <c r="G929" s="196">
        <f t="shared" si="92"/>
        <v>6.7008999999999999</v>
      </c>
      <c r="H929" s="199">
        <f t="shared" si="93"/>
        <v>5.6567800000000004</v>
      </c>
      <c r="I929" s="49"/>
      <c r="J929" s="49"/>
      <c r="K929" s="49"/>
      <c r="L929" s="49"/>
      <c r="M929" s="49"/>
      <c r="N929" s="49"/>
      <c r="O929" s="49"/>
      <c r="P929" s="49"/>
      <c r="Q929" s="49"/>
      <c r="R929" s="49"/>
      <c r="S929" s="49"/>
      <c r="T929" s="49"/>
      <c r="U929" s="49"/>
      <c r="V929" s="49"/>
      <c r="W929" s="49"/>
      <c r="X929" s="49"/>
      <c r="Y929" s="49"/>
      <c r="Z929" s="49"/>
      <c r="AA929" s="49"/>
      <c r="AB929" s="49"/>
      <c r="AC929" s="49"/>
    </row>
    <row r="930" spans="1:29">
      <c r="A930" s="62">
        <v>7640013468</v>
      </c>
      <c r="B930" s="61" t="s">
        <v>146</v>
      </c>
      <c r="C930" s="271">
        <f>VLOOKUP($A$8:$A$1487,'[7]MFP''s'!A$8:C$1502,3,FALSE)</f>
        <v>423</v>
      </c>
      <c r="D930" s="364">
        <v>201</v>
      </c>
      <c r="E930" s="274">
        <f t="shared" si="90"/>
        <v>0.52482269503546097</v>
      </c>
      <c r="F930" s="196">
        <f t="shared" si="91"/>
        <v>7.5515699999999999</v>
      </c>
      <c r="G930" s="196">
        <f t="shared" si="92"/>
        <v>5.9596499999999999</v>
      </c>
      <c r="H930" s="199">
        <f t="shared" si="93"/>
        <v>5.0310300000000003</v>
      </c>
      <c r="I930" s="49"/>
      <c r="J930" s="49"/>
      <c r="K930" s="49"/>
      <c r="L930" s="49"/>
      <c r="M930" s="49"/>
      <c r="N930" s="49"/>
      <c r="O930" s="49"/>
      <c r="P930" s="49"/>
      <c r="Q930" s="49"/>
      <c r="R930" s="49"/>
      <c r="S930" s="49"/>
      <c r="T930" s="49"/>
      <c r="U930" s="49"/>
      <c r="V930" s="49"/>
      <c r="W930" s="49"/>
      <c r="X930" s="49"/>
      <c r="Y930" s="49"/>
      <c r="Z930" s="49"/>
      <c r="AA930" s="49"/>
      <c r="AB930" s="49"/>
      <c r="AC930" s="49"/>
    </row>
    <row r="931" spans="1:29">
      <c r="A931" s="62" t="s">
        <v>147</v>
      </c>
      <c r="B931" s="61" t="s">
        <v>375</v>
      </c>
      <c r="C931" s="271">
        <f>VLOOKUP($A$8:$A$1487,'[7]MFP''s'!A$8:C$1502,3,FALSE)</f>
        <v>846</v>
      </c>
      <c r="D931" s="364">
        <v>401</v>
      </c>
      <c r="E931" s="274">
        <f t="shared" si="90"/>
        <v>0.52600472813238763</v>
      </c>
      <c r="F931" s="196">
        <f t="shared" si="91"/>
        <v>15.065569999999999</v>
      </c>
      <c r="G931" s="196">
        <f t="shared" si="92"/>
        <v>11.88965</v>
      </c>
      <c r="H931" s="199">
        <f t="shared" si="93"/>
        <v>10.03703</v>
      </c>
      <c r="I931" s="49"/>
      <c r="J931" s="49"/>
      <c r="K931" s="49"/>
      <c r="L931" s="49"/>
      <c r="M931" s="49"/>
      <c r="N931" s="49"/>
      <c r="O931" s="49"/>
      <c r="P931" s="49"/>
      <c r="Q931" s="49"/>
      <c r="R931" s="49"/>
      <c r="S931" s="49"/>
      <c r="T931" s="49"/>
      <c r="U931" s="49"/>
      <c r="V931" s="49"/>
      <c r="W931" s="49"/>
      <c r="X931" s="49"/>
      <c r="Y931" s="49"/>
      <c r="Z931" s="49"/>
      <c r="AA931" s="49"/>
      <c r="AB931" s="49"/>
      <c r="AC931" s="49"/>
    </row>
    <row r="932" spans="1:29">
      <c r="A932" s="62" t="s">
        <v>149</v>
      </c>
      <c r="B932" s="61" t="s">
        <v>150</v>
      </c>
      <c r="C932" s="271">
        <f>VLOOKUP($A$8:$A$1487,'[7]MFP''s'!A$8:C$1502,3,FALSE)</f>
        <v>60</v>
      </c>
      <c r="D932" s="364">
        <v>29</v>
      </c>
      <c r="E932" s="274">
        <f t="shared" si="90"/>
        <v>0.51666666666666661</v>
      </c>
      <c r="F932" s="196">
        <f t="shared" si="91"/>
        <v>1.0895299999999999</v>
      </c>
      <c r="G932" s="196">
        <f t="shared" si="92"/>
        <v>0.85985</v>
      </c>
      <c r="H932" s="199">
        <f t="shared" si="93"/>
        <v>0.72587000000000002</v>
      </c>
      <c r="I932" s="49"/>
      <c r="J932" s="49"/>
      <c r="K932" s="49"/>
      <c r="L932" s="49"/>
      <c r="M932" s="49"/>
      <c r="N932" s="49"/>
      <c r="O932" s="49"/>
      <c r="P932" s="49"/>
      <c r="Q932" s="49"/>
      <c r="R932" s="49"/>
      <c r="S932" s="49"/>
      <c r="T932" s="49"/>
      <c r="U932" s="49"/>
      <c r="V932" s="49"/>
      <c r="W932" s="49"/>
      <c r="X932" s="49"/>
      <c r="Y932" s="49"/>
      <c r="Z932" s="49"/>
      <c r="AA932" s="49"/>
      <c r="AB932" s="49"/>
      <c r="AC932" s="49"/>
    </row>
    <row r="933" spans="1:29">
      <c r="A933" s="62" t="s">
        <v>151</v>
      </c>
      <c r="B933" s="61" t="s">
        <v>152</v>
      </c>
      <c r="C933" s="271">
        <f>VLOOKUP($A$8:$A$1487,'[7]MFP''s'!A$8:C$1502,3,FALSE)</f>
        <v>200</v>
      </c>
      <c r="D933" s="364">
        <v>95</v>
      </c>
      <c r="E933" s="274">
        <f t="shared" si="90"/>
        <v>0.52500000000000002</v>
      </c>
      <c r="F933" s="196">
        <f t="shared" si="91"/>
        <v>3.56915</v>
      </c>
      <c r="G933" s="196">
        <f t="shared" si="92"/>
        <v>2.8167499999999999</v>
      </c>
      <c r="H933" s="199">
        <f t="shared" si="93"/>
        <v>2.37785</v>
      </c>
      <c r="I933" s="49"/>
      <c r="J933" s="49"/>
      <c r="K933" s="49"/>
      <c r="L933" s="49"/>
      <c r="M933" s="49"/>
      <c r="N933" s="49"/>
      <c r="O933" s="49"/>
      <c r="P933" s="49"/>
      <c r="Q933" s="49"/>
      <c r="R933" s="49"/>
      <c r="S933" s="49"/>
      <c r="T933" s="49"/>
      <c r="U933" s="49"/>
      <c r="V933" s="49"/>
      <c r="W933" s="49"/>
      <c r="X933" s="49"/>
      <c r="Y933" s="49"/>
      <c r="Z933" s="49"/>
      <c r="AA933" s="49"/>
      <c r="AB933" s="49"/>
      <c r="AC933" s="49"/>
    </row>
    <row r="934" spans="1:29">
      <c r="A934" s="62" t="s">
        <v>153</v>
      </c>
      <c r="B934" s="61" t="s">
        <v>154</v>
      </c>
      <c r="C934" s="271">
        <f>VLOOKUP($A$8:$A$1487,'[7]MFP''s'!A$8:C$1502,3,FALSE)</f>
        <v>279</v>
      </c>
      <c r="D934" s="364">
        <v>133</v>
      </c>
      <c r="E934" s="274">
        <f t="shared" ref="E934:E997" si="94">100%-(D934/C934)</f>
        <v>0.52329749103942658</v>
      </c>
      <c r="F934" s="196">
        <f t="shared" si="91"/>
        <v>4.99681</v>
      </c>
      <c r="G934" s="196">
        <f t="shared" si="92"/>
        <v>3.9434499999999999</v>
      </c>
      <c r="H934" s="199">
        <f t="shared" si="93"/>
        <v>3.3289900000000001</v>
      </c>
      <c r="I934" s="49"/>
      <c r="J934" s="49"/>
      <c r="K934" s="49"/>
      <c r="L934" s="49"/>
      <c r="M934" s="49"/>
      <c r="N934" s="49"/>
      <c r="O934" s="49"/>
      <c r="P934" s="49"/>
      <c r="Q934" s="49"/>
      <c r="R934" s="49"/>
      <c r="S934" s="49"/>
      <c r="T934" s="49"/>
      <c r="U934" s="49"/>
      <c r="V934" s="49"/>
      <c r="W934" s="49"/>
      <c r="X934" s="49"/>
      <c r="Y934" s="49"/>
      <c r="Z934" s="49"/>
      <c r="AA934" s="49"/>
      <c r="AB934" s="49"/>
      <c r="AC934" s="49"/>
    </row>
    <row r="935" spans="1:29">
      <c r="A935" s="63">
        <v>7640006869</v>
      </c>
      <c r="B935" s="61" t="s">
        <v>155</v>
      </c>
      <c r="C935" s="271">
        <f>VLOOKUP($A$8:$A$1487,'[7]MFP''s'!A$8:C$1502,3,FALSE)</f>
        <v>223</v>
      </c>
      <c r="D935" s="364">
        <v>106</v>
      </c>
      <c r="E935" s="274">
        <f t="shared" si="94"/>
        <v>0.5246636771300448</v>
      </c>
      <c r="F935" s="196">
        <f t="shared" si="91"/>
        <v>3.9824199999999998</v>
      </c>
      <c r="G935" s="196">
        <f t="shared" si="92"/>
        <v>3.1429</v>
      </c>
      <c r="H935" s="199">
        <f t="shared" si="93"/>
        <v>2.6531799999999999</v>
      </c>
      <c r="I935" s="49"/>
      <c r="J935" s="49"/>
      <c r="K935" s="49"/>
      <c r="L935" s="49"/>
      <c r="M935" s="49"/>
      <c r="N935" s="49"/>
      <c r="O935" s="49"/>
      <c r="P935" s="49"/>
      <c r="Q935" s="49"/>
      <c r="R935" s="49"/>
      <c r="S935" s="49"/>
      <c r="T935" s="49"/>
      <c r="U935" s="49"/>
      <c r="V935" s="49"/>
      <c r="W935" s="49"/>
      <c r="X935" s="49"/>
      <c r="Y935" s="49"/>
      <c r="Z935" s="49"/>
      <c r="AA935" s="49"/>
      <c r="AB935" s="49"/>
      <c r="AC935" s="49"/>
    </row>
    <row r="936" spans="1:29">
      <c r="A936" s="62" t="s">
        <v>156</v>
      </c>
      <c r="B936" s="61" t="s">
        <v>157</v>
      </c>
      <c r="C936" s="271">
        <f>VLOOKUP($A$8:$A$1487,'[7]MFP''s'!A$8:C$1502,3,FALSE)</f>
        <v>126</v>
      </c>
      <c r="D936" s="364">
        <v>60</v>
      </c>
      <c r="E936" s="274">
        <f t="shared" si="94"/>
        <v>0.52380952380952384</v>
      </c>
      <c r="F936" s="196">
        <f t="shared" si="91"/>
        <v>2.2542</v>
      </c>
      <c r="G936" s="196">
        <f t="shared" si="92"/>
        <v>1.7789999999999999</v>
      </c>
      <c r="H936" s="199">
        <f t="shared" si="93"/>
        <v>1.5018</v>
      </c>
      <c r="I936" s="49"/>
      <c r="J936" s="49"/>
      <c r="K936" s="49"/>
      <c r="L936" s="49"/>
      <c r="M936" s="49"/>
      <c r="N936" s="49"/>
      <c r="O936" s="49"/>
      <c r="P936" s="49"/>
      <c r="Q936" s="49"/>
      <c r="R936" s="49"/>
      <c r="S936" s="49"/>
      <c r="T936" s="49"/>
      <c r="U936" s="49"/>
      <c r="V936" s="49"/>
      <c r="W936" s="49"/>
      <c r="X936" s="49"/>
      <c r="Y936" s="49"/>
      <c r="Z936" s="49"/>
      <c r="AA936" s="49"/>
      <c r="AB936" s="49"/>
      <c r="AC936" s="49"/>
    </row>
    <row r="937" spans="1:29">
      <c r="A937" s="62" t="s">
        <v>158</v>
      </c>
      <c r="B937" s="61" t="s">
        <v>159</v>
      </c>
      <c r="C937" s="271">
        <f>VLOOKUP($A$8:$A$1487,'[7]MFP''s'!A$8:C$1502,3,FALSE)</f>
        <v>123</v>
      </c>
      <c r="D937" s="364">
        <v>59</v>
      </c>
      <c r="E937" s="274">
        <f t="shared" si="94"/>
        <v>0.52032520325203246</v>
      </c>
      <c r="F937" s="196">
        <f t="shared" si="91"/>
        <v>2.2166299999999999</v>
      </c>
      <c r="G937" s="196">
        <f t="shared" si="92"/>
        <v>1.74935</v>
      </c>
      <c r="H937" s="199">
        <f t="shared" si="93"/>
        <v>1.4767699999999999</v>
      </c>
      <c r="I937" s="49"/>
      <c r="J937" s="49"/>
      <c r="K937" s="49"/>
      <c r="L937" s="49"/>
      <c r="M937" s="49"/>
      <c r="N937" s="49"/>
      <c r="O937" s="49"/>
      <c r="P937" s="49"/>
      <c r="Q937" s="49"/>
      <c r="R937" s="49"/>
      <c r="S937" s="49"/>
      <c r="T937" s="49"/>
      <c r="U937" s="49"/>
      <c r="V937" s="49"/>
      <c r="W937" s="49"/>
      <c r="X937" s="49"/>
      <c r="Y937" s="49"/>
      <c r="Z937" s="49"/>
      <c r="AA937" s="49"/>
      <c r="AB937" s="49"/>
      <c r="AC937" s="49"/>
    </row>
    <row r="938" spans="1:29">
      <c r="A938" s="62" t="s">
        <v>160</v>
      </c>
      <c r="B938" s="61" t="s">
        <v>161</v>
      </c>
      <c r="C938" s="271">
        <f>VLOOKUP($A$8:$A$1487,'[7]MFP''s'!A$8:C$1502,3,FALSE)</f>
        <v>112</v>
      </c>
      <c r="D938" s="364">
        <v>54</v>
      </c>
      <c r="E938" s="274">
        <f t="shared" si="94"/>
        <v>0.51785714285714279</v>
      </c>
      <c r="F938" s="196">
        <f t="shared" si="91"/>
        <v>2.0287799999999998</v>
      </c>
      <c r="G938" s="196">
        <f t="shared" si="92"/>
        <v>1.6011</v>
      </c>
      <c r="H938" s="199">
        <f t="shared" si="93"/>
        <v>1.35162</v>
      </c>
      <c r="I938" s="49"/>
      <c r="J938" s="49"/>
      <c r="K938" s="49"/>
      <c r="L938" s="49"/>
      <c r="M938" s="49"/>
      <c r="N938" s="49"/>
      <c r="O938" s="49"/>
      <c r="P938" s="49"/>
      <c r="Q938" s="49"/>
      <c r="R938" s="49"/>
      <c r="S938" s="49"/>
      <c r="T938" s="49"/>
      <c r="U938" s="49"/>
      <c r="V938" s="49"/>
      <c r="W938" s="49"/>
      <c r="X938" s="49"/>
      <c r="Y938" s="49"/>
      <c r="Z938" s="49"/>
      <c r="AA938" s="49"/>
      <c r="AB938" s="49"/>
      <c r="AC938" s="49"/>
    </row>
    <row r="939" spans="1:29" ht="30">
      <c r="A939" s="62">
        <v>4623474</v>
      </c>
      <c r="B939" s="61" t="s">
        <v>162</v>
      </c>
      <c r="C939" s="271">
        <f>VLOOKUP($A$8:$A$1487,'[7]MFP''s'!A$8:C$1502,3,FALSE)</f>
        <v>86</v>
      </c>
      <c r="D939" s="364">
        <v>41</v>
      </c>
      <c r="E939" s="274">
        <f t="shared" si="94"/>
        <v>0.52325581395348841</v>
      </c>
      <c r="F939" s="196">
        <f t="shared" si="91"/>
        <v>1.54037</v>
      </c>
      <c r="G939" s="196">
        <f t="shared" si="92"/>
        <v>1.2156499999999999</v>
      </c>
      <c r="H939" s="199">
        <f t="shared" si="93"/>
        <v>1.02623</v>
      </c>
      <c r="I939" s="49"/>
      <c r="J939" s="49"/>
      <c r="K939" s="49"/>
      <c r="L939" s="49"/>
      <c r="M939" s="49"/>
      <c r="N939" s="49"/>
      <c r="O939" s="49"/>
      <c r="P939" s="49"/>
      <c r="Q939" s="49"/>
      <c r="R939" s="49"/>
      <c r="S939" s="49"/>
      <c r="T939" s="49"/>
      <c r="U939" s="49"/>
      <c r="V939" s="49"/>
      <c r="W939" s="49"/>
      <c r="X939" s="49"/>
      <c r="Y939" s="49"/>
      <c r="Z939" s="49"/>
      <c r="AA939" s="49"/>
      <c r="AB939" s="49"/>
      <c r="AC939" s="49"/>
    </row>
    <row r="940" spans="1:29">
      <c r="A940" s="63">
        <v>7640005261</v>
      </c>
      <c r="B940" s="61" t="s">
        <v>163</v>
      </c>
      <c r="C940" s="271">
        <f>VLOOKUP($A$8:$A$1487,'[7]MFP''s'!A$8:C$1502,3,FALSE)</f>
        <v>69</v>
      </c>
      <c r="D940" s="364">
        <v>33</v>
      </c>
      <c r="E940" s="274">
        <f t="shared" si="94"/>
        <v>0.52173913043478259</v>
      </c>
      <c r="F940" s="196">
        <f t="shared" si="91"/>
        <v>1.2398100000000001</v>
      </c>
      <c r="G940" s="196">
        <f t="shared" si="92"/>
        <v>0.97844999999999993</v>
      </c>
      <c r="H940" s="199">
        <f t="shared" si="93"/>
        <v>0.82599</v>
      </c>
      <c r="I940" s="49"/>
      <c r="J940" s="49"/>
      <c r="K940" s="49"/>
      <c r="L940" s="49"/>
      <c r="M940" s="49"/>
      <c r="N940" s="49"/>
      <c r="O940" s="49"/>
      <c r="P940" s="49"/>
      <c r="Q940" s="49"/>
      <c r="R940" s="49"/>
      <c r="S940" s="49"/>
      <c r="T940" s="49"/>
      <c r="U940" s="49"/>
      <c r="V940" s="49"/>
      <c r="W940" s="49"/>
      <c r="X940" s="49"/>
      <c r="Y940" s="49"/>
      <c r="Z940" s="49"/>
      <c r="AA940" s="49"/>
      <c r="AB940" s="49"/>
      <c r="AC940" s="49"/>
    </row>
    <row r="941" spans="1:29">
      <c r="A941" s="62" t="s">
        <v>164</v>
      </c>
      <c r="B941" s="61" t="s">
        <v>165</v>
      </c>
      <c r="C941" s="271">
        <f>VLOOKUP($A$8:$A$1487,'[7]MFP''s'!A$8:C$1502,3,FALSE)</f>
        <v>1225</v>
      </c>
      <c r="D941" s="364">
        <v>581</v>
      </c>
      <c r="E941" s="274">
        <f t="shared" si="94"/>
        <v>0.52571428571428569</v>
      </c>
      <c r="F941" s="196">
        <f t="shared" si="91"/>
        <v>21.82817</v>
      </c>
      <c r="G941" s="196">
        <f t="shared" si="92"/>
        <v>17.226649999999999</v>
      </c>
      <c r="H941" s="199">
        <f t="shared" si="93"/>
        <v>14.54243</v>
      </c>
      <c r="I941" s="49"/>
      <c r="J941" s="49"/>
      <c r="K941" s="49"/>
      <c r="L941" s="49"/>
      <c r="M941" s="49"/>
      <c r="N941" s="49"/>
      <c r="O941" s="49"/>
      <c r="P941" s="49"/>
      <c r="Q941" s="49"/>
      <c r="R941" s="49"/>
      <c r="S941" s="49"/>
      <c r="T941" s="49"/>
      <c r="U941" s="49"/>
      <c r="V941" s="49"/>
      <c r="W941" s="49"/>
      <c r="X941" s="49"/>
      <c r="Y941" s="49"/>
      <c r="Z941" s="49"/>
      <c r="AA941" s="49"/>
      <c r="AB941" s="49"/>
      <c r="AC941" s="49"/>
    </row>
    <row r="942" spans="1:29" s="173" customFormat="1">
      <c r="A942" s="62" t="s">
        <v>387</v>
      </c>
      <c r="B942" s="78" t="s">
        <v>388</v>
      </c>
      <c r="C942" s="271">
        <f>VLOOKUP($A$8:$A$1487,'[7]MFP''s'!A$8:C$1502,3,FALSE)</f>
        <v>307</v>
      </c>
      <c r="D942" s="364">
        <v>272</v>
      </c>
      <c r="E942" s="274">
        <f t="shared" si="94"/>
        <v>0.11400651465798051</v>
      </c>
      <c r="F942" s="196">
        <f t="shared" si="91"/>
        <v>10.21904</v>
      </c>
      <c r="G942" s="196">
        <f t="shared" si="92"/>
        <v>8.0648</v>
      </c>
      <c r="H942" s="199">
        <f t="shared" si="93"/>
        <v>6.80816</v>
      </c>
      <c r="J942" s="172"/>
      <c r="K942" s="172"/>
      <c r="L942" s="172"/>
    </row>
    <row r="943" spans="1:29">
      <c r="A943" s="93">
        <v>7640013463</v>
      </c>
      <c r="B943" s="61" t="s">
        <v>55</v>
      </c>
      <c r="C943" s="271">
        <f>VLOOKUP($A$8:$A$1487,'[7]MFP''s'!A$8:C$1502,3,FALSE)</f>
        <v>317</v>
      </c>
      <c r="D943" s="364">
        <v>151</v>
      </c>
      <c r="E943" s="274">
        <f t="shared" si="94"/>
        <v>0.52365930599369093</v>
      </c>
      <c r="F943" s="196">
        <f t="shared" si="91"/>
        <v>5.6730700000000001</v>
      </c>
      <c r="G943" s="196">
        <f t="shared" si="92"/>
        <v>4.47715</v>
      </c>
      <c r="H943" s="199">
        <f t="shared" si="93"/>
        <v>3.7795299999999998</v>
      </c>
      <c r="M943" s="49"/>
      <c r="N943" s="49"/>
      <c r="O943" s="49"/>
      <c r="P943" s="49"/>
      <c r="Q943" s="49"/>
      <c r="R943" s="49"/>
      <c r="S943" s="49"/>
      <c r="T943" s="49"/>
      <c r="U943" s="49"/>
      <c r="V943" s="49"/>
      <c r="W943" s="49"/>
      <c r="X943" s="49"/>
      <c r="Y943" s="49"/>
      <c r="Z943" s="49"/>
      <c r="AA943" s="49"/>
      <c r="AB943" s="49"/>
      <c r="AC943" s="49"/>
    </row>
    <row r="944" spans="1:29">
      <c r="A944" s="63" t="s">
        <v>166</v>
      </c>
      <c r="B944" s="61" t="s">
        <v>167</v>
      </c>
      <c r="C944" s="271">
        <f>VLOOKUP($A$8:$A$1487,'[7]MFP''s'!A$8:C$1502,3,FALSE)</f>
        <v>30</v>
      </c>
      <c r="D944" s="364">
        <v>15</v>
      </c>
      <c r="E944" s="274">
        <f t="shared" si="94"/>
        <v>0.5</v>
      </c>
      <c r="F944" s="196">
        <f t="shared" si="91"/>
        <v>0.56355</v>
      </c>
      <c r="G944" s="196">
        <f t="shared" si="92"/>
        <v>0.44474999999999998</v>
      </c>
      <c r="H944" s="199">
        <f t="shared" si="93"/>
        <v>0.37545000000000001</v>
      </c>
      <c r="M944" s="49"/>
      <c r="N944" s="49"/>
      <c r="O944" s="49"/>
      <c r="P944" s="49"/>
      <c r="Q944" s="49"/>
      <c r="R944" s="49"/>
      <c r="S944" s="49"/>
      <c r="T944" s="49"/>
      <c r="U944" s="49"/>
      <c r="V944" s="49"/>
      <c r="W944" s="49"/>
      <c r="X944" s="49"/>
      <c r="Y944" s="49"/>
      <c r="Z944" s="49"/>
      <c r="AA944" s="49"/>
      <c r="AB944" s="49"/>
      <c r="AC944" s="49"/>
    </row>
    <row r="945" spans="1:29">
      <c r="A945" s="60" t="s">
        <v>380</v>
      </c>
      <c r="B945" s="61"/>
      <c r="C945" s="271"/>
      <c r="D945" s="364"/>
      <c r="E945" s="274"/>
      <c r="F945" s="196"/>
      <c r="G945" s="196"/>
      <c r="H945" s="199"/>
      <c r="M945" s="49"/>
      <c r="N945" s="49"/>
      <c r="O945" s="49"/>
      <c r="P945" s="49"/>
      <c r="Q945" s="49"/>
      <c r="R945" s="49"/>
      <c r="S945" s="49"/>
      <c r="T945" s="49"/>
      <c r="U945" s="49"/>
      <c r="V945" s="49"/>
      <c r="W945" s="49"/>
      <c r="X945" s="49"/>
      <c r="Y945" s="49"/>
      <c r="Z945" s="49"/>
      <c r="AA945" s="49"/>
      <c r="AB945" s="49"/>
      <c r="AC945" s="49"/>
    </row>
    <row r="946" spans="1:29">
      <c r="A946" s="71" t="s">
        <v>168</v>
      </c>
      <c r="B946" s="61" t="s">
        <v>169</v>
      </c>
      <c r="C946" s="271">
        <f>VLOOKUP($A$8:$A$1487,'[7]MFP''s'!A$8:C$1502,3,FALSE)</f>
        <v>250</v>
      </c>
      <c r="D946" s="364">
        <v>250</v>
      </c>
      <c r="E946" s="274">
        <f t="shared" si="94"/>
        <v>0</v>
      </c>
      <c r="F946" s="196">
        <f t="shared" si="91"/>
        <v>9.3925000000000001</v>
      </c>
      <c r="G946" s="196">
        <f t="shared" si="92"/>
        <v>7.4124999999999996</v>
      </c>
      <c r="H946" s="199">
        <f t="shared" si="93"/>
        <v>6.2575000000000003</v>
      </c>
      <c r="M946" s="49"/>
      <c r="N946" s="49"/>
      <c r="O946" s="49"/>
      <c r="P946" s="49"/>
      <c r="Q946" s="49"/>
      <c r="R946" s="49"/>
      <c r="S946" s="49"/>
      <c r="T946" s="49"/>
      <c r="U946" s="49"/>
      <c r="V946" s="49"/>
      <c r="W946" s="49"/>
      <c r="X946" s="49"/>
      <c r="Y946" s="49"/>
      <c r="Z946" s="49"/>
      <c r="AA946" s="49"/>
      <c r="AB946" s="49"/>
      <c r="AC946" s="49"/>
    </row>
    <row r="947" spans="1:29">
      <c r="A947" s="212"/>
      <c r="B947" s="213"/>
      <c r="C947" s="215"/>
      <c r="D947" s="369"/>
      <c r="E947" s="215"/>
      <c r="F947" s="215"/>
      <c r="G947" s="215"/>
      <c r="H947" s="216"/>
      <c r="M947" s="49"/>
      <c r="N947" s="49"/>
      <c r="O947" s="49"/>
      <c r="P947" s="49"/>
      <c r="Q947" s="49"/>
      <c r="R947" s="49"/>
      <c r="S947" s="49"/>
      <c r="T947" s="49"/>
      <c r="U947" s="49"/>
      <c r="V947" s="49"/>
      <c r="W947" s="49"/>
      <c r="X947" s="49"/>
      <c r="Y947" s="49"/>
      <c r="Z947" s="49"/>
      <c r="AA947" s="49"/>
      <c r="AB947" s="49"/>
      <c r="AC947" s="49"/>
    </row>
    <row r="948" spans="1:29" ht="120">
      <c r="A948" s="220" t="s">
        <v>300</v>
      </c>
      <c r="B948" s="221" t="s">
        <v>690</v>
      </c>
      <c r="C948" s="271">
        <f>VLOOKUP($A$8:$A$1487,'[7]MFP''s'!A$8:C$1502,3,FALSE)</f>
        <v>33813</v>
      </c>
      <c r="D948" s="364">
        <v>17374</v>
      </c>
      <c r="E948" s="274">
        <f t="shared" si="94"/>
        <v>0.48617395676219211</v>
      </c>
      <c r="F948" s="196">
        <f t="shared" si="91"/>
        <v>652.74117999999999</v>
      </c>
      <c r="G948" s="196">
        <f t="shared" si="92"/>
        <v>515.13909999999998</v>
      </c>
      <c r="H948" s="199">
        <f t="shared" si="93"/>
        <v>434.87121999999999</v>
      </c>
      <c r="J948" s="184"/>
      <c r="M948" s="49"/>
      <c r="N948" s="49"/>
      <c r="O948" s="49"/>
      <c r="P948" s="49"/>
      <c r="Q948" s="49"/>
      <c r="R948" s="49"/>
      <c r="S948" s="49"/>
      <c r="T948" s="49"/>
      <c r="U948" s="49"/>
      <c r="V948" s="49"/>
      <c r="W948" s="49"/>
      <c r="X948" s="49"/>
      <c r="Y948" s="49"/>
      <c r="Z948" s="49"/>
      <c r="AA948" s="49"/>
      <c r="AB948" s="49"/>
      <c r="AC948" s="49"/>
    </row>
    <row r="949" spans="1:29">
      <c r="A949" s="195" t="s">
        <v>384</v>
      </c>
      <c r="B949" s="197"/>
      <c r="C949" s="271"/>
      <c r="D949" s="357"/>
      <c r="E949" s="274"/>
      <c r="F949" s="196"/>
      <c r="G949" s="196"/>
      <c r="H949" s="199"/>
      <c r="M949" s="49"/>
      <c r="N949" s="49"/>
      <c r="O949" s="49"/>
      <c r="P949" s="49"/>
      <c r="Q949" s="49"/>
      <c r="R949" s="49"/>
      <c r="S949" s="49"/>
      <c r="T949" s="49"/>
      <c r="U949" s="49"/>
      <c r="V949" s="49"/>
      <c r="W949" s="49"/>
      <c r="X949" s="49"/>
      <c r="Y949" s="49"/>
      <c r="Z949" s="49"/>
      <c r="AA949" s="49"/>
      <c r="AB949" s="49"/>
      <c r="AC949" s="49"/>
    </row>
    <row r="950" spans="1:29">
      <c r="A950" s="60" t="s">
        <v>75</v>
      </c>
      <c r="B950" s="65"/>
      <c r="C950" s="271"/>
      <c r="D950" s="364"/>
      <c r="E950" s="274"/>
      <c r="F950" s="196"/>
      <c r="G950" s="196"/>
      <c r="H950" s="199"/>
      <c r="J950" s="72"/>
      <c r="K950" s="185"/>
      <c r="M950" s="49"/>
      <c r="N950" s="49"/>
      <c r="O950" s="49"/>
      <c r="P950" s="49"/>
      <c r="Q950" s="49"/>
      <c r="R950" s="49"/>
      <c r="S950" s="49"/>
      <c r="T950" s="49"/>
      <c r="U950" s="49"/>
      <c r="V950" s="49"/>
      <c r="W950" s="49"/>
      <c r="X950" s="49"/>
      <c r="Y950" s="49"/>
      <c r="Z950" s="49"/>
      <c r="AA950" s="49"/>
      <c r="AB950" s="49"/>
      <c r="AC950" s="49"/>
    </row>
    <row r="951" spans="1:29">
      <c r="A951" s="62" t="s">
        <v>174</v>
      </c>
      <c r="B951" s="61" t="s">
        <v>175</v>
      </c>
      <c r="C951" s="271">
        <f>VLOOKUP($A$8:$A$1487,'[7]MFP''s'!A$8:C$1502,3,FALSE)</f>
        <v>3339</v>
      </c>
      <c r="D951" s="364">
        <v>1582</v>
      </c>
      <c r="E951" s="274">
        <f t="shared" si="94"/>
        <v>0.52620545073375258</v>
      </c>
      <c r="F951" s="196">
        <f t="shared" si="91"/>
        <v>59.435739999999996</v>
      </c>
      <c r="G951" s="196">
        <f t="shared" si="92"/>
        <v>46.906300000000002</v>
      </c>
      <c r="H951" s="199">
        <f t="shared" si="93"/>
        <v>39.597459999999998</v>
      </c>
      <c r="J951" s="72"/>
      <c r="K951" s="185"/>
      <c r="M951" s="49"/>
      <c r="N951" s="49"/>
      <c r="O951" s="49"/>
      <c r="P951" s="49"/>
      <c r="Q951" s="49"/>
      <c r="R951" s="49"/>
      <c r="S951" s="49"/>
      <c r="T951" s="49"/>
      <c r="U951" s="49"/>
      <c r="V951" s="49"/>
      <c r="W951" s="49"/>
      <c r="X951" s="49"/>
      <c r="Y951" s="49"/>
      <c r="Z951" s="49"/>
      <c r="AA951" s="49"/>
      <c r="AB951" s="49"/>
      <c r="AC951" s="49"/>
    </row>
    <row r="952" spans="1:29">
      <c r="A952" s="62" t="s">
        <v>176</v>
      </c>
      <c r="B952" s="61" t="s">
        <v>177</v>
      </c>
      <c r="C952" s="271">
        <f>VLOOKUP($A$8:$A$1487,'[7]MFP''s'!A$8:C$1502,3,FALSE)</f>
        <v>1781</v>
      </c>
      <c r="D952" s="364">
        <v>844</v>
      </c>
      <c r="E952" s="274">
        <f t="shared" si="94"/>
        <v>0.52610892756878158</v>
      </c>
      <c r="F952" s="196">
        <f t="shared" si="91"/>
        <v>31.70908</v>
      </c>
      <c r="G952" s="196">
        <f t="shared" si="92"/>
        <v>25.0246</v>
      </c>
      <c r="H952" s="199">
        <f t="shared" si="93"/>
        <v>21.125319999999999</v>
      </c>
      <c r="J952" s="72"/>
      <c r="K952" s="185"/>
      <c r="M952" s="49"/>
      <c r="N952" s="49"/>
      <c r="O952" s="49"/>
      <c r="P952" s="49"/>
      <c r="Q952" s="49"/>
      <c r="R952" s="49"/>
      <c r="S952" s="49"/>
      <c r="T952" s="49"/>
      <c r="U952" s="49"/>
      <c r="V952" s="49"/>
      <c r="W952" s="49"/>
      <c r="X952" s="49"/>
      <c r="Y952" s="49"/>
      <c r="Z952" s="49"/>
      <c r="AA952" s="49"/>
      <c r="AB952" s="49"/>
      <c r="AC952" s="49"/>
    </row>
    <row r="953" spans="1:29">
      <c r="A953" s="60" t="s">
        <v>66</v>
      </c>
      <c r="B953" s="61"/>
      <c r="C953" s="271"/>
      <c r="D953" s="364"/>
      <c r="E953" s="274"/>
      <c r="F953" s="196"/>
      <c r="G953" s="196"/>
      <c r="H953" s="199"/>
      <c r="J953" s="72"/>
      <c r="K953" s="185"/>
      <c r="M953" s="49"/>
      <c r="N953" s="49"/>
      <c r="O953" s="49"/>
      <c r="P953" s="49"/>
      <c r="Q953" s="49"/>
      <c r="R953" s="49"/>
      <c r="S953" s="49"/>
      <c r="T953" s="49"/>
      <c r="U953" s="49"/>
      <c r="V953" s="49"/>
      <c r="W953" s="49"/>
      <c r="X953" s="49"/>
      <c r="Y953" s="49"/>
      <c r="Z953" s="49"/>
      <c r="AA953" s="49"/>
      <c r="AB953" s="49"/>
      <c r="AC953" s="49"/>
    </row>
    <row r="954" spans="1:29">
      <c r="A954" s="62" t="s">
        <v>187</v>
      </c>
      <c r="B954" s="61" t="s">
        <v>188</v>
      </c>
      <c r="C954" s="271">
        <f>VLOOKUP($A$8:$A$1487,'[7]MFP''s'!A$8:C$1502,3,FALSE)</f>
        <v>3020</v>
      </c>
      <c r="D954" s="364">
        <v>1431</v>
      </c>
      <c r="E954" s="274">
        <f t="shared" si="94"/>
        <v>0.526158940397351</v>
      </c>
      <c r="F954" s="196">
        <f t="shared" si="91"/>
        <v>53.76267</v>
      </c>
      <c r="G954" s="196">
        <f t="shared" si="92"/>
        <v>42.42915</v>
      </c>
      <c r="H954" s="199">
        <f t="shared" si="93"/>
        <v>35.817929999999997</v>
      </c>
      <c r="J954" s="72"/>
      <c r="K954" s="185"/>
      <c r="M954" s="49"/>
      <c r="N954" s="49"/>
      <c r="O954" s="49"/>
      <c r="P954" s="49"/>
      <c r="Q954" s="49"/>
      <c r="R954" s="49"/>
      <c r="S954" s="49"/>
      <c r="T954" s="49"/>
      <c r="U954" s="49"/>
      <c r="V954" s="49"/>
      <c r="W954" s="49"/>
      <c r="X954" s="49"/>
      <c r="Y954" s="49"/>
      <c r="Z954" s="49"/>
      <c r="AA954" s="49"/>
      <c r="AB954" s="49"/>
      <c r="AC954" s="49"/>
    </row>
    <row r="955" spans="1:29">
      <c r="A955" s="62" t="s">
        <v>182</v>
      </c>
      <c r="B955" s="61" t="s">
        <v>183</v>
      </c>
      <c r="C955" s="271">
        <f>VLOOKUP($A$8:$A$1487,'[7]MFP''s'!A$8:C$1502,3,FALSE)</f>
        <v>1670</v>
      </c>
      <c r="D955" s="364">
        <v>791</v>
      </c>
      <c r="E955" s="274">
        <f t="shared" si="94"/>
        <v>0.52634730538922159</v>
      </c>
      <c r="F955" s="196">
        <f t="shared" si="91"/>
        <v>29.717869999999998</v>
      </c>
      <c r="G955" s="196">
        <f t="shared" si="92"/>
        <v>23.453150000000001</v>
      </c>
      <c r="H955" s="199">
        <f t="shared" si="93"/>
        <v>19.798729999999999</v>
      </c>
      <c r="J955" s="72"/>
      <c r="K955" s="185"/>
      <c r="M955" s="49"/>
      <c r="N955" s="49"/>
      <c r="O955" s="49"/>
      <c r="P955" s="49"/>
      <c r="Q955" s="49"/>
      <c r="R955" s="49"/>
      <c r="S955" s="49"/>
      <c r="T955" s="49"/>
      <c r="U955" s="49"/>
      <c r="V955" s="49"/>
      <c r="W955" s="49"/>
      <c r="X955" s="49"/>
      <c r="Y955" s="49"/>
      <c r="Z955" s="49"/>
      <c r="AA955" s="49"/>
      <c r="AB955" s="49"/>
      <c r="AC955" s="49"/>
    </row>
    <row r="956" spans="1:29">
      <c r="A956" s="62" t="s">
        <v>189</v>
      </c>
      <c r="B956" s="61" t="s">
        <v>190</v>
      </c>
      <c r="C956" s="271">
        <f>VLOOKUP($A$8:$A$1487,'[7]MFP''s'!A$8:C$1502,3,FALSE)</f>
        <v>863</v>
      </c>
      <c r="D956" s="364">
        <v>409</v>
      </c>
      <c r="E956" s="274">
        <f t="shared" si="94"/>
        <v>0.526071842410197</v>
      </c>
      <c r="F956" s="196">
        <f t="shared" si="91"/>
        <v>15.36613</v>
      </c>
      <c r="G956" s="196">
        <f t="shared" si="92"/>
        <v>12.126849999999999</v>
      </c>
      <c r="H956" s="199">
        <f t="shared" si="93"/>
        <v>10.237270000000001</v>
      </c>
      <c r="J956" s="184"/>
      <c r="K956" s="185"/>
      <c r="M956" s="49"/>
      <c r="N956" s="49"/>
      <c r="O956" s="49"/>
      <c r="P956" s="49"/>
      <c r="Q956" s="49"/>
      <c r="R956" s="49"/>
      <c r="S956" s="49"/>
      <c r="T956" s="49"/>
      <c r="U956" s="49"/>
      <c r="V956" s="49"/>
      <c r="W956" s="49"/>
      <c r="X956" s="49"/>
      <c r="Y956" s="49"/>
      <c r="Z956" s="49"/>
      <c r="AA956" s="49"/>
      <c r="AB956" s="49"/>
      <c r="AC956" s="49"/>
    </row>
    <row r="957" spans="1:29" ht="35.25" customHeight="1">
      <c r="A957" s="62" t="s">
        <v>194</v>
      </c>
      <c r="B957" s="61" t="s">
        <v>195</v>
      </c>
      <c r="C957" s="271">
        <f>VLOOKUP($A$8:$A$1487,'[7]MFP''s'!A$8:C$1502,3,FALSE)</f>
        <v>112</v>
      </c>
      <c r="D957" s="364">
        <v>52</v>
      </c>
      <c r="E957" s="274">
        <f t="shared" si="94"/>
        <v>0.5357142857142857</v>
      </c>
      <c r="F957" s="196">
        <f t="shared" si="91"/>
        <v>1.95364</v>
      </c>
      <c r="G957" s="196">
        <f t="shared" si="92"/>
        <v>1.5418000000000001</v>
      </c>
      <c r="H957" s="199">
        <f t="shared" si="93"/>
        <v>1.3015600000000001</v>
      </c>
      <c r="J957" s="184"/>
      <c r="K957" s="185"/>
      <c r="M957" s="49"/>
      <c r="N957" s="49"/>
      <c r="O957" s="49"/>
      <c r="P957" s="49"/>
      <c r="Q957" s="49"/>
      <c r="R957" s="49"/>
      <c r="S957" s="49"/>
      <c r="T957" s="49"/>
      <c r="U957" s="49"/>
      <c r="V957" s="49"/>
      <c r="W957" s="49"/>
      <c r="X957" s="49"/>
      <c r="Y957" s="49"/>
      <c r="Z957" s="49"/>
      <c r="AA957" s="49"/>
      <c r="AB957" s="49"/>
      <c r="AC957" s="49"/>
    </row>
    <row r="958" spans="1:29">
      <c r="A958" s="62" t="s">
        <v>178</v>
      </c>
      <c r="B958" s="61" t="s">
        <v>179</v>
      </c>
      <c r="C958" s="271">
        <f>VLOOKUP($A$8:$A$1487,'[7]MFP''s'!A$8:C$1502,3,FALSE)</f>
        <v>500</v>
      </c>
      <c r="D958" s="364">
        <v>237</v>
      </c>
      <c r="E958" s="274">
        <f t="shared" si="94"/>
        <v>0.52600000000000002</v>
      </c>
      <c r="F958" s="196">
        <f t="shared" si="91"/>
        <v>8.9040900000000001</v>
      </c>
      <c r="G958" s="196">
        <f t="shared" si="92"/>
        <v>7.02705</v>
      </c>
      <c r="H958" s="199">
        <f t="shared" si="93"/>
        <v>5.9321099999999998</v>
      </c>
      <c r="J958" s="184"/>
      <c r="K958" s="185"/>
      <c r="L958" s="49"/>
      <c r="M958" s="49"/>
      <c r="N958" s="49"/>
      <c r="O958" s="49"/>
      <c r="P958" s="49"/>
      <c r="Q958" s="49"/>
      <c r="R958" s="49"/>
      <c r="S958" s="49"/>
      <c r="T958" s="49"/>
      <c r="U958" s="49"/>
      <c r="V958" s="49"/>
      <c r="W958" s="49"/>
      <c r="X958" s="49"/>
      <c r="Y958" s="49"/>
      <c r="Z958" s="49"/>
      <c r="AA958" s="49"/>
      <c r="AB958" s="49"/>
      <c r="AC958" s="49"/>
    </row>
    <row r="959" spans="1:29">
      <c r="A959" s="62" t="s">
        <v>191</v>
      </c>
      <c r="B959" s="61" t="s">
        <v>192</v>
      </c>
      <c r="C959" s="271">
        <f>VLOOKUP($A$8:$A$1487,'[7]MFP''s'!A$8:C$1502,3,FALSE)</f>
        <v>5510</v>
      </c>
      <c r="D959" s="364">
        <v>2610</v>
      </c>
      <c r="E959" s="274">
        <f t="shared" si="94"/>
        <v>0.52631578947368429</v>
      </c>
      <c r="F959" s="196">
        <f t="shared" si="91"/>
        <v>98.057699999999997</v>
      </c>
      <c r="G959" s="196">
        <f t="shared" si="92"/>
        <v>77.386499999999998</v>
      </c>
      <c r="H959" s="199">
        <f t="shared" si="93"/>
        <v>65.328299999999999</v>
      </c>
      <c r="J959" s="72"/>
      <c r="K959" s="185"/>
      <c r="L959" s="49"/>
      <c r="M959" s="49"/>
      <c r="N959" s="49"/>
      <c r="O959" s="49"/>
      <c r="P959" s="49"/>
      <c r="Q959" s="49"/>
      <c r="R959" s="49"/>
      <c r="S959" s="49"/>
      <c r="T959" s="49"/>
      <c r="U959" s="49"/>
      <c r="V959" s="49"/>
      <c r="W959" s="49"/>
      <c r="X959" s="49"/>
      <c r="Y959" s="49"/>
      <c r="Z959" s="49"/>
      <c r="AA959" s="49"/>
      <c r="AB959" s="49"/>
      <c r="AC959" s="49"/>
    </row>
    <row r="960" spans="1:29">
      <c r="A960" s="62" t="s">
        <v>185</v>
      </c>
      <c r="B960" s="61" t="s">
        <v>186</v>
      </c>
      <c r="C960" s="271">
        <f>VLOOKUP($A$8:$A$1487,'[7]MFP''s'!A$8:C$1502,3,FALSE)</f>
        <v>1113</v>
      </c>
      <c r="D960" s="364">
        <v>528</v>
      </c>
      <c r="E960" s="274">
        <f t="shared" si="94"/>
        <v>0.52560646900269536</v>
      </c>
      <c r="F960" s="196">
        <f t="shared" si="91"/>
        <v>19.836960000000001</v>
      </c>
      <c r="G960" s="196">
        <f t="shared" si="92"/>
        <v>15.655199999999999</v>
      </c>
      <c r="H960" s="199">
        <f t="shared" si="93"/>
        <v>13.21584</v>
      </c>
      <c r="J960" s="72"/>
      <c r="K960" s="185"/>
      <c r="L960" s="49"/>
      <c r="M960" s="49"/>
      <c r="N960" s="49"/>
      <c r="O960" s="49"/>
      <c r="P960" s="49"/>
      <c r="Q960" s="49"/>
      <c r="R960" s="49"/>
      <c r="S960" s="49"/>
      <c r="T960" s="49"/>
      <c r="U960" s="49"/>
      <c r="V960" s="49"/>
      <c r="W960" s="49"/>
      <c r="X960" s="49"/>
      <c r="Y960" s="49"/>
      <c r="Z960" s="49"/>
      <c r="AA960" s="49"/>
      <c r="AB960" s="49"/>
      <c r="AC960" s="49"/>
    </row>
    <row r="961" spans="1:29" ht="30">
      <c r="A961" s="330" t="s">
        <v>748</v>
      </c>
      <c r="B961" s="70" t="s">
        <v>783</v>
      </c>
      <c r="C961" s="271">
        <v>1855</v>
      </c>
      <c r="D961" s="364">
        <v>879</v>
      </c>
      <c r="E961" s="274">
        <f t="shared" si="94"/>
        <v>0.52614555256064688</v>
      </c>
      <c r="F961" s="196">
        <f t="shared" ref="F961:F1025" si="95">D961*$F$1</f>
        <v>33.024029999999996</v>
      </c>
      <c r="G961" s="196">
        <f t="shared" si="92"/>
        <v>26.062349999999999</v>
      </c>
      <c r="H961" s="199">
        <f t="shared" si="93"/>
        <v>22.001370000000001</v>
      </c>
      <c r="J961" s="72"/>
      <c r="K961" s="185"/>
      <c r="L961" s="49"/>
      <c r="M961" s="49"/>
      <c r="N961" s="49"/>
      <c r="O961" s="49"/>
      <c r="P961" s="49"/>
      <c r="Q961" s="49"/>
      <c r="R961" s="49"/>
      <c r="S961" s="49"/>
      <c r="T961" s="49"/>
      <c r="U961" s="49"/>
      <c r="V961" s="49"/>
      <c r="W961" s="49"/>
      <c r="X961" s="49"/>
      <c r="Y961" s="49"/>
      <c r="Z961" s="49"/>
      <c r="AA961" s="49"/>
      <c r="AB961" s="49"/>
      <c r="AC961" s="49"/>
    </row>
    <row r="962" spans="1:29" ht="30">
      <c r="A962" s="330" t="s">
        <v>750</v>
      </c>
      <c r="B962" s="331" t="s">
        <v>784</v>
      </c>
      <c r="C962" s="332">
        <v>3305</v>
      </c>
      <c r="D962" s="364">
        <v>1566</v>
      </c>
      <c r="E962" s="274">
        <f t="shared" si="94"/>
        <v>0.52617246596066569</v>
      </c>
      <c r="F962" s="196">
        <f t="shared" si="95"/>
        <v>58.834620000000001</v>
      </c>
      <c r="G962" s="196">
        <f t="shared" si="92"/>
        <v>46.431899999999999</v>
      </c>
      <c r="H962" s="199">
        <f t="shared" si="93"/>
        <v>39.196980000000003</v>
      </c>
      <c r="J962" s="72"/>
      <c r="K962" s="185"/>
      <c r="L962" s="49"/>
      <c r="M962" s="49"/>
      <c r="N962" s="49"/>
      <c r="O962" s="49"/>
      <c r="P962" s="49"/>
      <c r="Q962" s="49"/>
      <c r="R962" s="49"/>
      <c r="S962" s="49"/>
      <c r="T962" s="49"/>
      <c r="U962" s="49"/>
      <c r="V962" s="49"/>
      <c r="W962" s="49"/>
      <c r="X962" s="49"/>
      <c r="Y962" s="49"/>
      <c r="Z962" s="49"/>
      <c r="AA962" s="49"/>
      <c r="AB962" s="49"/>
      <c r="AC962" s="49"/>
    </row>
    <row r="963" spans="1:29">
      <c r="A963" s="62" t="s">
        <v>113</v>
      </c>
      <c r="B963" s="61" t="s">
        <v>114</v>
      </c>
      <c r="C963" s="271">
        <f>VLOOKUP($A$8:$A$1487,'[7]MFP''s'!A$8:C$1502,3,FALSE)</f>
        <v>586</v>
      </c>
      <c r="D963" s="364">
        <v>278</v>
      </c>
      <c r="E963" s="274">
        <f t="shared" si="94"/>
        <v>0.52559726962457343</v>
      </c>
      <c r="F963" s="196">
        <f t="shared" si="95"/>
        <v>10.444459999999999</v>
      </c>
      <c r="G963" s="196">
        <f t="shared" si="92"/>
        <v>8.2426999999999992</v>
      </c>
      <c r="H963" s="199">
        <f t="shared" si="93"/>
        <v>6.9583399999999997</v>
      </c>
      <c r="J963" s="72"/>
      <c r="K963" s="185"/>
      <c r="L963" s="49"/>
      <c r="M963" s="49"/>
      <c r="N963" s="49"/>
      <c r="O963" s="49"/>
      <c r="P963" s="49"/>
      <c r="Q963" s="49"/>
      <c r="R963" s="49"/>
      <c r="S963" s="49"/>
      <c r="T963" s="49"/>
      <c r="U963" s="49"/>
      <c r="V963" s="49"/>
      <c r="W963" s="49"/>
      <c r="X963" s="49"/>
      <c r="Y963" s="49"/>
      <c r="Z963" s="49"/>
      <c r="AA963" s="49"/>
      <c r="AB963" s="49"/>
      <c r="AC963" s="49"/>
    </row>
    <row r="964" spans="1:29">
      <c r="A964" s="60" t="s">
        <v>196</v>
      </c>
      <c r="B964" s="61"/>
      <c r="C964" s="271"/>
      <c r="D964" s="364"/>
      <c r="E964" s="274"/>
      <c r="F964" s="196"/>
      <c r="G964" s="196"/>
      <c r="H964" s="199"/>
      <c r="J964" s="72"/>
      <c r="K964" s="185"/>
      <c r="L964" s="49"/>
      <c r="M964" s="49"/>
      <c r="N964" s="49"/>
      <c r="O964" s="49"/>
      <c r="P964" s="49"/>
      <c r="Q964" s="49"/>
      <c r="R964" s="49"/>
      <c r="S964" s="49"/>
      <c r="T964" s="49"/>
      <c r="U964" s="49"/>
      <c r="V964" s="49"/>
      <c r="W964" s="49"/>
      <c r="X964" s="49"/>
      <c r="Y964" s="49"/>
      <c r="Z964" s="49"/>
      <c r="AA964" s="49"/>
      <c r="AB964" s="49"/>
      <c r="AC964" s="49"/>
    </row>
    <row r="965" spans="1:29">
      <c r="A965" s="62" t="s">
        <v>115</v>
      </c>
      <c r="B965" s="61" t="s">
        <v>116</v>
      </c>
      <c r="C965" s="271">
        <f>VLOOKUP($A$8:$A$1487,'[7]MFP''s'!A$8:C$1502,3,FALSE)</f>
        <v>1070</v>
      </c>
      <c r="D965" s="364">
        <v>507</v>
      </c>
      <c r="E965" s="274">
        <f t="shared" si="94"/>
        <v>0.5261682242990654</v>
      </c>
      <c r="F965" s="196">
        <f t="shared" si="95"/>
        <v>19.047989999999999</v>
      </c>
      <c r="G965" s="196">
        <f t="shared" si="92"/>
        <v>15.032549999999999</v>
      </c>
      <c r="H965" s="199">
        <f t="shared" si="93"/>
        <v>12.69021</v>
      </c>
      <c r="J965" s="72"/>
      <c r="K965" s="185"/>
      <c r="L965" s="49"/>
      <c r="M965" s="49"/>
      <c r="N965" s="49"/>
      <c r="O965" s="49"/>
      <c r="P965" s="49"/>
      <c r="Q965" s="49"/>
      <c r="R965" s="49"/>
      <c r="S965" s="49"/>
      <c r="T965" s="49"/>
      <c r="U965" s="49"/>
      <c r="V965" s="49"/>
      <c r="W965" s="49"/>
      <c r="X965" s="49"/>
      <c r="Y965" s="49"/>
      <c r="Z965" s="49"/>
      <c r="AA965" s="49"/>
      <c r="AB965" s="49"/>
      <c r="AC965" s="49"/>
    </row>
    <row r="966" spans="1:29">
      <c r="A966" s="62">
        <v>4614506</v>
      </c>
      <c r="B966" s="61" t="s">
        <v>117</v>
      </c>
      <c r="C966" s="271">
        <f>VLOOKUP($A$8:$A$1487,'[7]MFP''s'!A$8:C$1502,3,FALSE)</f>
        <v>48</v>
      </c>
      <c r="D966" s="364">
        <v>23</v>
      </c>
      <c r="E966" s="274">
        <f t="shared" si="94"/>
        <v>0.52083333333333326</v>
      </c>
      <c r="F966" s="196">
        <f t="shared" si="95"/>
        <v>0.86410999999999993</v>
      </c>
      <c r="G966" s="196">
        <f t="shared" si="92"/>
        <v>0.68194999999999995</v>
      </c>
      <c r="H966" s="199">
        <f t="shared" si="93"/>
        <v>0.57569000000000004</v>
      </c>
      <c r="J966" s="72"/>
      <c r="K966" s="185"/>
      <c r="L966" s="49"/>
      <c r="M966" s="49"/>
      <c r="N966" s="49"/>
      <c r="O966" s="49"/>
      <c r="P966" s="49"/>
      <c r="Q966" s="49"/>
      <c r="R966" s="49"/>
      <c r="S966" s="49"/>
      <c r="T966" s="49"/>
      <c r="U966" s="49"/>
      <c r="V966" s="49"/>
      <c r="W966" s="49"/>
      <c r="X966" s="49"/>
      <c r="Y966" s="49"/>
      <c r="Z966" s="49"/>
      <c r="AA966" s="49"/>
      <c r="AB966" s="49"/>
      <c r="AC966" s="49"/>
    </row>
    <row r="967" spans="1:29">
      <c r="A967" s="62">
        <v>4614511</v>
      </c>
      <c r="B967" s="61" t="s">
        <v>118</v>
      </c>
      <c r="C967" s="271">
        <f>VLOOKUP($A$8:$A$1487,'[7]MFP''s'!A$8:C$1502,3,FALSE)</f>
        <v>27</v>
      </c>
      <c r="D967" s="364">
        <v>13</v>
      </c>
      <c r="E967" s="274">
        <f t="shared" si="94"/>
        <v>0.5185185185185186</v>
      </c>
      <c r="F967" s="196">
        <f t="shared" si="95"/>
        <v>0.48841000000000001</v>
      </c>
      <c r="G967" s="196">
        <f t="shared" si="92"/>
        <v>0.38545000000000001</v>
      </c>
      <c r="H967" s="199">
        <f t="shared" si="93"/>
        <v>0.32539000000000001</v>
      </c>
      <c r="L967" s="49"/>
      <c r="M967" s="49"/>
      <c r="N967" s="49"/>
      <c r="O967" s="49"/>
      <c r="P967" s="49"/>
      <c r="Q967" s="49"/>
      <c r="R967" s="49"/>
      <c r="S967" s="49"/>
      <c r="T967" s="49"/>
      <c r="U967" s="49"/>
      <c r="V967" s="49"/>
      <c r="W967" s="49"/>
      <c r="X967" s="49"/>
      <c r="Y967" s="49"/>
      <c r="Z967" s="49"/>
      <c r="AA967" s="49"/>
      <c r="AB967" s="49"/>
      <c r="AC967" s="49"/>
    </row>
    <row r="968" spans="1:29">
      <c r="A968" s="62" t="s">
        <v>119</v>
      </c>
      <c r="B968" s="61" t="s">
        <v>120</v>
      </c>
      <c r="C968" s="271">
        <f>VLOOKUP($A$8:$A$1487,'[7]MFP''s'!A$8:C$1502,3,FALSE)</f>
        <v>120</v>
      </c>
      <c r="D968" s="364">
        <v>57</v>
      </c>
      <c r="E968" s="274">
        <f t="shared" si="94"/>
        <v>0.52500000000000002</v>
      </c>
      <c r="F968" s="196">
        <f t="shared" si="95"/>
        <v>2.1414900000000001</v>
      </c>
      <c r="G968" s="196">
        <f t="shared" si="92"/>
        <v>1.6900500000000001</v>
      </c>
      <c r="H968" s="199">
        <f t="shared" si="93"/>
        <v>1.4267099999999999</v>
      </c>
      <c r="L968" s="49"/>
      <c r="M968" s="49"/>
      <c r="N968" s="49"/>
      <c r="O968" s="49"/>
      <c r="P968" s="49"/>
      <c r="Q968" s="49"/>
      <c r="R968" s="49"/>
      <c r="S968" s="49"/>
      <c r="T968" s="49"/>
      <c r="U968" s="49"/>
      <c r="V968" s="49"/>
      <c r="W968" s="49"/>
      <c r="X968" s="49"/>
      <c r="Y968" s="49"/>
      <c r="Z968" s="49"/>
      <c r="AA968" s="49"/>
      <c r="AB968" s="49"/>
      <c r="AC968" s="49"/>
    </row>
    <row r="969" spans="1:29">
      <c r="A969" s="62" t="s">
        <v>121</v>
      </c>
      <c r="B969" s="61" t="s">
        <v>122</v>
      </c>
      <c r="C969" s="271">
        <f>VLOOKUP($A$8:$A$1487,'[7]MFP''s'!A$8:C$1502,3,FALSE)</f>
        <v>1068</v>
      </c>
      <c r="D969" s="364">
        <v>506</v>
      </c>
      <c r="E969" s="274">
        <f t="shared" si="94"/>
        <v>0.52621722846441954</v>
      </c>
      <c r="F969" s="196">
        <f t="shared" si="95"/>
        <v>19.01042</v>
      </c>
      <c r="G969" s="196">
        <f t="shared" ref="G969:G1033" si="96">D969*$G$1</f>
        <v>15.0029</v>
      </c>
      <c r="H969" s="199">
        <f t="shared" ref="H969:H1033" si="97">D969*$H$1</f>
        <v>12.665179999999999</v>
      </c>
      <c r="L969" s="49"/>
      <c r="M969" s="49"/>
      <c r="N969" s="49"/>
      <c r="O969" s="49"/>
      <c r="P969" s="49"/>
      <c r="Q969" s="49"/>
      <c r="R969" s="49"/>
      <c r="S969" s="49"/>
      <c r="T969" s="49"/>
      <c r="U969" s="49"/>
      <c r="V969" s="49"/>
      <c r="W969" s="49"/>
      <c r="X969" s="49"/>
      <c r="Y969" s="49"/>
      <c r="Z969" s="49"/>
      <c r="AA969" s="49"/>
      <c r="AB969" s="49"/>
      <c r="AC969" s="49"/>
    </row>
    <row r="970" spans="1:29">
      <c r="A970" s="60" t="s">
        <v>301</v>
      </c>
      <c r="B970" s="65"/>
      <c r="C970" s="271"/>
      <c r="D970" s="364"/>
      <c r="E970" s="274"/>
      <c r="F970" s="196"/>
      <c r="G970" s="196"/>
      <c r="H970" s="199"/>
      <c r="L970" s="49"/>
      <c r="M970" s="49"/>
      <c r="N970" s="49"/>
      <c r="O970" s="49"/>
      <c r="P970" s="49"/>
      <c r="Q970" s="49"/>
      <c r="R970" s="49"/>
      <c r="S970" s="49"/>
      <c r="T970" s="49"/>
      <c r="U970" s="49"/>
      <c r="V970" s="49"/>
      <c r="W970" s="49"/>
      <c r="X970" s="49"/>
      <c r="Y970" s="49"/>
      <c r="Z970" s="49"/>
      <c r="AA970" s="49"/>
      <c r="AB970" s="49"/>
      <c r="AC970" s="49"/>
    </row>
    <row r="971" spans="1:29">
      <c r="A971" s="62" t="s">
        <v>286</v>
      </c>
      <c r="B971" s="61" t="s">
        <v>287</v>
      </c>
      <c r="C971" s="271">
        <f>VLOOKUP($A$8:$A$1487,'[7]MFP''s'!A$8:C$1502,3,FALSE)</f>
        <v>4158</v>
      </c>
      <c r="D971" s="364">
        <v>1969</v>
      </c>
      <c r="E971" s="274">
        <f t="shared" si="94"/>
        <v>0.52645502645502651</v>
      </c>
      <c r="F971" s="196">
        <f t="shared" si="95"/>
        <v>73.97533</v>
      </c>
      <c r="G971" s="196">
        <f t="shared" si="96"/>
        <v>58.380849999999995</v>
      </c>
      <c r="H971" s="199">
        <f t="shared" si="97"/>
        <v>49.28407</v>
      </c>
      <c r="L971" s="49"/>
      <c r="M971" s="49"/>
      <c r="N971" s="49"/>
      <c r="O971" s="49"/>
      <c r="P971" s="49"/>
      <c r="Q971" s="49"/>
      <c r="R971" s="49"/>
      <c r="S971" s="49"/>
      <c r="T971" s="49"/>
      <c r="U971" s="49"/>
      <c r="V971" s="49"/>
      <c r="W971" s="49"/>
      <c r="X971" s="49"/>
      <c r="Y971" s="49"/>
      <c r="Z971" s="49"/>
      <c r="AA971" s="49"/>
      <c r="AB971" s="49"/>
      <c r="AC971" s="49"/>
    </row>
    <row r="972" spans="1:29">
      <c r="A972" s="62" t="s">
        <v>288</v>
      </c>
      <c r="B972" s="61" t="s">
        <v>289</v>
      </c>
      <c r="C972" s="271">
        <f>VLOOKUP($A$8:$A$1487,'[7]MFP''s'!A$8:C$1502,3,FALSE)</f>
        <v>296</v>
      </c>
      <c r="D972" s="364">
        <v>141</v>
      </c>
      <c r="E972" s="274">
        <f t="shared" si="94"/>
        <v>0.52364864864864868</v>
      </c>
      <c r="F972" s="196">
        <f t="shared" si="95"/>
        <v>5.2973699999999999</v>
      </c>
      <c r="G972" s="196">
        <f t="shared" si="96"/>
        <v>4.18065</v>
      </c>
      <c r="H972" s="199">
        <f t="shared" si="97"/>
        <v>3.5292300000000001</v>
      </c>
      <c r="L972" s="49"/>
      <c r="M972" s="49"/>
      <c r="N972" s="49"/>
      <c r="O972" s="49"/>
      <c r="P972" s="49"/>
      <c r="Q972" s="49"/>
      <c r="R972" s="49"/>
      <c r="S972" s="49"/>
      <c r="T972" s="49"/>
      <c r="U972" s="49"/>
      <c r="V972" s="49"/>
      <c r="W972" s="49"/>
      <c r="X972" s="49"/>
      <c r="Y972" s="49"/>
      <c r="Z972" s="49"/>
      <c r="AA972" s="49"/>
      <c r="AB972" s="49"/>
      <c r="AC972" s="49"/>
    </row>
    <row r="973" spans="1:29">
      <c r="A973" s="62">
        <v>7640004312</v>
      </c>
      <c r="B973" s="61" t="s">
        <v>290</v>
      </c>
      <c r="C973" s="271">
        <f>VLOOKUP($A$8:$A$1487,'[7]MFP''s'!A$8:C$1502,3,FALSE)</f>
        <v>875</v>
      </c>
      <c r="D973" s="364">
        <v>415</v>
      </c>
      <c r="E973" s="274">
        <f t="shared" si="94"/>
        <v>0.52571428571428569</v>
      </c>
      <c r="F973" s="196">
        <f t="shared" si="95"/>
        <v>15.59155</v>
      </c>
      <c r="G973" s="196">
        <f t="shared" si="96"/>
        <v>12.30475</v>
      </c>
      <c r="H973" s="199">
        <f t="shared" si="97"/>
        <v>10.387449999999999</v>
      </c>
      <c r="L973" s="49"/>
      <c r="M973" s="49"/>
      <c r="N973" s="49"/>
      <c r="O973" s="49"/>
      <c r="P973" s="49"/>
      <c r="Q973" s="49"/>
      <c r="R973" s="49"/>
      <c r="S973" s="49"/>
      <c r="T973" s="49"/>
      <c r="U973" s="49"/>
      <c r="V973" s="49"/>
      <c r="W973" s="49"/>
      <c r="X973" s="49"/>
      <c r="Y973" s="49"/>
      <c r="Z973" s="49"/>
      <c r="AA973" s="49"/>
      <c r="AB973" s="49"/>
      <c r="AC973" s="49"/>
    </row>
    <row r="974" spans="1:29">
      <c r="A974" s="62">
        <v>7640004313</v>
      </c>
      <c r="B974" s="61" t="s">
        <v>291</v>
      </c>
      <c r="C974" s="271">
        <f>VLOOKUP($A$8:$A$1487,'[7]MFP''s'!A$8:C$1502,3,FALSE)</f>
        <v>875</v>
      </c>
      <c r="D974" s="364">
        <v>415</v>
      </c>
      <c r="E974" s="274">
        <f t="shared" si="94"/>
        <v>0.52571428571428569</v>
      </c>
      <c r="F974" s="196">
        <f t="shared" si="95"/>
        <v>15.59155</v>
      </c>
      <c r="G974" s="196">
        <f t="shared" si="96"/>
        <v>12.30475</v>
      </c>
      <c r="H974" s="199">
        <f t="shared" si="97"/>
        <v>10.387449999999999</v>
      </c>
      <c r="I974" s="49"/>
      <c r="J974" s="49"/>
      <c r="K974" s="49"/>
      <c r="L974" s="49"/>
      <c r="M974" s="49"/>
      <c r="N974" s="49"/>
      <c r="O974" s="49"/>
      <c r="P974" s="49"/>
      <c r="Q974" s="49"/>
      <c r="R974" s="49"/>
      <c r="S974" s="49"/>
      <c r="T974" s="49"/>
      <c r="U974" s="49"/>
      <c r="V974" s="49"/>
      <c r="W974" s="49"/>
      <c r="X974" s="49"/>
      <c r="Y974" s="49"/>
      <c r="Z974" s="49"/>
      <c r="AA974" s="49"/>
      <c r="AB974" s="49"/>
      <c r="AC974" s="49"/>
    </row>
    <row r="975" spans="1:29">
      <c r="A975" s="62">
        <v>45109642</v>
      </c>
      <c r="B975" s="61" t="s">
        <v>292</v>
      </c>
      <c r="C975" s="271">
        <f>VLOOKUP($A$8:$A$1487,'[7]MFP''s'!A$8:C$1502,3,FALSE)</f>
        <v>1348</v>
      </c>
      <c r="D975" s="364">
        <v>639</v>
      </c>
      <c r="E975" s="274">
        <f t="shared" si="94"/>
        <v>0.52596439169139464</v>
      </c>
      <c r="F975" s="196">
        <f t="shared" si="95"/>
        <v>24.00723</v>
      </c>
      <c r="G975" s="196">
        <f t="shared" si="96"/>
        <v>18.946349999999999</v>
      </c>
      <c r="H975" s="199">
        <f t="shared" si="97"/>
        <v>15.99417</v>
      </c>
      <c r="I975" s="49"/>
      <c r="J975" s="49"/>
      <c r="K975" s="49"/>
      <c r="L975" s="49"/>
      <c r="M975" s="49"/>
      <c r="N975" s="49"/>
      <c r="O975" s="49"/>
      <c r="P975" s="49"/>
      <c r="Q975" s="49"/>
      <c r="R975" s="49"/>
      <c r="S975" s="49"/>
      <c r="T975" s="49"/>
      <c r="U975" s="49"/>
      <c r="V975" s="49"/>
      <c r="W975" s="49"/>
      <c r="X975" s="49"/>
      <c r="Y975" s="49"/>
      <c r="Z975" s="49"/>
      <c r="AA975" s="49"/>
      <c r="AB975" s="49"/>
      <c r="AC975" s="49"/>
    </row>
    <row r="976" spans="1:29">
      <c r="A976" s="62">
        <v>7640009476</v>
      </c>
      <c r="B976" s="61" t="s">
        <v>293</v>
      </c>
      <c r="C976" s="271">
        <f>VLOOKUP($A$8:$A$1487,'[7]MFP''s'!A$8:C$1502,3,FALSE)</f>
        <v>2650</v>
      </c>
      <c r="D976" s="364">
        <v>1255</v>
      </c>
      <c r="E976" s="274">
        <f t="shared" si="94"/>
        <v>0.52641509433962264</v>
      </c>
      <c r="F976" s="196">
        <f t="shared" si="95"/>
        <v>47.150349999999996</v>
      </c>
      <c r="G976" s="196">
        <f t="shared" si="96"/>
        <v>37.210749999999997</v>
      </c>
      <c r="H976" s="199">
        <f t="shared" si="97"/>
        <v>31.412649999999999</v>
      </c>
      <c r="I976" s="49"/>
      <c r="J976" s="49"/>
      <c r="K976" s="49"/>
      <c r="L976" s="49"/>
      <c r="M976" s="49"/>
      <c r="N976" s="49"/>
      <c r="O976" s="49"/>
      <c r="P976" s="49"/>
      <c r="Q976" s="49"/>
      <c r="R976" s="49"/>
      <c r="S976" s="49"/>
      <c r="T976" s="49"/>
      <c r="U976" s="49"/>
      <c r="V976" s="49"/>
      <c r="W976" s="49"/>
      <c r="X976" s="49"/>
      <c r="Y976" s="49"/>
      <c r="Z976" s="49"/>
      <c r="AA976" s="49"/>
      <c r="AB976" s="49"/>
      <c r="AC976" s="49"/>
    </row>
    <row r="977" spans="1:29">
      <c r="A977" s="62">
        <v>7640009477</v>
      </c>
      <c r="B977" s="61" t="s">
        <v>294</v>
      </c>
      <c r="C977" s="271">
        <f>VLOOKUP($A$8:$A$1487,'[7]MFP''s'!A$8:C$1502,3,FALSE)</f>
        <v>1166</v>
      </c>
      <c r="D977" s="364">
        <v>553</v>
      </c>
      <c r="E977" s="274">
        <f t="shared" si="94"/>
        <v>0.52572898799313894</v>
      </c>
      <c r="F977" s="196">
        <f t="shared" si="95"/>
        <v>20.776209999999999</v>
      </c>
      <c r="G977" s="196">
        <f t="shared" si="96"/>
        <v>16.396449999999998</v>
      </c>
      <c r="H977" s="199">
        <f t="shared" si="97"/>
        <v>13.84159</v>
      </c>
      <c r="I977" s="49"/>
      <c r="J977" s="49"/>
      <c r="K977" s="49"/>
      <c r="L977" s="49"/>
      <c r="M977" s="49"/>
      <c r="N977" s="49"/>
      <c r="O977" s="49"/>
      <c r="P977" s="49"/>
      <c r="Q977" s="49"/>
      <c r="R977" s="49"/>
      <c r="S977" s="49"/>
      <c r="T977" s="49"/>
      <c r="U977" s="49"/>
      <c r="V977" s="49"/>
      <c r="W977" s="49"/>
      <c r="X977" s="49"/>
      <c r="Y977" s="49"/>
      <c r="Z977" s="49"/>
      <c r="AA977" s="49"/>
      <c r="AB977" s="49"/>
      <c r="AC977" s="49"/>
    </row>
    <row r="978" spans="1:29">
      <c r="A978" s="62">
        <v>7640009478</v>
      </c>
      <c r="B978" s="61" t="s">
        <v>295</v>
      </c>
      <c r="C978" s="271">
        <f>VLOOKUP($A$8:$A$1487,'[7]MFP''s'!A$8:C$1502,3,FALSE)</f>
        <v>3179</v>
      </c>
      <c r="D978" s="364">
        <v>1506</v>
      </c>
      <c r="E978" s="274">
        <f t="shared" si="94"/>
        <v>0.52626612142183071</v>
      </c>
      <c r="F978" s="196">
        <f t="shared" si="95"/>
        <v>56.580419999999997</v>
      </c>
      <c r="G978" s="196">
        <f t="shared" si="96"/>
        <v>44.652899999999995</v>
      </c>
      <c r="H978" s="199">
        <f t="shared" si="97"/>
        <v>37.695180000000001</v>
      </c>
      <c r="I978" s="49"/>
      <c r="J978" s="49"/>
      <c r="K978" s="49"/>
      <c r="L978" s="49"/>
      <c r="M978" s="49"/>
      <c r="N978" s="49"/>
      <c r="O978" s="49"/>
      <c r="P978" s="49"/>
      <c r="Q978" s="49"/>
      <c r="R978" s="49"/>
      <c r="S978" s="49"/>
      <c r="T978" s="49"/>
      <c r="U978" s="49"/>
      <c r="V978" s="49"/>
      <c r="W978" s="49"/>
      <c r="X978" s="49"/>
      <c r="Y978" s="49"/>
      <c r="Z978" s="49"/>
      <c r="AA978" s="49"/>
      <c r="AB978" s="49"/>
      <c r="AC978" s="49"/>
    </row>
    <row r="979" spans="1:29" ht="30">
      <c r="A979" s="62">
        <v>3000005452</v>
      </c>
      <c r="B979" s="61" t="s">
        <v>296</v>
      </c>
      <c r="C979" s="271">
        <f>VLOOKUP($A$8:$A$1487,'[7]MFP''s'!A$8:C$1502,3,FALSE)</f>
        <v>3400</v>
      </c>
      <c r="D979" s="364">
        <v>1610</v>
      </c>
      <c r="E979" s="274">
        <f t="shared" si="94"/>
        <v>0.52647058823529413</v>
      </c>
      <c r="F979" s="196">
        <f t="shared" si="95"/>
        <v>60.487699999999997</v>
      </c>
      <c r="G979" s="196">
        <f t="shared" si="96"/>
        <v>47.736499999999999</v>
      </c>
      <c r="H979" s="199">
        <f t="shared" si="97"/>
        <v>40.298299999999998</v>
      </c>
      <c r="I979" s="49"/>
      <c r="J979" s="49"/>
      <c r="K979" s="49"/>
      <c r="L979" s="49"/>
      <c r="M979" s="49"/>
      <c r="N979" s="49"/>
      <c r="O979" s="49"/>
      <c r="P979" s="49"/>
      <c r="Q979" s="49"/>
      <c r="R979" s="49"/>
      <c r="S979" s="49"/>
      <c r="T979" s="49"/>
      <c r="U979" s="49"/>
      <c r="V979" s="49"/>
      <c r="W979" s="49"/>
      <c r="X979" s="49"/>
      <c r="Y979" s="49"/>
      <c r="Z979" s="49"/>
      <c r="AA979" s="49"/>
      <c r="AB979" s="49"/>
      <c r="AC979" s="49"/>
    </row>
    <row r="980" spans="1:29">
      <c r="A980" s="62">
        <v>7640017030</v>
      </c>
      <c r="B980" s="61" t="s">
        <v>297</v>
      </c>
      <c r="C980" s="271">
        <f>VLOOKUP($A$8:$A$1487,'[7]MFP''s'!A$8:C$1502,3,FALSE)</f>
        <v>4500</v>
      </c>
      <c r="D980" s="364">
        <v>2131</v>
      </c>
      <c r="E980" s="274">
        <f t="shared" si="94"/>
        <v>0.52644444444444449</v>
      </c>
      <c r="F980" s="196">
        <f t="shared" si="95"/>
        <v>80.061669999999992</v>
      </c>
      <c r="G980" s="196">
        <f t="shared" si="96"/>
        <v>63.184149999999995</v>
      </c>
      <c r="H980" s="199">
        <f t="shared" si="97"/>
        <v>53.338929999999998</v>
      </c>
      <c r="I980" s="49"/>
      <c r="J980" s="49"/>
      <c r="K980" s="49"/>
      <c r="L980" s="49"/>
      <c r="M980" s="49"/>
      <c r="N980" s="49"/>
      <c r="O980" s="49"/>
      <c r="P980" s="49"/>
      <c r="Q980" s="49"/>
      <c r="R980" s="49"/>
      <c r="S980" s="49"/>
      <c r="T980" s="49"/>
      <c r="U980" s="49"/>
      <c r="V980" s="49"/>
      <c r="W980" s="49"/>
      <c r="X980" s="49"/>
      <c r="Y980" s="49"/>
      <c r="Z980" s="49"/>
      <c r="AA980" s="49"/>
      <c r="AB980" s="49"/>
      <c r="AC980" s="49"/>
    </row>
    <row r="981" spans="1:29">
      <c r="A981" s="60" t="s">
        <v>123</v>
      </c>
      <c r="B981" s="65"/>
      <c r="C981" s="271"/>
      <c r="D981" s="364"/>
      <c r="E981" s="274"/>
      <c r="F981" s="196"/>
      <c r="G981" s="196"/>
      <c r="H981" s="199"/>
      <c r="I981" s="49"/>
      <c r="J981" s="49"/>
      <c r="K981" s="49"/>
      <c r="L981" s="49"/>
      <c r="M981" s="49"/>
      <c r="N981" s="49"/>
      <c r="O981" s="49"/>
      <c r="P981" s="49"/>
      <c r="Q981" s="49"/>
      <c r="R981" s="49"/>
      <c r="S981" s="49"/>
      <c r="T981" s="49"/>
      <c r="U981" s="49"/>
      <c r="V981" s="49"/>
      <c r="W981" s="49"/>
      <c r="X981" s="49"/>
      <c r="Y981" s="49"/>
      <c r="Z981" s="49"/>
      <c r="AA981" s="49"/>
      <c r="AB981" s="49"/>
      <c r="AC981" s="49"/>
    </row>
    <row r="982" spans="1:29" ht="30">
      <c r="A982" s="62" t="s">
        <v>126</v>
      </c>
      <c r="B982" s="61" t="s">
        <v>127</v>
      </c>
      <c r="C982" s="271">
        <f>VLOOKUP($A$8:$A$1487,'[7]MFP''s'!A$8:C$1502,3,FALSE)</f>
        <v>1100</v>
      </c>
      <c r="D982" s="364">
        <v>521</v>
      </c>
      <c r="E982" s="274">
        <f t="shared" si="94"/>
        <v>0.52636363636363637</v>
      </c>
      <c r="F982" s="196">
        <f t="shared" si="95"/>
        <v>19.573969999999999</v>
      </c>
      <c r="G982" s="196">
        <f t="shared" si="96"/>
        <v>15.447649999999999</v>
      </c>
      <c r="H982" s="199">
        <f t="shared" si="97"/>
        <v>13.04063</v>
      </c>
      <c r="I982" s="49"/>
      <c r="J982" s="49"/>
      <c r="K982" s="49"/>
      <c r="L982" s="49"/>
      <c r="M982" s="49"/>
      <c r="N982" s="49"/>
      <c r="O982" s="49"/>
      <c r="P982" s="49"/>
      <c r="Q982" s="49"/>
      <c r="R982" s="49"/>
      <c r="S982" s="49"/>
      <c r="T982" s="49"/>
      <c r="U982" s="49"/>
      <c r="V982" s="49"/>
      <c r="W982" s="49"/>
      <c r="X982" s="49"/>
      <c r="Y982" s="49"/>
      <c r="Z982" s="49"/>
      <c r="AA982" s="49"/>
      <c r="AB982" s="49"/>
      <c r="AC982" s="49"/>
    </row>
    <row r="983" spans="1:29">
      <c r="A983" s="62" t="s">
        <v>124</v>
      </c>
      <c r="B983" s="61" t="s">
        <v>125</v>
      </c>
      <c r="C983" s="271">
        <f>VLOOKUP($A$8:$A$1487,'[7]MFP''s'!A$8:C$1502,3,FALSE)</f>
        <v>53</v>
      </c>
      <c r="D983" s="364">
        <v>26</v>
      </c>
      <c r="E983" s="274">
        <f t="shared" si="94"/>
        <v>0.50943396226415094</v>
      </c>
      <c r="F983" s="196">
        <f t="shared" si="95"/>
        <v>0.97682000000000002</v>
      </c>
      <c r="G983" s="196">
        <f t="shared" si="96"/>
        <v>0.77090000000000003</v>
      </c>
      <c r="H983" s="199">
        <f t="shared" si="97"/>
        <v>0.65078000000000003</v>
      </c>
      <c r="I983" s="49"/>
      <c r="J983" s="49"/>
      <c r="K983" s="49"/>
      <c r="L983" s="49"/>
      <c r="M983" s="49"/>
      <c r="N983" s="49"/>
      <c r="O983" s="49"/>
      <c r="P983" s="49"/>
      <c r="Q983" s="49"/>
      <c r="R983" s="49"/>
      <c r="S983" s="49"/>
      <c r="T983" s="49"/>
      <c r="U983" s="49"/>
      <c r="V983" s="49"/>
      <c r="W983" s="49"/>
      <c r="X983" s="49"/>
      <c r="Y983" s="49"/>
      <c r="Z983" s="49"/>
      <c r="AA983" s="49"/>
      <c r="AB983" s="49"/>
      <c r="AC983" s="49"/>
    </row>
    <row r="984" spans="1:29">
      <c r="A984" s="62" t="s">
        <v>128</v>
      </c>
      <c r="B984" s="61" t="s">
        <v>129</v>
      </c>
      <c r="C984" s="271">
        <f>VLOOKUP($A$8:$A$1487,'[7]MFP''s'!A$8:C$1502,3,FALSE)</f>
        <v>785</v>
      </c>
      <c r="D984" s="364">
        <v>372</v>
      </c>
      <c r="E984" s="274">
        <f t="shared" si="94"/>
        <v>0.52611464968152866</v>
      </c>
      <c r="F984" s="196">
        <f t="shared" si="95"/>
        <v>13.976039999999999</v>
      </c>
      <c r="G984" s="196">
        <f t="shared" si="96"/>
        <v>11.0298</v>
      </c>
      <c r="H984" s="199">
        <f t="shared" si="97"/>
        <v>9.3111599999999992</v>
      </c>
      <c r="I984" s="49"/>
      <c r="J984" s="49"/>
      <c r="K984" s="49"/>
      <c r="L984" s="49"/>
      <c r="M984" s="49"/>
      <c r="N984" s="49"/>
      <c r="O984" s="49"/>
      <c r="P984" s="49"/>
      <c r="Q984" s="49"/>
      <c r="R984" s="49"/>
      <c r="S984" s="49"/>
      <c r="T984" s="49"/>
      <c r="U984" s="49"/>
      <c r="V984" s="49"/>
      <c r="W984" s="49"/>
      <c r="X984" s="49"/>
      <c r="Y984" s="49"/>
      <c r="Z984" s="49"/>
      <c r="AA984" s="49"/>
      <c r="AB984" s="49"/>
      <c r="AC984" s="49"/>
    </row>
    <row r="985" spans="1:29">
      <c r="A985" s="62" t="s">
        <v>130</v>
      </c>
      <c r="B985" s="61" t="s">
        <v>131</v>
      </c>
      <c r="C985" s="271">
        <f>VLOOKUP($A$8:$A$1487,'[7]MFP''s'!A$8:C$1502,3,FALSE)</f>
        <v>668</v>
      </c>
      <c r="D985" s="364">
        <v>317</v>
      </c>
      <c r="E985" s="274">
        <f t="shared" si="94"/>
        <v>0.52544910179640714</v>
      </c>
      <c r="F985" s="196">
        <f t="shared" si="95"/>
        <v>11.909689999999999</v>
      </c>
      <c r="G985" s="196">
        <f t="shared" si="96"/>
        <v>9.399049999999999</v>
      </c>
      <c r="H985" s="199">
        <f t="shared" si="97"/>
        <v>7.9345100000000004</v>
      </c>
      <c r="I985" s="49"/>
      <c r="J985" s="49"/>
      <c r="K985" s="49"/>
      <c r="L985" s="49"/>
      <c r="M985" s="49"/>
      <c r="N985" s="49"/>
      <c r="O985" s="49"/>
      <c r="P985" s="49"/>
      <c r="Q985" s="49"/>
      <c r="R985" s="49"/>
      <c r="S985" s="49"/>
      <c r="T985" s="49"/>
      <c r="U985" s="49"/>
      <c r="V985" s="49"/>
      <c r="W985" s="49"/>
      <c r="X985" s="49"/>
      <c r="Y985" s="49"/>
      <c r="Z985" s="49"/>
      <c r="AA985" s="49"/>
      <c r="AB985" s="49"/>
      <c r="AC985" s="49"/>
    </row>
    <row r="986" spans="1:29">
      <c r="A986" s="62" t="s">
        <v>132</v>
      </c>
      <c r="B986" s="61" t="s">
        <v>133</v>
      </c>
      <c r="C986" s="271">
        <f>VLOOKUP($A$8:$A$1487,'[7]MFP''s'!A$8:C$1502,3,FALSE)</f>
        <v>821</v>
      </c>
      <c r="D986" s="364">
        <v>389</v>
      </c>
      <c r="E986" s="274">
        <f t="shared" si="94"/>
        <v>0.52618757612667477</v>
      </c>
      <c r="F986" s="196">
        <f t="shared" si="95"/>
        <v>14.61473</v>
      </c>
      <c r="G986" s="196">
        <f t="shared" si="96"/>
        <v>11.533849999999999</v>
      </c>
      <c r="H986" s="199">
        <f t="shared" si="97"/>
        <v>9.7366700000000002</v>
      </c>
      <c r="I986" s="49"/>
      <c r="J986" s="49"/>
      <c r="K986" s="49"/>
      <c r="L986" s="49"/>
      <c r="M986" s="49"/>
      <c r="N986" s="49"/>
      <c r="O986" s="49"/>
      <c r="P986" s="49"/>
      <c r="Q986" s="49"/>
      <c r="R986" s="49"/>
      <c r="S986" s="49"/>
      <c r="T986" s="49"/>
      <c r="U986" s="49"/>
      <c r="V986" s="49"/>
      <c r="W986" s="49"/>
      <c r="X986" s="49"/>
      <c r="Y986" s="49"/>
      <c r="Z986" s="49"/>
      <c r="AA986" s="49"/>
      <c r="AB986" s="49"/>
      <c r="AC986" s="49"/>
    </row>
    <row r="987" spans="1:29">
      <c r="A987" s="62" t="s">
        <v>134</v>
      </c>
      <c r="B987" s="61" t="s">
        <v>135</v>
      </c>
      <c r="C987" s="271">
        <f>VLOOKUP($A$8:$A$1487,'[7]MFP''s'!A$8:C$1502,3,FALSE)</f>
        <v>690</v>
      </c>
      <c r="D987" s="364">
        <v>327</v>
      </c>
      <c r="E987" s="274">
        <f t="shared" si="94"/>
        <v>0.5260869565217392</v>
      </c>
      <c r="F987" s="196">
        <f t="shared" si="95"/>
        <v>12.28539</v>
      </c>
      <c r="G987" s="196">
        <f t="shared" si="96"/>
        <v>9.695549999999999</v>
      </c>
      <c r="H987" s="199">
        <f t="shared" si="97"/>
        <v>8.1848100000000006</v>
      </c>
      <c r="I987" s="49"/>
      <c r="J987" s="49"/>
      <c r="K987" s="49"/>
      <c r="L987" s="49"/>
      <c r="M987" s="49"/>
      <c r="N987" s="49"/>
      <c r="O987" s="49"/>
      <c r="P987" s="49"/>
      <c r="Q987" s="49"/>
      <c r="R987" s="49"/>
      <c r="S987" s="49"/>
      <c r="T987" s="49"/>
      <c r="U987" s="49"/>
      <c r="V987" s="49"/>
      <c r="W987" s="49"/>
      <c r="X987" s="49"/>
      <c r="Y987" s="49"/>
      <c r="Z987" s="49"/>
      <c r="AA987" s="49"/>
      <c r="AB987" s="49"/>
      <c r="AC987" s="49"/>
    </row>
    <row r="988" spans="1:29">
      <c r="A988" s="62" t="s">
        <v>136</v>
      </c>
      <c r="B988" s="61" t="s">
        <v>137</v>
      </c>
      <c r="C988" s="271">
        <f>VLOOKUP($A$8:$A$1487,'[7]MFP''s'!A$8:C$1502,3,FALSE)</f>
        <v>191</v>
      </c>
      <c r="D988" s="364">
        <v>91</v>
      </c>
      <c r="E988" s="274">
        <f t="shared" si="94"/>
        <v>0.52356020942408377</v>
      </c>
      <c r="F988" s="196">
        <f t="shared" si="95"/>
        <v>3.4188700000000001</v>
      </c>
      <c r="G988" s="196">
        <f t="shared" si="96"/>
        <v>2.69815</v>
      </c>
      <c r="H988" s="199">
        <f t="shared" si="97"/>
        <v>2.27773</v>
      </c>
      <c r="I988" s="49"/>
      <c r="J988" s="49"/>
      <c r="K988" s="49"/>
      <c r="L988" s="49"/>
      <c r="M988" s="49"/>
      <c r="N988" s="49"/>
      <c r="O988" s="49"/>
      <c r="P988" s="49"/>
      <c r="Q988" s="49"/>
      <c r="R988" s="49"/>
      <c r="S988" s="49"/>
      <c r="T988" s="49"/>
      <c r="U988" s="49"/>
      <c r="V988" s="49"/>
      <c r="W988" s="49"/>
      <c r="X988" s="49"/>
      <c r="Y988" s="49"/>
      <c r="Z988" s="49"/>
      <c r="AA988" s="49"/>
      <c r="AB988" s="49"/>
      <c r="AC988" s="49"/>
    </row>
    <row r="989" spans="1:29" ht="30">
      <c r="A989" s="62" t="s">
        <v>138</v>
      </c>
      <c r="B989" s="61" t="s">
        <v>139</v>
      </c>
      <c r="C989" s="271">
        <f>VLOOKUP($A$8:$A$1487,'[7]MFP''s'!A$8:C$1502,3,FALSE)</f>
        <v>1500</v>
      </c>
      <c r="D989" s="364">
        <v>711</v>
      </c>
      <c r="E989" s="274">
        <f t="shared" si="94"/>
        <v>0.52600000000000002</v>
      </c>
      <c r="F989" s="196">
        <f t="shared" si="95"/>
        <v>26.71227</v>
      </c>
      <c r="G989" s="196">
        <f t="shared" si="96"/>
        <v>21.081150000000001</v>
      </c>
      <c r="H989" s="199">
        <f t="shared" si="97"/>
        <v>17.796330000000001</v>
      </c>
      <c r="I989" s="49"/>
      <c r="J989" s="49"/>
      <c r="K989" s="49"/>
      <c r="L989" s="49"/>
      <c r="M989" s="49"/>
      <c r="N989" s="49"/>
      <c r="O989" s="49"/>
      <c r="P989" s="49"/>
      <c r="Q989" s="49"/>
      <c r="R989" s="49"/>
      <c r="S989" s="49"/>
      <c r="T989" s="49"/>
      <c r="U989" s="49"/>
      <c r="V989" s="49"/>
      <c r="W989" s="49"/>
      <c r="X989" s="49"/>
      <c r="Y989" s="49"/>
      <c r="Z989" s="49"/>
      <c r="AA989" s="49"/>
      <c r="AB989" s="49"/>
      <c r="AC989" s="49"/>
    </row>
    <row r="990" spans="1:29">
      <c r="A990" s="62" t="s">
        <v>140</v>
      </c>
      <c r="B990" s="61" t="s">
        <v>141</v>
      </c>
      <c r="C990" s="271">
        <f>VLOOKUP($A$8:$A$1487,'[7]MFP''s'!A$8:C$1502,3,FALSE)</f>
        <v>250</v>
      </c>
      <c r="D990" s="364">
        <v>119</v>
      </c>
      <c r="E990" s="274">
        <f t="shared" si="94"/>
        <v>0.52400000000000002</v>
      </c>
      <c r="F990" s="196">
        <f t="shared" si="95"/>
        <v>4.4708300000000003</v>
      </c>
      <c r="G990" s="196">
        <f t="shared" si="96"/>
        <v>3.5283500000000001</v>
      </c>
      <c r="H990" s="199">
        <f t="shared" si="97"/>
        <v>2.9785699999999999</v>
      </c>
      <c r="I990" s="49"/>
      <c r="J990" s="49"/>
      <c r="K990" s="49"/>
      <c r="L990" s="49"/>
      <c r="M990" s="49"/>
      <c r="N990" s="49"/>
      <c r="O990" s="49"/>
      <c r="P990" s="49"/>
      <c r="Q990" s="49"/>
      <c r="R990" s="49"/>
      <c r="S990" s="49"/>
      <c r="T990" s="49"/>
      <c r="U990" s="49"/>
      <c r="V990" s="49"/>
      <c r="W990" s="49"/>
      <c r="X990" s="49"/>
      <c r="Y990" s="49"/>
      <c r="Z990" s="49"/>
      <c r="AA990" s="49"/>
      <c r="AB990" s="49"/>
      <c r="AC990" s="49"/>
    </row>
    <row r="991" spans="1:29">
      <c r="A991" s="62" t="s">
        <v>142</v>
      </c>
      <c r="B991" s="61" t="s">
        <v>143</v>
      </c>
      <c r="C991" s="271">
        <f>VLOOKUP($A$8:$A$1487,'[7]MFP''s'!A$8:C$1502,3,FALSE)</f>
        <v>290</v>
      </c>
      <c r="D991" s="364">
        <v>138</v>
      </c>
      <c r="E991" s="274">
        <f t="shared" si="94"/>
        <v>0.5241379310344827</v>
      </c>
      <c r="F991" s="196">
        <f t="shared" si="95"/>
        <v>5.18466</v>
      </c>
      <c r="G991" s="196">
        <f t="shared" si="96"/>
        <v>4.0917000000000003</v>
      </c>
      <c r="H991" s="199">
        <f t="shared" si="97"/>
        <v>3.4541400000000002</v>
      </c>
      <c r="I991" s="49"/>
      <c r="J991" s="49"/>
      <c r="K991" s="49"/>
      <c r="L991" s="49"/>
      <c r="M991" s="49"/>
      <c r="N991" s="49"/>
      <c r="O991" s="49"/>
      <c r="P991" s="49"/>
      <c r="Q991" s="49"/>
      <c r="R991" s="49"/>
      <c r="S991" s="49"/>
      <c r="T991" s="49"/>
      <c r="U991" s="49"/>
      <c r="V991" s="49"/>
      <c r="W991" s="49"/>
      <c r="X991" s="49"/>
      <c r="Y991" s="49"/>
      <c r="Z991" s="49"/>
      <c r="AA991" s="49"/>
      <c r="AB991" s="49"/>
      <c r="AC991" s="49"/>
    </row>
    <row r="992" spans="1:29">
      <c r="A992" s="60" t="s">
        <v>47</v>
      </c>
      <c r="B992" s="61"/>
      <c r="C992" s="271"/>
      <c r="D992" s="364"/>
      <c r="E992" s="274"/>
      <c r="F992" s="196"/>
      <c r="G992" s="196"/>
      <c r="H992" s="199"/>
      <c r="I992" s="49"/>
      <c r="J992" s="49"/>
      <c r="K992" s="49"/>
      <c r="L992" s="49"/>
      <c r="M992" s="49"/>
      <c r="N992" s="49"/>
      <c r="O992" s="49"/>
      <c r="P992" s="49"/>
      <c r="Q992" s="49"/>
      <c r="R992" s="49"/>
      <c r="S992" s="49"/>
      <c r="T992" s="49"/>
      <c r="U992" s="49"/>
      <c r="V992" s="49"/>
      <c r="W992" s="49"/>
      <c r="X992" s="49"/>
      <c r="Y992" s="49"/>
      <c r="Z992" s="49"/>
      <c r="AA992" s="49"/>
      <c r="AB992" s="49"/>
      <c r="AC992" s="49"/>
    </row>
    <row r="993" spans="1:29">
      <c r="A993" s="62" t="s">
        <v>144</v>
      </c>
      <c r="B993" s="61" t="s">
        <v>145</v>
      </c>
      <c r="C993" s="271">
        <f>VLOOKUP($A$8:$A$1487,'[7]MFP''s'!A$8:C$1502,3,FALSE)</f>
        <v>947</v>
      </c>
      <c r="D993" s="364">
        <v>430</v>
      </c>
      <c r="E993" s="274">
        <f t="shared" si="94"/>
        <v>0.5459345300950369</v>
      </c>
      <c r="F993" s="196">
        <f t="shared" si="95"/>
        <v>16.155100000000001</v>
      </c>
      <c r="G993" s="196">
        <f t="shared" si="96"/>
        <v>12.749499999999999</v>
      </c>
      <c r="H993" s="199">
        <f t="shared" si="97"/>
        <v>10.7629</v>
      </c>
      <c r="I993" s="49"/>
      <c r="J993" s="49"/>
      <c r="K993" s="49"/>
      <c r="L993" s="49"/>
      <c r="M993" s="49"/>
      <c r="N993" s="49"/>
      <c r="O993" s="49"/>
      <c r="P993" s="49"/>
      <c r="Q993" s="49"/>
      <c r="R993" s="49"/>
      <c r="S993" s="49"/>
      <c r="T993" s="49"/>
      <c r="U993" s="49"/>
      <c r="V993" s="49"/>
      <c r="W993" s="49"/>
      <c r="X993" s="49"/>
      <c r="Y993" s="49"/>
      <c r="Z993" s="49"/>
      <c r="AA993" s="49"/>
      <c r="AB993" s="49"/>
      <c r="AC993" s="49"/>
    </row>
    <row r="994" spans="1:29">
      <c r="A994" s="62">
        <v>7640005064</v>
      </c>
      <c r="B994" s="61" t="s">
        <v>67</v>
      </c>
      <c r="C994" s="271">
        <f>VLOOKUP($A$8:$A$1487,'[7]MFP''s'!A$8:C$1502,3,FALSE)</f>
        <v>423</v>
      </c>
      <c r="D994" s="364">
        <v>201</v>
      </c>
      <c r="E994" s="274">
        <f t="shared" si="94"/>
        <v>0.52482269503546097</v>
      </c>
      <c r="F994" s="196">
        <f t="shared" si="95"/>
        <v>7.5515699999999999</v>
      </c>
      <c r="G994" s="196">
        <f t="shared" si="96"/>
        <v>5.9596499999999999</v>
      </c>
      <c r="H994" s="199">
        <f t="shared" si="97"/>
        <v>5.0310300000000003</v>
      </c>
      <c r="I994" s="49"/>
      <c r="J994" s="49"/>
      <c r="K994" s="49"/>
      <c r="L994" s="49"/>
      <c r="M994" s="49"/>
      <c r="N994" s="49"/>
      <c r="O994" s="49"/>
      <c r="P994" s="49"/>
      <c r="Q994" s="49"/>
      <c r="R994" s="49"/>
      <c r="S994" s="49"/>
      <c r="T994" s="49"/>
      <c r="U994" s="49"/>
      <c r="V994" s="49"/>
      <c r="W994" s="49"/>
      <c r="X994" s="49"/>
      <c r="Y994" s="49"/>
      <c r="Z994" s="49"/>
      <c r="AA994" s="49"/>
      <c r="AB994" s="49"/>
      <c r="AC994" s="49"/>
    </row>
    <row r="995" spans="1:29">
      <c r="A995" s="62">
        <v>7640008394</v>
      </c>
      <c r="B995" s="61" t="s">
        <v>68</v>
      </c>
      <c r="C995" s="271">
        <f>VLOOKUP($A$8:$A$1487,'[7]MFP''s'!A$8:C$1502,3,FALSE)</f>
        <v>476</v>
      </c>
      <c r="D995" s="364">
        <v>226</v>
      </c>
      <c r="E995" s="274">
        <f t="shared" si="94"/>
        <v>0.52521008403361347</v>
      </c>
      <c r="F995" s="196">
        <f t="shared" si="95"/>
        <v>8.4908199999999994</v>
      </c>
      <c r="G995" s="196">
        <f t="shared" si="96"/>
        <v>6.7008999999999999</v>
      </c>
      <c r="H995" s="199">
        <f t="shared" si="97"/>
        <v>5.6567800000000004</v>
      </c>
      <c r="I995" s="49"/>
      <c r="J995" s="49"/>
      <c r="K995" s="49"/>
      <c r="L995" s="49"/>
      <c r="M995" s="49"/>
      <c r="N995" s="49"/>
      <c r="O995" s="49"/>
      <c r="P995" s="49"/>
      <c r="Q995" s="49"/>
      <c r="R995" s="49"/>
      <c r="S995" s="49"/>
      <c r="T995" s="49"/>
      <c r="U995" s="49"/>
      <c r="V995" s="49"/>
      <c r="W995" s="49"/>
      <c r="X995" s="49"/>
      <c r="Y995" s="49"/>
      <c r="Z995" s="49"/>
      <c r="AA995" s="49"/>
      <c r="AB995" s="49"/>
      <c r="AC995" s="49"/>
    </row>
    <row r="996" spans="1:29">
      <c r="A996" s="62" t="s">
        <v>149</v>
      </c>
      <c r="B996" s="61" t="s">
        <v>150</v>
      </c>
      <c r="C996" s="271">
        <f>VLOOKUP($A$8:$A$1487,'[7]MFP''s'!A$8:C$1502,3,FALSE)</f>
        <v>60</v>
      </c>
      <c r="D996" s="364">
        <v>29</v>
      </c>
      <c r="E996" s="274">
        <f t="shared" si="94"/>
        <v>0.51666666666666661</v>
      </c>
      <c r="F996" s="196">
        <f t="shared" si="95"/>
        <v>1.0895299999999999</v>
      </c>
      <c r="G996" s="196">
        <f t="shared" si="96"/>
        <v>0.85985</v>
      </c>
      <c r="H996" s="199">
        <f t="shared" si="97"/>
        <v>0.72587000000000002</v>
      </c>
      <c r="I996" s="49"/>
      <c r="J996" s="49"/>
      <c r="K996" s="49"/>
      <c r="L996" s="49"/>
      <c r="M996" s="49"/>
      <c r="N996" s="49"/>
      <c r="O996" s="49"/>
      <c r="P996" s="49"/>
      <c r="Q996" s="49"/>
      <c r="R996" s="49"/>
      <c r="S996" s="49"/>
      <c r="T996" s="49"/>
      <c r="U996" s="49"/>
      <c r="V996" s="49"/>
      <c r="W996" s="49"/>
      <c r="X996" s="49"/>
      <c r="Y996" s="49"/>
      <c r="Z996" s="49"/>
      <c r="AA996" s="49"/>
      <c r="AB996" s="49"/>
      <c r="AC996" s="49"/>
    </row>
    <row r="997" spans="1:29" ht="30">
      <c r="A997" s="62" t="s">
        <v>197</v>
      </c>
      <c r="B997" s="61" t="s">
        <v>198</v>
      </c>
      <c r="C997" s="271">
        <f>VLOOKUP($A$8:$A$1487,'[7]MFP''s'!A$8:C$1502,3,FALSE)</f>
        <v>279</v>
      </c>
      <c r="D997" s="364">
        <v>133</v>
      </c>
      <c r="E997" s="274">
        <f t="shared" si="94"/>
        <v>0.52329749103942658</v>
      </c>
      <c r="F997" s="196">
        <f t="shared" si="95"/>
        <v>4.99681</v>
      </c>
      <c r="G997" s="196">
        <f t="shared" si="96"/>
        <v>3.9434499999999999</v>
      </c>
      <c r="H997" s="199">
        <f t="shared" si="97"/>
        <v>3.3289900000000001</v>
      </c>
      <c r="I997" s="49"/>
      <c r="J997" s="49"/>
      <c r="K997" s="49"/>
      <c r="L997" s="49"/>
      <c r="M997" s="49"/>
      <c r="N997" s="49"/>
      <c r="O997" s="49"/>
      <c r="P997" s="49"/>
      <c r="Q997" s="49"/>
      <c r="R997" s="49"/>
      <c r="S997" s="49"/>
      <c r="T997" s="49"/>
      <c r="U997" s="49"/>
      <c r="V997" s="49"/>
      <c r="W997" s="49"/>
      <c r="X997" s="49"/>
      <c r="Y997" s="49"/>
      <c r="Z997" s="49"/>
      <c r="AA997" s="49"/>
      <c r="AB997" s="49"/>
      <c r="AC997" s="49"/>
    </row>
    <row r="998" spans="1:29">
      <c r="A998" s="62" t="s">
        <v>199</v>
      </c>
      <c r="B998" s="61" t="s">
        <v>200</v>
      </c>
      <c r="C998" s="271">
        <f>VLOOKUP($A$8:$A$1487,'[7]MFP''s'!A$8:C$1502,3,FALSE)</f>
        <v>200</v>
      </c>
      <c r="D998" s="364">
        <v>95</v>
      </c>
      <c r="E998" s="274">
        <f t="shared" ref="E998:E1061" si="98">100%-(D998/C998)</f>
        <v>0.52500000000000002</v>
      </c>
      <c r="F998" s="196">
        <f t="shared" si="95"/>
        <v>3.56915</v>
      </c>
      <c r="G998" s="196">
        <f t="shared" si="96"/>
        <v>2.8167499999999999</v>
      </c>
      <c r="H998" s="199">
        <f t="shared" si="97"/>
        <v>2.37785</v>
      </c>
      <c r="I998" s="49"/>
      <c r="J998" s="49"/>
      <c r="K998" s="49"/>
      <c r="L998" s="49"/>
      <c r="M998" s="49"/>
      <c r="N998" s="49"/>
      <c r="O998" s="49"/>
      <c r="P998" s="49"/>
      <c r="Q998" s="49"/>
      <c r="R998" s="49"/>
      <c r="S998" s="49"/>
      <c r="T998" s="49"/>
      <c r="U998" s="49"/>
      <c r="V998" s="49"/>
      <c r="W998" s="49"/>
      <c r="X998" s="49"/>
      <c r="Y998" s="49"/>
      <c r="Z998" s="49"/>
      <c r="AA998" s="49"/>
      <c r="AB998" s="49"/>
      <c r="AC998" s="49"/>
    </row>
    <row r="999" spans="1:29">
      <c r="A999" s="62">
        <v>7640006869</v>
      </c>
      <c r="B999" s="61" t="s">
        <v>155</v>
      </c>
      <c r="C999" s="271">
        <f>VLOOKUP($A$8:$A$1487,'[7]MFP''s'!A$8:C$1502,3,FALSE)</f>
        <v>223</v>
      </c>
      <c r="D999" s="364">
        <v>106</v>
      </c>
      <c r="E999" s="274">
        <f t="shared" si="98"/>
        <v>0.5246636771300448</v>
      </c>
      <c r="F999" s="196">
        <f t="shared" si="95"/>
        <v>3.9824199999999998</v>
      </c>
      <c r="G999" s="196">
        <f t="shared" si="96"/>
        <v>3.1429</v>
      </c>
      <c r="H999" s="199">
        <f t="shared" si="97"/>
        <v>2.6531799999999999</v>
      </c>
      <c r="I999" s="49"/>
      <c r="J999" s="49"/>
      <c r="K999" s="49"/>
      <c r="L999" s="49"/>
      <c r="M999" s="49"/>
      <c r="N999" s="49"/>
      <c r="O999" s="49"/>
      <c r="P999" s="49"/>
      <c r="Q999" s="49"/>
      <c r="R999" s="49"/>
      <c r="S999" s="49"/>
      <c r="T999" s="49"/>
      <c r="U999" s="49"/>
      <c r="V999" s="49"/>
      <c r="W999" s="49"/>
      <c r="X999" s="49"/>
      <c r="Y999" s="49"/>
      <c r="Z999" s="49"/>
      <c r="AA999" s="49"/>
      <c r="AB999" s="49"/>
      <c r="AC999" s="49"/>
    </row>
    <row r="1000" spans="1:29">
      <c r="A1000" s="62">
        <v>7640013468</v>
      </c>
      <c r="B1000" s="61" t="s">
        <v>146</v>
      </c>
      <c r="C1000" s="271">
        <f>VLOOKUP($A$8:$A$1487,'[7]MFP''s'!A$8:C$1502,3,FALSE)</f>
        <v>423</v>
      </c>
      <c r="D1000" s="364">
        <v>201</v>
      </c>
      <c r="E1000" s="274">
        <f t="shared" si="98"/>
        <v>0.52482269503546097</v>
      </c>
      <c r="F1000" s="196">
        <f t="shared" si="95"/>
        <v>7.5515699999999999</v>
      </c>
      <c r="G1000" s="196">
        <f t="shared" si="96"/>
        <v>5.9596499999999999</v>
      </c>
      <c r="H1000" s="199">
        <f t="shared" si="97"/>
        <v>5.0310300000000003</v>
      </c>
      <c r="I1000" s="49"/>
      <c r="J1000" s="49"/>
      <c r="K1000" s="49"/>
      <c r="L1000" s="49"/>
      <c r="M1000" s="49"/>
      <c r="N1000" s="49"/>
      <c r="O1000" s="49"/>
      <c r="P1000" s="49"/>
      <c r="Q1000" s="49"/>
      <c r="R1000" s="49"/>
      <c r="S1000" s="49"/>
      <c r="T1000" s="49"/>
      <c r="U1000" s="49"/>
      <c r="V1000" s="49"/>
      <c r="W1000" s="49"/>
      <c r="X1000" s="49"/>
      <c r="Y1000" s="49"/>
      <c r="Z1000" s="49"/>
      <c r="AA1000" s="49"/>
      <c r="AB1000" s="49"/>
      <c r="AC1000" s="49"/>
    </row>
    <row r="1001" spans="1:29">
      <c r="A1001" s="62" t="s">
        <v>156</v>
      </c>
      <c r="B1001" s="61" t="s">
        <v>157</v>
      </c>
      <c r="C1001" s="271">
        <f>VLOOKUP($A$8:$A$1487,'[7]MFP''s'!A$8:C$1502,3,FALSE)</f>
        <v>126</v>
      </c>
      <c r="D1001" s="364">
        <v>60</v>
      </c>
      <c r="E1001" s="274">
        <f t="shared" si="98"/>
        <v>0.52380952380952384</v>
      </c>
      <c r="F1001" s="196">
        <f t="shared" ref="F1001" si="99">D1001*$F$1</f>
        <v>2.2542</v>
      </c>
      <c r="G1001" s="196">
        <f t="shared" ref="G1001" si="100">D1001*$G$1</f>
        <v>1.7789999999999999</v>
      </c>
      <c r="H1001" s="199">
        <f t="shared" ref="H1001" si="101">D1001*$H$1</f>
        <v>1.5018</v>
      </c>
      <c r="I1001" s="49"/>
      <c r="J1001" s="49"/>
      <c r="K1001" s="49"/>
      <c r="L1001" s="49"/>
      <c r="M1001" s="49"/>
      <c r="N1001" s="49"/>
      <c r="O1001" s="49"/>
      <c r="P1001" s="49"/>
      <c r="Q1001" s="49"/>
      <c r="R1001" s="49"/>
      <c r="S1001" s="49"/>
      <c r="T1001" s="49"/>
      <c r="U1001" s="49"/>
      <c r="V1001" s="49"/>
      <c r="W1001" s="49"/>
      <c r="X1001" s="49"/>
      <c r="Y1001" s="49"/>
      <c r="Z1001" s="49"/>
      <c r="AA1001" s="49"/>
      <c r="AB1001" s="49"/>
      <c r="AC1001" s="49"/>
    </row>
    <row r="1002" spans="1:29">
      <c r="A1002" s="62" t="s">
        <v>158</v>
      </c>
      <c r="B1002" s="61" t="s">
        <v>159</v>
      </c>
      <c r="C1002" s="271">
        <f>VLOOKUP($A$8:$A$1487,'[7]MFP''s'!A$8:C$1502,3,FALSE)</f>
        <v>123</v>
      </c>
      <c r="D1002" s="364">
        <v>59</v>
      </c>
      <c r="E1002" s="274">
        <f t="shared" si="98"/>
        <v>0.52032520325203246</v>
      </c>
      <c r="F1002" s="196">
        <f t="shared" si="95"/>
        <v>2.2166299999999999</v>
      </c>
      <c r="G1002" s="196">
        <f t="shared" si="96"/>
        <v>1.74935</v>
      </c>
      <c r="H1002" s="199">
        <f t="shared" si="97"/>
        <v>1.4767699999999999</v>
      </c>
      <c r="I1002" s="49"/>
      <c r="J1002" s="49"/>
      <c r="K1002" s="49"/>
      <c r="L1002" s="49"/>
      <c r="M1002" s="49"/>
      <c r="N1002" s="49"/>
      <c r="O1002" s="49"/>
      <c r="P1002" s="49"/>
      <c r="Q1002" s="49"/>
      <c r="R1002" s="49"/>
      <c r="S1002" s="49"/>
      <c r="T1002" s="49"/>
      <c r="U1002" s="49"/>
      <c r="V1002" s="49"/>
      <c r="W1002" s="49"/>
      <c r="X1002" s="49"/>
      <c r="Y1002" s="49"/>
      <c r="Z1002" s="49"/>
      <c r="AA1002" s="49"/>
      <c r="AB1002" s="49"/>
      <c r="AC1002" s="49"/>
    </row>
    <row r="1003" spans="1:29" ht="30">
      <c r="A1003" s="62">
        <v>4623474</v>
      </c>
      <c r="B1003" s="61" t="s">
        <v>162</v>
      </c>
      <c r="C1003" s="271">
        <f>VLOOKUP($A$8:$A$1487,'[7]MFP''s'!A$8:C$1502,3,FALSE)</f>
        <v>86</v>
      </c>
      <c r="D1003" s="364">
        <v>41</v>
      </c>
      <c r="E1003" s="274">
        <f t="shared" si="98"/>
        <v>0.52325581395348841</v>
      </c>
      <c r="F1003" s="196">
        <f t="shared" si="95"/>
        <v>1.54037</v>
      </c>
      <c r="G1003" s="196">
        <f t="shared" si="96"/>
        <v>1.2156499999999999</v>
      </c>
      <c r="H1003" s="199">
        <f t="shared" si="97"/>
        <v>1.02623</v>
      </c>
      <c r="I1003" s="49"/>
      <c r="J1003" s="49"/>
      <c r="K1003" s="49"/>
      <c r="L1003" s="49"/>
      <c r="M1003" s="49"/>
      <c r="N1003" s="49"/>
      <c r="O1003" s="49"/>
      <c r="P1003" s="49"/>
      <c r="Q1003" s="49"/>
      <c r="R1003" s="49"/>
      <c r="S1003" s="49"/>
      <c r="T1003" s="49"/>
      <c r="U1003" s="49"/>
      <c r="V1003" s="49"/>
      <c r="W1003" s="49"/>
      <c r="X1003" s="49"/>
      <c r="Y1003" s="49"/>
      <c r="Z1003" s="49"/>
      <c r="AA1003" s="49"/>
      <c r="AB1003" s="49"/>
      <c r="AC1003" s="49"/>
    </row>
    <row r="1004" spans="1:29">
      <c r="A1004" s="62" t="s">
        <v>160</v>
      </c>
      <c r="B1004" s="61" t="s">
        <v>161</v>
      </c>
      <c r="C1004" s="271">
        <f>VLOOKUP($A$8:$A$1487,'[7]MFP''s'!A$8:C$1502,3,FALSE)</f>
        <v>112</v>
      </c>
      <c r="D1004" s="364">
        <v>54</v>
      </c>
      <c r="E1004" s="274">
        <f t="shared" si="98"/>
        <v>0.51785714285714279</v>
      </c>
      <c r="F1004" s="196">
        <f t="shared" si="95"/>
        <v>2.0287799999999998</v>
      </c>
      <c r="G1004" s="196">
        <f t="shared" si="96"/>
        <v>1.6011</v>
      </c>
      <c r="H1004" s="199">
        <f t="shared" si="97"/>
        <v>1.35162</v>
      </c>
      <c r="I1004" s="49"/>
      <c r="J1004" s="49"/>
      <c r="K1004" s="49"/>
      <c r="L1004" s="49"/>
      <c r="M1004" s="49"/>
      <c r="N1004" s="49"/>
      <c r="O1004" s="49"/>
      <c r="P1004" s="49"/>
      <c r="Q1004" s="49"/>
      <c r="R1004" s="49"/>
      <c r="S1004" s="49"/>
      <c r="T1004" s="49"/>
      <c r="U1004" s="49"/>
      <c r="V1004" s="49"/>
      <c r="W1004" s="49"/>
      <c r="X1004" s="49"/>
      <c r="Y1004" s="49"/>
      <c r="Z1004" s="49"/>
      <c r="AA1004" s="49"/>
      <c r="AB1004" s="49"/>
      <c r="AC1004" s="49"/>
    </row>
    <row r="1005" spans="1:29">
      <c r="A1005" s="62">
        <v>7640005261</v>
      </c>
      <c r="B1005" s="61" t="s">
        <v>163</v>
      </c>
      <c r="C1005" s="271">
        <f>VLOOKUP($A$8:$A$1487,'[7]MFP''s'!A$8:C$1502,3,FALSE)</f>
        <v>69</v>
      </c>
      <c r="D1005" s="364">
        <v>33</v>
      </c>
      <c r="E1005" s="274">
        <f t="shared" si="98"/>
        <v>0.52173913043478259</v>
      </c>
      <c r="F1005" s="196">
        <f t="shared" si="95"/>
        <v>1.2398100000000001</v>
      </c>
      <c r="G1005" s="196">
        <f t="shared" si="96"/>
        <v>0.97844999999999993</v>
      </c>
      <c r="H1005" s="199">
        <f t="shared" si="97"/>
        <v>0.82599</v>
      </c>
      <c r="I1005" s="49"/>
      <c r="J1005" s="49"/>
      <c r="K1005" s="49"/>
      <c r="L1005" s="49"/>
      <c r="M1005" s="49"/>
      <c r="N1005" s="49"/>
      <c r="O1005" s="49"/>
      <c r="P1005" s="49"/>
      <c r="Q1005" s="49"/>
      <c r="R1005" s="49"/>
      <c r="S1005" s="49"/>
      <c r="T1005" s="49"/>
      <c r="U1005" s="49"/>
      <c r="V1005" s="49"/>
      <c r="W1005" s="49"/>
      <c r="X1005" s="49"/>
      <c r="Y1005" s="49"/>
      <c r="Z1005" s="49"/>
      <c r="AA1005" s="49"/>
      <c r="AB1005" s="49"/>
      <c r="AC1005" s="49"/>
    </row>
    <row r="1006" spans="1:29">
      <c r="A1006" s="62" t="s">
        <v>164</v>
      </c>
      <c r="B1006" s="61" t="s">
        <v>165</v>
      </c>
      <c r="C1006" s="271">
        <f>VLOOKUP($A$8:$A$1487,'[7]MFP''s'!A$8:C$1502,3,FALSE)</f>
        <v>1225</v>
      </c>
      <c r="D1006" s="364">
        <v>581</v>
      </c>
      <c r="E1006" s="274">
        <f t="shared" si="98"/>
        <v>0.52571428571428569</v>
      </c>
      <c r="F1006" s="196">
        <f t="shared" si="95"/>
        <v>21.82817</v>
      </c>
      <c r="G1006" s="196">
        <f t="shared" si="96"/>
        <v>17.226649999999999</v>
      </c>
      <c r="H1006" s="199">
        <f t="shared" si="97"/>
        <v>14.54243</v>
      </c>
      <c r="M1006" s="49"/>
      <c r="N1006" s="49"/>
      <c r="O1006" s="49"/>
      <c r="P1006" s="49"/>
      <c r="Q1006" s="49"/>
      <c r="R1006" s="49"/>
      <c r="S1006" s="49"/>
      <c r="T1006" s="49"/>
      <c r="U1006" s="49"/>
      <c r="V1006" s="49"/>
      <c r="W1006" s="49"/>
      <c r="X1006" s="49"/>
      <c r="Y1006" s="49"/>
      <c r="Z1006" s="49"/>
      <c r="AA1006" s="49"/>
      <c r="AB1006" s="49"/>
      <c r="AC1006" s="49"/>
    </row>
    <row r="1007" spans="1:29" s="173" customFormat="1">
      <c r="A1007" s="62" t="s">
        <v>387</v>
      </c>
      <c r="B1007" s="78" t="s">
        <v>388</v>
      </c>
      <c r="C1007" s="271">
        <f>VLOOKUP($A$8:$A$1487,'[7]MFP''s'!A$8:C$1502,3,FALSE)</f>
        <v>307</v>
      </c>
      <c r="D1007" s="364">
        <v>272</v>
      </c>
      <c r="E1007" s="274">
        <f t="shared" si="98"/>
        <v>0.11400651465798051</v>
      </c>
      <c r="F1007" s="196">
        <f t="shared" si="95"/>
        <v>10.21904</v>
      </c>
      <c r="G1007" s="196">
        <f t="shared" si="96"/>
        <v>8.0648</v>
      </c>
      <c r="H1007" s="199">
        <f t="shared" si="97"/>
        <v>6.80816</v>
      </c>
      <c r="J1007" s="172"/>
      <c r="K1007" s="172"/>
      <c r="L1007" s="172"/>
    </row>
    <row r="1008" spans="1:29">
      <c r="A1008" s="93">
        <v>7640013463</v>
      </c>
      <c r="B1008" s="61" t="s">
        <v>55</v>
      </c>
      <c r="C1008" s="271">
        <f>VLOOKUP($A$8:$A$1487,'[7]MFP''s'!A$8:C$1502,3,FALSE)</f>
        <v>317</v>
      </c>
      <c r="D1008" s="364">
        <v>151</v>
      </c>
      <c r="E1008" s="274">
        <f t="shared" si="98"/>
        <v>0.52365930599369093</v>
      </c>
      <c r="F1008" s="196">
        <f t="shared" si="95"/>
        <v>5.6730700000000001</v>
      </c>
      <c r="G1008" s="196">
        <f t="shared" si="96"/>
        <v>4.47715</v>
      </c>
      <c r="H1008" s="199">
        <f t="shared" si="97"/>
        <v>3.7795299999999998</v>
      </c>
      <c r="M1008" s="49"/>
      <c r="N1008" s="49"/>
      <c r="O1008" s="49"/>
      <c r="P1008" s="49"/>
      <c r="Q1008" s="49"/>
      <c r="R1008" s="49"/>
      <c r="S1008" s="49"/>
      <c r="T1008" s="49"/>
      <c r="U1008" s="49"/>
      <c r="V1008" s="49"/>
      <c r="W1008" s="49"/>
      <c r="X1008" s="49"/>
      <c r="Y1008" s="49"/>
      <c r="Z1008" s="49"/>
      <c r="AA1008" s="49"/>
      <c r="AB1008" s="49"/>
      <c r="AC1008" s="49"/>
    </row>
    <row r="1009" spans="1:29">
      <c r="A1009" s="60" t="s">
        <v>377</v>
      </c>
      <c r="B1009" s="61"/>
      <c r="C1009" s="271"/>
      <c r="D1009" s="364"/>
      <c r="E1009" s="274"/>
      <c r="F1009" s="196"/>
      <c r="G1009" s="196"/>
      <c r="H1009" s="199"/>
      <c r="M1009" s="49"/>
      <c r="N1009" s="49"/>
      <c r="O1009" s="49"/>
      <c r="P1009" s="49"/>
      <c r="Q1009" s="49"/>
      <c r="R1009" s="49"/>
      <c r="S1009" s="49"/>
      <c r="T1009" s="49"/>
      <c r="U1009" s="49"/>
      <c r="V1009" s="49"/>
      <c r="W1009" s="49"/>
      <c r="X1009" s="49"/>
      <c r="Y1009" s="49"/>
      <c r="Z1009" s="49"/>
      <c r="AA1009" s="49"/>
      <c r="AB1009" s="49"/>
      <c r="AC1009" s="49"/>
    </row>
    <row r="1010" spans="1:29">
      <c r="A1010" s="71" t="s">
        <v>168</v>
      </c>
      <c r="B1010" s="61" t="s">
        <v>169</v>
      </c>
      <c r="C1010" s="271">
        <f>VLOOKUP($A$8:$A$1487,'[7]MFP''s'!A$8:C$1502,3,FALSE)</f>
        <v>250</v>
      </c>
      <c r="D1010" s="364">
        <v>250</v>
      </c>
      <c r="E1010" s="274">
        <f t="shared" si="98"/>
        <v>0</v>
      </c>
      <c r="F1010" s="196">
        <f t="shared" si="95"/>
        <v>9.3925000000000001</v>
      </c>
      <c r="G1010" s="196">
        <f t="shared" si="96"/>
        <v>7.4124999999999996</v>
      </c>
      <c r="H1010" s="199">
        <f t="shared" si="97"/>
        <v>6.2575000000000003</v>
      </c>
      <c r="M1010" s="49"/>
      <c r="N1010" s="49"/>
      <c r="O1010" s="49"/>
      <c r="P1010" s="49"/>
      <c r="Q1010" s="49"/>
      <c r="R1010" s="49"/>
      <c r="S1010" s="49"/>
      <c r="T1010" s="49"/>
      <c r="U1010" s="49"/>
      <c r="V1010" s="49"/>
      <c r="W1010" s="49"/>
      <c r="X1010" s="49"/>
      <c r="Y1010" s="49"/>
      <c r="Z1010" s="49"/>
      <c r="AA1010" s="49"/>
      <c r="AB1010" s="49"/>
      <c r="AC1010" s="49"/>
    </row>
    <row r="1011" spans="1:29">
      <c r="A1011" s="212"/>
      <c r="B1011" s="213"/>
      <c r="C1011" s="215"/>
      <c r="D1011" s="369"/>
      <c r="E1011" s="215"/>
      <c r="F1011" s="215"/>
      <c r="G1011" s="215"/>
      <c r="H1011" s="216"/>
      <c r="M1011" s="49"/>
      <c r="N1011" s="49"/>
      <c r="O1011" s="49"/>
      <c r="P1011" s="49"/>
      <c r="Q1011" s="49"/>
      <c r="R1011" s="49"/>
      <c r="S1011" s="49"/>
      <c r="T1011" s="49"/>
      <c r="U1011" s="49"/>
      <c r="V1011" s="49"/>
      <c r="W1011" s="49"/>
      <c r="X1011" s="49"/>
      <c r="Y1011" s="49"/>
      <c r="Z1011" s="49"/>
      <c r="AA1011" s="49"/>
      <c r="AB1011" s="49"/>
      <c r="AC1011" s="49"/>
    </row>
    <row r="1012" spans="1:29" ht="120">
      <c r="A1012" s="220" t="s">
        <v>302</v>
      </c>
      <c r="B1012" s="221" t="s">
        <v>691</v>
      </c>
      <c r="C1012" s="271">
        <f>VLOOKUP($A$8:$A$1487,'[7]MFP''s'!A$8:C$1502,3,FALSE)</f>
        <v>39621</v>
      </c>
      <c r="D1012" s="364">
        <v>18363</v>
      </c>
      <c r="E1012" s="274">
        <f t="shared" si="98"/>
        <v>0.53653365639433637</v>
      </c>
      <c r="F1012" s="196">
        <f t="shared" si="95"/>
        <v>689.89791000000002</v>
      </c>
      <c r="G1012" s="196">
        <f t="shared" si="96"/>
        <v>544.46294999999998</v>
      </c>
      <c r="H1012" s="199">
        <f t="shared" si="97"/>
        <v>459.62589000000003</v>
      </c>
      <c r="J1012" s="184"/>
      <c r="M1012" s="49"/>
      <c r="N1012" s="49"/>
      <c r="O1012" s="49"/>
      <c r="P1012" s="49"/>
      <c r="Q1012" s="49"/>
      <c r="R1012" s="49"/>
      <c r="S1012" s="49"/>
      <c r="T1012" s="49"/>
      <c r="U1012" s="49"/>
      <c r="V1012" s="49"/>
      <c r="W1012" s="49"/>
      <c r="X1012" s="49"/>
      <c r="Y1012" s="49"/>
      <c r="Z1012" s="49"/>
      <c r="AA1012" s="49"/>
      <c r="AB1012" s="49"/>
      <c r="AC1012" s="49"/>
    </row>
    <row r="1013" spans="1:29">
      <c r="A1013" s="195" t="s">
        <v>384</v>
      </c>
      <c r="B1013" s="197"/>
      <c r="C1013" s="271"/>
      <c r="D1013" s="357"/>
      <c r="E1013" s="274"/>
      <c r="F1013" s="196"/>
      <c r="G1013" s="196"/>
      <c r="H1013" s="199"/>
      <c r="M1013" s="49"/>
      <c r="N1013" s="49"/>
      <c r="O1013" s="49"/>
      <c r="P1013" s="49"/>
      <c r="Q1013" s="49"/>
      <c r="R1013" s="49"/>
      <c r="S1013" s="49"/>
      <c r="T1013" s="49"/>
      <c r="U1013" s="49"/>
      <c r="V1013" s="49"/>
      <c r="W1013" s="49"/>
      <c r="X1013" s="49"/>
      <c r="Y1013" s="49"/>
      <c r="Z1013" s="49"/>
      <c r="AA1013" s="49"/>
      <c r="AB1013" s="49"/>
      <c r="AC1013" s="49"/>
    </row>
    <row r="1014" spans="1:29">
      <c r="A1014" s="60" t="s">
        <v>75</v>
      </c>
      <c r="B1014" s="65"/>
      <c r="C1014" s="271"/>
      <c r="D1014" s="364"/>
      <c r="E1014" s="274"/>
      <c r="F1014" s="196"/>
      <c r="G1014" s="196"/>
      <c r="H1014" s="199"/>
      <c r="J1014" s="72"/>
      <c r="K1014" s="185"/>
      <c r="M1014" s="49"/>
      <c r="N1014" s="49"/>
      <c r="O1014" s="49"/>
      <c r="P1014" s="49"/>
      <c r="Q1014" s="49"/>
      <c r="R1014" s="49"/>
      <c r="S1014" s="49"/>
      <c r="T1014" s="49"/>
      <c r="U1014" s="49"/>
      <c r="V1014" s="49"/>
      <c r="W1014" s="49"/>
      <c r="X1014" s="49"/>
      <c r="Y1014" s="49"/>
      <c r="Z1014" s="49"/>
      <c r="AA1014" s="49"/>
      <c r="AB1014" s="49"/>
      <c r="AC1014" s="49"/>
    </row>
    <row r="1015" spans="1:29">
      <c r="A1015" s="62" t="s">
        <v>174</v>
      </c>
      <c r="B1015" s="61" t="s">
        <v>175</v>
      </c>
      <c r="C1015" s="271">
        <f>VLOOKUP($A$8:$A$1487,'[7]MFP''s'!A$8:C$1502,3,FALSE)</f>
        <v>3339</v>
      </c>
      <c r="D1015" s="364">
        <v>1582</v>
      </c>
      <c r="E1015" s="274">
        <f t="shared" si="98"/>
        <v>0.52620545073375258</v>
      </c>
      <c r="F1015" s="196">
        <f t="shared" si="95"/>
        <v>59.435739999999996</v>
      </c>
      <c r="G1015" s="196">
        <f t="shared" si="96"/>
        <v>46.906300000000002</v>
      </c>
      <c r="H1015" s="199">
        <f t="shared" si="97"/>
        <v>39.597459999999998</v>
      </c>
      <c r="J1015" s="72"/>
      <c r="K1015" s="185"/>
      <c r="M1015" s="49"/>
      <c r="N1015" s="49"/>
      <c r="O1015" s="49"/>
      <c r="P1015" s="49"/>
      <c r="Q1015" s="49"/>
      <c r="R1015" s="49"/>
      <c r="S1015" s="49"/>
      <c r="T1015" s="49"/>
      <c r="U1015" s="49"/>
      <c r="V1015" s="49"/>
      <c r="W1015" s="49"/>
      <c r="X1015" s="49"/>
      <c r="Y1015" s="49"/>
      <c r="Z1015" s="49"/>
      <c r="AA1015" s="49"/>
      <c r="AB1015" s="49"/>
      <c r="AC1015" s="49"/>
    </row>
    <row r="1016" spans="1:29">
      <c r="A1016" s="62" t="s">
        <v>176</v>
      </c>
      <c r="B1016" s="61" t="s">
        <v>177</v>
      </c>
      <c r="C1016" s="271">
        <f>VLOOKUP($A$8:$A$1487,'[7]MFP''s'!A$8:C$1502,3,FALSE)</f>
        <v>1781</v>
      </c>
      <c r="D1016" s="364">
        <v>844</v>
      </c>
      <c r="E1016" s="274">
        <f t="shared" si="98"/>
        <v>0.52610892756878158</v>
      </c>
      <c r="F1016" s="196">
        <f t="shared" si="95"/>
        <v>31.70908</v>
      </c>
      <c r="G1016" s="196">
        <f t="shared" si="96"/>
        <v>25.0246</v>
      </c>
      <c r="H1016" s="199">
        <f t="shared" si="97"/>
        <v>21.125319999999999</v>
      </c>
      <c r="J1016" s="72"/>
      <c r="K1016" s="185"/>
      <c r="M1016" s="49"/>
      <c r="N1016" s="49"/>
      <c r="O1016" s="49"/>
      <c r="P1016" s="49"/>
      <c r="Q1016" s="49"/>
      <c r="R1016" s="49"/>
      <c r="S1016" s="49"/>
      <c r="T1016" s="49"/>
      <c r="U1016" s="49"/>
      <c r="V1016" s="49"/>
      <c r="W1016" s="49"/>
      <c r="X1016" s="49"/>
      <c r="Y1016" s="49"/>
      <c r="Z1016" s="49"/>
      <c r="AA1016" s="49"/>
      <c r="AB1016" s="49"/>
      <c r="AC1016" s="49"/>
    </row>
    <row r="1017" spans="1:29">
      <c r="A1017" s="60" t="s">
        <v>66</v>
      </c>
      <c r="B1017" s="61"/>
      <c r="C1017" s="271"/>
      <c r="D1017" s="364"/>
      <c r="E1017" s="274"/>
      <c r="F1017" s="196"/>
      <c r="G1017" s="196"/>
      <c r="H1017" s="199"/>
      <c r="J1017" s="72"/>
      <c r="K1017" s="185"/>
      <c r="M1017" s="49"/>
      <c r="N1017" s="49"/>
      <c r="O1017" s="49"/>
      <c r="P1017" s="49"/>
      <c r="Q1017" s="49"/>
      <c r="R1017" s="49"/>
      <c r="S1017" s="49"/>
      <c r="T1017" s="49"/>
      <c r="U1017" s="49"/>
      <c r="V1017" s="49"/>
      <c r="W1017" s="49"/>
      <c r="X1017" s="49"/>
      <c r="Y1017" s="49"/>
      <c r="Z1017" s="49"/>
      <c r="AA1017" s="49"/>
      <c r="AB1017" s="49"/>
      <c r="AC1017" s="49"/>
    </row>
    <row r="1018" spans="1:29">
      <c r="A1018" s="62" t="s">
        <v>187</v>
      </c>
      <c r="B1018" s="61" t="s">
        <v>188</v>
      </c>
      <c r="C1018" s="271">
        <f>VLOOKUP($A$8:$A$1487,'[7]MFP''s'!A$8:C$1502,3,FALSE)</f>
        <v>3020</v>
      </c>
      <c r="D1018" s="364">
        <v>1431</v>
      </c>
      <c r="E1018" s="274">
        <f t="shared" si="98"/>
        <v>0.526158940397351</v>
      </c>
      <c r="F1018" s="196">
        <f t="shared" si="95"/>
        <v>53.76267</v>
      </c>
      <c r="G1018" s="196">
        <f t="shared" si="96"/>
        <v>42.42915</v>
      </c>
      <c r="H1018" s="199">
        <f t="shared" si="97"/>
        <v>35.817929999999997</v>
      </c>
      <c r="J1018" s="72"/>
      <c r="K1018" s="185"/>
      <c r="M1018" s="49"/>
      <c r="N1018" s="49"/>
      <c r="O1018" s="49"/>
      <c r="P1018" s="49"/>
      <c r="Q1018" s="49"/>
      <c r="R1018" s="49"/>
      <c r="S1018" s="49"/>
      <c r="T1018" s="49"/>
      <c r="U1018" s="49"/>
      <c r="V1018" s="49"/>
      <c r="W1018" s="49"/>
      <c r="X1018" s="49"/>
      <c r="Y1018" s="49"/>
      <c r="Z1018" s="49"/>
      <c r="AA1018" s="49"/>
      <c r="AB1018" s="49"/>
      <c r="AC1018" s="49"/>
    </row>
    <row r="1019" spans="1:29">
      <c r="A1019" s="62" t="s">
        <v>182</v>
      </c>
      <c r="B1019" s="61" t="s">
        <v>183</v>
      </c>
      <c r="C1019" s="271">
        <f>VLOOKUP($A$8:$A$1487,'[7]MFP''s'!A$8:C$1502,3,FALSE)</f>
        <v>1670</v>
      </c>
      <c r="D1019" s="364">
        <v>791</v>
      </c>
      <c r="E1019" s="274">
        <f t="shared" si="98"/>
        <v>0.52634730538922159</v>
      </c>
      <c r="F1019" s="196">
        <f t="shared" si="95"/>
        <v>29.717869999999998</v>
      </c>
      <c r="G1019" s="196">
        <f t="shared" si="96"/>
        <v>23.453150000000001</v>
      </c>
      <c r="H1019" s="199">
        <f t="shared" si="97"/>
        <v>19.798729999999999</v>
      </c>
      <c r="J1019" s="72"/>
      <c r="K1019" s="185"/>
      <c r="M1019" s="49"/>
      <c r="N1019" s="49"/>
      <c r="O1019" s="49"/>
      <c r="P1019" s="49"/>
      <c r="Q1019" s="49"/>
      <c r="R1019" s="49"/>
      <c r="S1019" s="49"/>
      <c r="T1019" s="49"/>
      <c r="U1019" s="49"/>
      <c r="V1019" s="49"/>
      <c r="W1019" s="49"/>
      <c r="X1019" s="49"/>
      <c r="Y1019" s="49"/>
      <c r="Z1019" s="49"/>
      <c r="AA1019" s="49"/>
      <c r="AB1019" s="49"/>
      <c r="AC1019" s="49"/>
    </row>
    <row r="1020" spans="1:29">
      <c r="A1020" s="62" t="s">
        <v>189</v>
      </c>
      <c r="B1020" s="61" t="s">
        <v>190</v>
      </c>
      <c r="C1020" s="271">
        <f>VLOOKUP($A$8:$A$1487,'[7]MFP''s'!A$8:C$1502,3,FALSE)</f>
        <v>863</v>
      </c>
      <c r="D1020" s="364">
        <v>409</v>
      </c>
      <c r="E1020" s="274">
        <f t="shared" si="98"/>
        <v>0.526071842410197</v>
      </c>
      <c r="F1020" s="196">
        <f t="shared" si="95"/>
        <v>15.36613</v>
      </c>
      <c r="G1020" s="196">
        <f t="shared" si="96"/>
        <v>12.126849999999999</v>
      </c>
      <c r="H1020" s="199">
        <f t="shared" si="97"/>
        <v>10.237270000000001</v>
      </c>
      <c r="J1020" s="184"/>
      <c r="K1020" s="185"/>
      <c r="M1020" s="49"/>
      <c r="N1020" s="49"/>
      <c r="O1020" s="49"/>
      <c r="P1020" s="49"/>
      <c r="Q1020" s="49"/>
      <c r="R1020" s="49"/>
      <c r="S1020" s="49"/>
      <c r="T1020" s="49"/>
      <c r="U1020" s="49"/>
      <c r="V1020" s="49"/>
      <c r="W1020" s="49"/>
      <c r="X1020" s="49"/>
      <c r="Y1020" s="49"/>
      <c r="Z1020" s="49"/>
      <c r="AA1020" s="49"/>
      <c r="AB1020" s="49"/>
      <c r="AC1020" s="49"/>
    </row>
    <row r="1021" spans="1:29" ht="42" customHeight="1">
      <c r="A1021" s="62" t="s">
        <v>194</v>
      </c>
      <c r="B1021" s="61" t="s">
        <v>195</v>
      </c>
      <c r="C1021" s="271">
        <f>VLOOKUP($A$8:$A$1487,'[7]MFP''s'!A$8:C$1502,3,FALSE)</f>
        <v>112</v>
      </c>
      <c r="D1021" s="364">
        <v>52</v>
      </c>
      <c r="E1021" s="274">
        <f t="shared" si="98"/>
        <v>0.5357142857142857</v>
      </c>
      <c r="F1021" s="196">
        <f t="shared" si="95"/>
        <v>1.95364</v>
      </c>
      <c r="G1021" s="196">
        <f t="shared" si="96"/>
        <v>1.5418000000000001</v>
      </c>
      <c r="H1021" s="199">
        <f t="shared" si="97"/>
        <v>1.3015600000000001</v>
      </c>
      <c r="J1021" s="184"/>
      <c r="K1021" s="185"/>
      <c r="M1021" s="49"/>
      <c r="N1021" s="49"/>
      <c r="O1021" s="49"/>
      <c r="P1021" s="49"/>
      <c r="Q1021" s="49"/>
      <c r="R1021" s="49"/>
      <c r="S1021" s="49"/>
      <c r="T1021" s="49"/>
      <c r="U1021" s="49"/>
      <c r="V1021" s="49"/>
      <c r="W1021" s="49"/>
      <c r="X1021" s="49"/>
      <c r="Y1021" s="49"/>
      <c r="Z1021" s="49"/>
      <c r="AA1021" s="49"/>
      <c r="AB1021" s="49"/>
      <c r="AC1021" s="49"/>
    </row>
    <row r="1022" spans="1:29">
      <c r="A1022" s="62" t="s">
        <v>178</v>
      </c>
      <c r="B1022" s="61" t="s">
        <v>179</v>
      </c>
      <c r="C1022" s="271">
        <f>VLOOKUP($A$8:$A$1487,'[7]MFP''s'!A$8:C$1502,3,FALSE)</f>
        <v>500</v>
      </c>
      <c r="D1022" s="364">
        <v>237</v>
      </c>
      <c r="E1022" s="274">
        <f t="shared" si="98"/>
        <v>0.52600000000000002</v>
      </c>
      <c r="F1022" s="196">
        <f t="shared" si="95"/>
        <v>8.9040900000000001</v>
      </c>
      <c r="G1022" s="196">
        <f t="shared" si="96"/>
        <v>7.02705</v>
      </c>
      <c r="H1022" s="199">
        <f t="shared" si="97"/>
        <v>5.9321099999999998</v>
      </c>
      <c r="J1022" s="184"/>
      <c r="K1022" s="185"/>
      <c r="L1022" s="49"/>
      <c r="M1022" s="49"/>
      <c r="N1022" s="49"/>
      <c r="O1022" s="49"/>
      <c r="P1022" s="49"/>
      <c r="Q1022" s="49"/>
      <c r="R1022" s="49"/>
      <c r="S1022" s="49"/>
      <c r="T1022" s="49"/>
      <c r="U1022" s="49"/>
      <c r="V1022" s="49"/>
      <c r="W1022" s="49"/>
      <c r="X1022" s="49"/>
      <c r="Y1022" s="49"/>
      <c r="Z1022" s="49"/>
      <c r="AA1022" s="49"/>
      <c r="AB1022" s="49"/>
      <c r="AC1022" s="49"/>
    </row>
    <row r="1023" spans="1:29">
      <c r="A1023" s="62" t="s">
        <v>191</v>
      </c>
      <c r="B1023" s="61" t="s">
        <v>192</v>
      </c>
      <c r="C1023" s="271">
        <f>VLOOKUP($A$8:$A$1487,'[7]MFP''s'!A$8:C$1502,3,FALSE)</f>
        <v>5510</v>
      </c>
      <c r="D1023" s="364">
        <v>2610</v>
      </c>
      <c r="E1023" s="274">
        <f t="shared" si="98"/>
        <v>0.52631578947368429</v>
      </c>
      <c r="F1023" s="196">
        <f t="shared" si="95"/>
        <v>98.057699999999997</v>
      </c>
      <c r="G1023" s="196">
        <f t="shared" si="96"/>
        <v>77.386499999999998</v>
      </c>
      <c r="H1023" s="199">
        <f t="shared" si="97"/>
        <v>65.328299999999999</v>
      </c>
      <c r="J1023" s="72"/>
      <c r="K1023" s="185"/>
      <c r="L1023" s="49"/>
      <c r="M1023" s="49"/>
      <c r="N1023" s="49"/>
      <c r="O1023" s="49"/>
      <c r="P1023" s="49"/>
      <c r="Q1023" s="49"/>
      <c r="R1023" s="49"/>
      <c r="S1023" s="49"/>
      <c r="T1023" s="49"/>
      <c r="U1023" s="49"/>
      <c r="V1023" s="49"/>
      <c r="W1023" s="49"/>
      <c r="X1023" s="49"/>
      <c r="Y1023" s="49"/>
      <c r="Z1023" s="49"/>
      <c r="AA1023" s="49"/>
      <c r="AB1023" s="49"/>
      <c r="AC1023" s="49"/>
    </row>
    <row r="1024" spans="1:29">
      <c r="A1024" s="62" t="s">
        <v>185</v>
      </c>
      <c r="B1024" s="61" t="s">
        <v>186</v>
      </c>
      <c r="C1024" s="271">
        <f>VLOOKUP($A$8:$A$1487,'[7]MFP''s'!A$8:C$1502,3,FALSE)</f>
        <v>1113</v>
      </c>
      <c r="D1024" s="364">
        <v>528</v>
      </c>
      <c r="E1024" s="274">
        <f t="shared" si="98"/>
        <v>0.52560646900269536</v>
      </c>
      <c r="F1024" s="196">
        <f t="shared" si="95"/>
        <v>19.836960000000001</v>
      </c>
      <c r="G1024" s="196">
        <f t="shared" si="96"/>
        <v>15.655199999999999</v>
      </c>
      <c r="H1024" s="199">
        <f t="shared" si="97"/>
        <v>13.21584</v>
      </c>
      <c r="J1024" s="72"/>
      <c r="K1024" s="185"/>
      <c r="L1024" s="49"/>
      <c r="M1024" s="49"/>
      <c r="N1024" s="49"/>
      <c r="O1024" s="49"/>
      <c r="P1024" s="49"/>
      <c r="Q1024" s="49"/>
      <c r="R1024" s="49"/>
      <c r="S1024" s="49"/>
      <c r="T1024" s="49"/>
      <c r="U1024" s="49"/>
      <c r="V1024" s="49"/>
      <c r="W1024" s="49"/>
      <c r="X1024" s="49"/>
      <c r="Y1024" s="49"/>
      <c r="Z1024" s="49"/>
      <c r="AA1024" s="49"/>
      <c r="AB1024" s="49"/>
      <c r="AC1024" s="49"/>
    </row>
    <row r="1025" spans="1:29" ht="30">
      <c r="A1025" s="330" t="s">
        <v>748</v>
      </c>
      <c r="B1025" s="70" t="s">
        <v>783</v>
      </c>
      <c r="C1025" s="271">
        <v>1855</v>
      </c>
      <c r="D1025" s="364">
        <v>879</v>
      </c>
      <c r="E1025" s="274">
        <f t="shared" si="98"/>
        <v>0.52614555256064688</v>
      </c>
      <c r="F1025" s="196">
        <f t="shared" si="95"/>
        <v>33.024029999999996</v>
      </c>
      <c r="G1025" s="196">
        <f t="shared" si="96"/>
        <v>26.062349999999999</v>
      </c>
      <c r="H1025" s="199">
        <f t="shared" si="97"/>
        <v>22.001370000000001</v>
      </c>
      <c r="J1025" s="72"/>
      <c r="K1025" s="185"/>
      <c r="L1025" s="49"/>
      <c r="M1025" s="49"/>
      <c r="N1025" s="49"/>
      <c r="O1025" s="49"/>
      <c r="P1025" s="49"/>
      <c r="Q1025" s="49"/>
      <c r="R1025" s="49"/>
      <c r="S1025" s="49"/>
      <c r="T1025" s="49"/>
      <c r="U1025" s="49"/>
      <c r="V1025" s="49"/>
      <c r="W1025" s="49"/>
      <c r="X1025" s="49"/>
      <c r="Y1025" s="49"/>
      <c r="Z1025" s="49"/>
      <c r="AA1025" s="49"/>
      <c r="AB1025" s="49"/>
      <c r="AC1025" s="49"/>
    </row>
    <row r="1026" spans="1:29" ht="30">
      <c r="A1026" s="330" t="s">
        <v>750</v>
      </c>
      <c r="B1026" s="331" t="s">
        <v>784</v>
      </c>
      <c r="C1026" s="332">
        <v>3305</v>
      </c>
      <c r="D1026" s="364">
        <v>1566</v>
      </c>
      <c r="E1026" s="274">
        <f t="shared" si="98"/>
        <v>0.52617246596066569</v>
      </c>
      <c r="F1026" s="196">
        <f t="shared" ref="F1026:F1089" si="102">D1026*$F$1</f>
        <v>58.834620000000001</v>
      </c>
      <c r="G1026" s="196">
        <f t="shared" si="96"/>
        <v>46.431899999999999</v>
      </c>
      <c r="H1026" s="199">
        <f t="shared" si="97"/>
        <v>39.196980000000003</v>
      </c>
      <c r="J1026" s="72"/>
      <c r="K1026" s="185"/>
      <c r="L1026" s="49"/>
      <c r="M1026" s="49"/>
      <c r="N1026" s="49"/>
      <c r="O1026" s="49"/>
      <c r="P1026" s="49"/>
      <c r="Q1026" s="49"/>
      <c r="R1026" s="49"/>
      <c r="S1026" s="49"/>
      <c r="T1026" s="49"/>
      <c r="U1026" s="49"/>
      <c r="V1026" s="49"/>
      <c r="W1026" s="49"/>
      <c r="X1026" s="49"/>
      <c r="Y1026" s="49"/>
      <c r="Z1026" s="49"/>
      <c r="AA1026" s="49"/>
      <c r="AB1026" s="49"/>
      <c r="AC1026" s="49"/>
    </row>
    <row r="1027" spans="1:29">
      <c r="A1027" s="62" t="s">
        <v>113</v>
      </c>
      <c r="B1027" s="61" t="s">
        <v>114</v>
      </c>
      <c r="C1027" s="271">
        <f>VLOOKUP($A$8:$A$1487,'[7]MFP''s'!A$8:C$1502,3,FALSE)</f>
        <v>586</v>
      </c>
      <c r="D1027" s="364">
        <v>278</v>
      </c>
      <c r="E1027" s="274">
        <f t="shared" si="98"/>
        <v>0.52559726962457343</v>
      </c>
      <c r="F1027" s="196">
        <f t="shared" si="102"/>
        <v>10.444459999999999</v>
      </c>
      <c r="G1027" s="196">
        <f t="shared" si="96"/>
        <v>8.2426999999999992</v>
      </c>
      <c r="H1027" s="199">
        <f t="shared" si="97"/>
        <v>6.9583399999999997</v>
      </c>
      <c r="J1027" s="72"/>
      <c r="K1027" s="185"/>
      <c r="L1027" s="49"/>
      <c r="M1027" s="49"/>
      <c r="N1027" s="49"/>
      <c r="O1027" s="49"/>
      <c r="P1027" s="49"/>
      <c r="Q1027" s="49"/>
      <c r="R1027" s="49"/>
      <c r="S1027" s="49"/>
      <c r="T1027" s="49"/>
      <c r="U1027" s="49"/>
      <c r="V1027" s="49"/>
      <c r="W1027" s="49"/>
      <c r="X1027" s="49"/>
      <c r="Y1027" s="49"/>
      <c r="Z1027" s="49"/>
      <c r="AA1027" s="49"/>
      <c r="AB1027" s="49"/>
      <c r="AC1027" s="49"/>
    </row>
    <row r="1028" spans="1:29">
      <c r="A1028" s="60" t="s">
        <v>196</v>
      </c>
      <c r="B1028" s="61"/>
      <c r="C1028" s="271"/>
      <c r="D1028" s="364"/>
      <c r="E1028" s="274"/>
      <c r="F1028" s="196"/>
      <c r="G1028" s="196"/>
      <c r="H1028" s="199"/>
      <c r="J1028" s="72"/>
      <c r="K1028" s="185"/>
      <c r="L1028" s="49"/>
      <c r="M1028" s="49"/>
      <c r="N1028" s="49"/>
      <c r="O1028" s="49"/>
      <c r="P1028" s="49"/>
      <c r="Q1028" s="49"/>
      <c r="R1028" s="49"/>
      <c r="S1028" s="49"/>
      <c r="T1028" s="49"/>
      <c r="U1028" s="49"/>
      <c r="V1028" s="49"/>
      <c r="W1028" s="49"/>
      <c r="X1028" s="49"/>
      <c r="Y1028" s="49"/>
      <c r="Z1028" s="49"/>
      <c r="AA1028" s="49"/>
      <c r="AB1028" s="49"/>
      <c r="AC1028" s="49"/>
    </row>
    <row r="1029" spans="1:29">
      <c r="A1029" s="62" t="s">
        <v>115</v>
      </c>
      <c r="B1029" s="61" t="s">
        <v>116</v>
      </c>
      <c r="C1029" s="271">
        <f>VLOOKUP($A$8:$A$1487,'[7]MFP''s'!A$8:C$1502,3,FALSE)</f>
        <v>1070</v>
      </c>
      <c r="D1029" s="364">
        <v>507</v>
      </c>
      <c r="E1029" s="274">
        <f t="shared" si="98"/>
        <v>0.5261682242990654</v>
      </c>
      <c r="F1029" s="196">
        <f t="shared" si="102"/>
        <v>19.047989999999999</v>
      </c>
      <c r="G1029" s="196">
        <f t="shared" si="96"/>
        <v>15.032549999999999</v>
      </c>
      <c r="H1029" s="199">
        <f t="shared" si="97"/>
        <v>12.69021</v>
      </c>
      <c r="J1029" s="72"/>
      <c r="K1029" s="185"/>
      <c r="L1029" s="49"/>
      <c r="M1029" s="49"/>
      <c r="N1029" s="49"/>
      <c r="O1029" s="49"/>
      <c r="P1029" s="49"/>
      <c r="Q1029" s="49"/>
      <c r="R1029" s="49"/>
      <c r="S1029" s="49"/>
      <c r="T1029" s="49"/>
      <c r="U1029" s="49"/>
      <c r="V1029" s="49"/>
      <c r="W1029" s="49"/>
      <c r="X1029" s="49"/>
      <c r="Y1029" s="49"/>
      <c r="Z1029" s="49"/>
      <c r="AA1029" s="49"/>
      <c r="AB1029" s="49"/>
      <c r="AC1029" s="49"/>
    </row>
    <row r="1030" spans="1:29">
      <c r="A1030" s="62" t="s">
        <v>119</v>
      </c>
      <c r="B1030" s="61" t="s">
        <v>120</v>
      </c>
      <c r="C1030" s="271">
        <f>VLOOKUP($A$8:$A$1487,'[7]MFP''s'!A$8:C$1502,3,FALSE)</f>
        <v>120</v>
      </c>
      <c r="D1030" s="364">
        <v>57</v>
      </c>
      <c r="E1030" s="274">
        <f t="shared" si="98"/>
        <v>0.52500000000000002</v>
      </c>
      <c r="F1030" s="196">
        <f t="shared" si="102"/>
        <v>2.1414900000000001</v>
      </c>
      <c r="G1030" s="196">
        <f t="shared" si="96"/>
        <v>1.6900500000000001</v>
      </c>
      <c r="H1030" s="199">
        <f t="shared" si="97"/>
        <v>1.4267099999999999</v>
      </c>
      <c r="J1030" s="72"/>
      <c r="K1030" s="185"/>
      <c r="L1030" s="49"/>
      <c r="M1030" s="49"/>
      <c r="N1030" s="49"/>
      <c r="O1030" s="49"/>
      <c r="P1030" s="49"/>
      <c r="Q1030" s="49"/>
      <c r="R1030" s="49"/>
      <c r="S1030" s="49"/>
      <c r="T1030" s="49"/>
      <c r="U1030" s="49"/>
      <c r="V1030" s="49"/>
      <c r="W1030" s="49"/>
      <c r="X1030" s="49"/>
      <c r="Y1030" s="49"/>
      <c r="Z1030" s="49"/>
      <c r="AA1030" s="49"/>
      <c r="AB1030" s="49"/>
      <c r="AC1030" s="49"/>
    </row>
    <row r="1031" spans="1:29">
      <c r="A1031" s="62" t="s">
        <v>121</v>
      </c>
      <c r="B1031" s="61" t="s">
        <v>122</v>
      </c>
      <c r="C1031" s="271">
        <f>VLOOKUP($A$8:$A$1487,'[7]MFP''s'!A$8:C$1502,3,FALSE)</f>
        <v>1068</v>
      </c>
      <c r="D1031" s="364">
        <v>506</v>
      </c>
      <c r="E1031" s="274">
        <f t="shared" si="98"/>
        <v>0.52621722846441954</v>
      </c>
      <c r="F1031" s="196">
        <f t="shared" si="102"/>
        <v>19.01042</v>
      </c>
      <c r="G1031" s="196">
        <f t="shared" si="96"/>
        <v>15.0029</v>
      </c>
      <c r="H1031" s="199">
        <f t="shared" si="97"/>
        <v>12.665179999999999</v>
      </c>
      <c r="L1031" s="49"/>
      <c r="M1031" s="49"/>
      <c r="N1031" s="49"/>
      <c r="O1031" s="49"/>
      <c r="P1031" s="49"/>
      <c r="Q1031" s="49"/>
      <c r="R1031" s="49"/>
      <c r="S1031" s="49"/>
      <c r="T1031" s="49"/>
      <c r="U1031" s="49"/>
      <c r="V1031" s="49"/>
      <c r="W1031" s="49"/>
      <c r="X1031" s="49"/>
      <c r="Y1031" s="49"/>
      <c r="Z1031" s="49"/>
      <c r="AA1031" s="49"/>
      <c r="AB1031" s="49"/>
      <c r="AC1031" s="49"/>
    </row>
    <row r="1032" spans="1:29">
      <c r="A1032" s="62">
        <v>4614506</v>
      </c>
      <c r="B1032" s="61" t="s">
        <v>117</v>
      </c>
      <c r="C1032" s="271">
        <f>VLOOKUP($A$8:$A$1487,'[7]MFP''s'!A$8:C$1502,3,FALSE)</f>
        <v>48</v>
      </c>
      <c r="D1032" s="364">
        <v>23</v>
      </c>
      <c r="E1032" s="274">
        <f t="shared" si="98"/>
        <v>0.52083333333333326</v>
      </c>
      <c r="F1032" s="196">
        <f t="shared" si="102"/>
        <v>0.86410999999999993</v>
      </c>
      <c r="G1032" s="196">
        <f t="shared" si="96"/>
        <v>0.68194999999999995</v>
      </c>
      <c r="H1032" s="199">
        <f t="shared" si="97"/>
        <v>0.57569000000000004</v>
      </c>
      <c r="L1032" s="49"/>
      <c r="M1032" s="49"/>
      <c r="N1032" s="49"/>
      <c r="O1032" s="49"/>
      <c r="P1032" s="49"/>
      <c r="Q1032" s="49"/>
      <c r="R1032" s="49"/>
      <c r="S1032" s="49"/>
      <c r="T1032" s="49"/>
      <c r="U1032" s="49"/>
      <c r="V1032" s="49"/>
      <c r="W1032" s="49"/>
      <c r="X1032" s="49"/>
      <c r="Y1032" s="49"/>
      <c r="Z1032" s="49"/>
      <c r="AA1032" s="49"/>
      <c r="AB1032" s="49"/>
      <c r="AC1032" s="49"/>
    </row>
    <row r="1033" spans="1:29">
      <c r="A1033" s="62">
        <v>4614511</v>
      </c>
      <c r="B1033" s="61" t="s">
        <v>118</v>
      </c>
      <c r="C1033" s="271">
        <f>VLOOKUP($A$8:$A$1487,'[7]MFP''s'!A$8:C$1502,3,FALSE)</f>
        <v>27</v>
      </c>
      <c r="D1033" s="364">
        <v>13</v>
      </c>
      <c r="E1033" s="274">
        <f t="shared" si="98"/>
        <v>0.5185185185185186</v>
      </c>
      <c r="F1033" s="196">
        <f t="shared" si="102"/>
        <v>0.48841000000000001</v>
      </c>
      <c r="G1033" s="196">
        <f t="shared" si="96"/>
        <v>0.38545000000000001</v>
      </c>
      <c r="H1033" s="199">
        <f t="shared" si="97"/>
        <v>0.32539000000000001</v>
      </c>
      <c r="L1033" s="49"/>
      <c r="M1033" s="49"/>
      <c r="N1033" s="49"/>
      <c r="O1033" s="49"/>
      <c r="P1033" s="49"/>
      <c r="Q1033" s="49"/>
      <c r="R1033" s="49"/>
      <c r="S1033" s="49"/>
      <c r="T1033" s="49"/>
      <c r="U1033" s="49"/>
      <c r="V1033" s="49"/>
      <c r="W1033" s="49"/>
      <c r="X1033" s="49"/>
      <c r="Y1033" s="49"/>
      <c r="Z1033" s="49"/>
      <c r="AA1033" s="49"/>
      <c r="AB1033" s="49"/>
      <c r="AC1033" s="49"/>
    </row>
    <row r="1034" spans="1:29">
      <c r="A1034" s="60" t="s">
        <v>301</v>
      </c>
      <c r="B1034" s="65"/>
      <c r="C1034" s="271"/>
      <c r="D1034" s="364"/>
      <c r="E1034" s="274"/>
      <c r="F1034" s="196"/>
      <c r="G1034" s="196"/>
      <c r="H1034" s="199"/>
      <c r="L1034" s="49"/>
      <c r="M1034" s="49"/>
      <c r="N1034" s="49"/>
      <c r="O1034" s="49"/>
      <c r="P1034" s="49"/>
      <c r="Q1034" s="49"/>
      <c r="R1034" s="49"/>
      <c r="S1034" s="49"/>
      <c r="T1034" s="49"/>
      <c r="U1034" s="49"/>
      <c r="V1034" s="49"/>
      <c r="W1034" s="49"/>
      <c r="X1034" s="49"/>
      <c r="Y1034" s="49"/>
      <c r="Z1034" s="49"/>
      <c r="AA1034" s="49"/>
      <c r="AB1034" s="49"/>
      <c r="AC1034" s="49"/>
    </row>
    <row r="1035" spans="1:29">
      <c r="A1035" s="62" t="s">
        <v>286</v>
      </c>
      <c r="B1035" s="61" t="s">
        <v>287</v>
      </c>
      <c r="C1035" s="271">
        <f>VLOOKUP($A$8:$A$1487,'[7]MFP''s'!A$8:C$1502,3,FALSE)</f>
        <v>4158</v>
      </c>
      <c r="D1035" s="364">
        <v>1969</v>
      </c>
      <c r="E1035" s="274">
        <f t="shared" si="98"/>
        <v>0.52645502645502651</v>
      </c>
      <c r="F1035" s="196">
        <f t="shared" si="102"/>
        <v>73.97533</v>
      </c>
      <c r="G1035" s="196">
        <f t="shared" ref="G1035:G1098" si="103">D1035*$G$1</f>
        <v>58.380849999999995</v>
      </c>
      <c r="H1035" s="199">
        <f t="shared" ref="H1035:H1098" si="104">D1035*$H$1</f>
        <v>49.28407</v>
      </c>
      <c r="L1035" s="49"/>
      <c r="M1035" s="49"/>
      <c r="N1035" s="49"/>
      <c r="O1035" s="49"/>
      <c r="P1035" s="49"/>
      <c r="Q1035" s="49"/>
      <c r="R1035" s="49"/>
      <c r="S1035" s="49"/>
      <c r="T1035" s="49"/>
      <c r="U1035" s="49"/>
      <c r="V1035" s="49"/>
      <c r="W1035" s="49"/>
      <c r="X1035" s="49"/>
      <c r="Y1035" s="49"/>
      <c r="Z1035" s="49"/>
      <c r="AA1035" s="49"/>
      <c r="AB1035" s="49"/>
      <c r="AC1035" s="49"/>
    </row>
    <row r="1036" spans="1:29">
      <c r="A1036" s="62" t="s">
        <v>288</v>
      </c>
      <c r="B1036" s="61" t="s">
        <v>289</v>
      </c>
      <c r="C1036" s="271">
        <f>VLOOKUP($A$8:$A$1487,'[7]MFP''s'!A$8:C$1502,3,FALSE)</f>
        <v>296</v>
      </c>
      <c r="D1036" s="364">
        <v>141</v>
      </c>
      <c r="E1036" s="274">
        <f t="shared" si="98"/>
        <v>0.52364864864864868</v>
      </c>
      <c r="F1036" s="196">
        <f t="shared" si="102"/>
        <v>5.2973699999999999</v>
      </c>
      <c r="G1036" s="196">
        <f t="shared" si="103"/>
        <v>4.18065</v>
      </c>
      <c r="H1036" s="199">
        <f t="shared" si="104"/>
        <v>3.5292300000000001</v>
      </c>
      <c r="L1036" s="49"/>
      <c r="M1036" s="49"/>
      <c r="N1036" s="49"/>
      <c r="O1036" s="49"/>
      <c r="P1036" s="49"/>
      <c r="Q1036" s="49"/>
      <c r="R1036" s="49"/>
      <c r="S1036" s="49"/>
      <c r="T1036" s="49"/>
      <c r="U1036" s="49"/>
      <c r="V1036" s="49"/>
      <c r="W1036" s="49"/>
      <c r="X1036" s="49"/>
      <c r="Y1036" s="49"/>
      <c r="Z1036" s="49"/>
      <c r="AA1036" s="49"/>
      <c r="AB1036" s="49"/>
      <c r="AC1036" s="49"/>
    </row>
    <row r="1037" spans="1:29">
      <c r="A1037" s="62">
        <v>7640004312</v>
      </c>
      <c r="B1037" s="61" t="s">
        <v>290</v>
      </c>
      <c r="C1037" s="271">
        <f>VLOOKUP($A$8:$A$1487,'[7]MFP''s'!A$8:C$1502,3,FALSE)</f>
        <v>875</v>
      </c>
      <c r="D1037" s="364">
        <v>415</v>
      </c>
      <c r="E1037" s="274">
        <f t="shared" si="98"/>
        <v>0.52571428571428569</v>
      </c>
      <c r="F1037" s="196">
        <f t="shared" si="102"/>
        <v>15.59155</v>
      </c>
      <c r="G1037" s="196">
        <f t="shared" si="103"/>
        <v>12.30475</v>
      </c>
      <c r="H1037" s="199">
        <f t="shared" si="104"/>
        <v>10.387449999999999</v>
      </c>
      <c r="L1037" s="49"/>
      <c r="M1037" s="49"/>
      <c r="N1037" s="49"/>
      <c r="O1037" s="49"/>
      <c r="P1037" s="49"/>
      <c r="Q1037" s="49"/>
      <c r="R1037" s="49"/>
      <c r="S1037" s="49"/>
      <c r="T1037" s="49"/>
      <c r="U1037" s="49"/>
      <c r="V1037" s="49"/>
      <c r="W1037" s="49"/>
      <c r="X1037" s="49"/>
      <c r="Y1037" s="49"/>
      <c r="Z1037" s="49"/>
      <c r="AA1037" s="49"/>
      <c r="AB1037" s="49"/>
      <c r="AC1037" s="49"/>
    </row>
    <row r="1038" spans="1:29">
      <c r="A1038" s="62">
        <v>7640004313</v>
      </c>
      <c r="B1038" s="61" t="s">
        <v>291</v>
      </c>
      <c r="C1038" s="271">
        <f>VLOOKUP($A$8:$A$1487,'[7]MFP''s'!A$8:C$1502,3,FALSE)</f>
        <v>875</v>
      </c>
      <c r="D1038" s="364">
        <v>415</v>
      </c>
      <c r="E1038" s="274">
        <f t="shared" si="98"/>
        <v>0.52571428571428569</v>
      </c>
      <c r="F1038" s="196">
        <f t="shared" si="102"/>
        <v>15.59155</v>
      </c>
      <c r="G1038" s="196">
        <f t="shared" si="103"/>
        <v>12.30475</v>
      </c>
      <c r="H1038" s="199">
        <f t="shared" si="104"/>
        <v>10.387449999999999</v>
      </c>
      <c r="I1038" s="49"/>
      <c r="J1038" s="49"/>
      <c r="K1038" s="49"/>
      <c r="L1038" s="49"/>
      <c r="M1038" s="49"/>
      <c r="N1038" s="49"/>
      <c r="O1038" s="49"/>
      <c r="P1038" s="49"/>
      <c r="Q1038" s="49"/>
      <c r="R1038" s="49"/>
      <c r="S1038" s="49"/>
      <c r="T1038" s="49"/>
      <c r="U1038" s="49"/>
      <c r="V1038" s="49"/>
      <c r="W1038" s="49"/>
      <c r="X1038" s="49"/>
      <c r="Y1038" s="49"/>
      <c r="Z1038" s="49"/>
      <c r="AA1038" s="49"/>
      <c r="AB1038" s="49"/>
      <c r="AC1038" s="49"/>
    </row>
    <row r="1039" spans="1:29">
      <c r="A1039" s="62">
        <v>45109642</v>
      </c>
      <c r="B1039" s="61" t="s">
        <v>292</v>
      </c>
      <c r="C1039" s="271">
        <f>VLOOKUP($A$8:$A$1487,'[7]MFP''s'!A$8:C$1502,3,FALSE)</f>
        <v>1348</v>
      </c>
      <c r="D1039" s="364">
        <v>639</v>
      </c>
      <c r="E1039" s="274">
        <f t="shared" si="98"/>
        <v>0.52596439169139464</v>
      </c>
      <c r="F1039" s="196">
        <f t="shared" si="102"/>
        <v>24.00723</v>
      </c>
      <c r="G1039" s="196">
        <f t="shared" si="103"/>
        <v>18.946349999999999</v>
      </c>
      <c r="H1039" s="199">
        <f t="shared" si="104"/>
        <v>15.99417</v>
      </c>
      <c r="I1039" s="49"/>
      <c r="J1039" s="49"/>
      <c r="K1039" s="49"/>
      <c r="L1039" s="49"/>
      <c r="M1039" s="49"/>
      <c r="N1039" s="49"/>
      <c r="O1039" s="49"/>
      <c r="P1039" s="49"/>
      <c r="Q1039" s="49"/>
      <c r="R1039" s="49"/>
      <c r="S1039" s="49"/>
      <c r="T1039" s="49"/>
      <c r="U1039" s="49"/>
      <c r="V1039" s="49"/>
      <c r="W1039" s="49"/>
      <c r="X1039" s="49"/>
      <c r="Y1039" s="49"/>
      <c r="Z1039" s="49"/>
      <c r="AA1039" s="49"/>
      <c r="AB1039" s="49"/>
      <c r="AC1039" s="49"/>
    </row>
    <row r="1040" spans="1:29">
      <c r="A1040" s="62">
        <v>7640009476</v>
      </c>
      <c r="B1040" s="61" t="s">
        <v>293</v>
      </c>
      <c r="C1040" s="271">
        <f>VLOOKUP($A$8:$A$1487,'[7]MFP''s'!A$8:C$1502,3,FALSE)</f>
        <v>2650</v>
      </c>
      <c r="D1040" s="364">
        <v>1255</v>
      </c>
      <c r="E1040" s="274">
        <f t="shared" si="98"/>
        <v>0.52641509433962264</v>
      </c>
      <c r="F1040" s="196">
        <f t="shared" si="102"/>
        <v>47.150349999999996</v>
      </c>
      <c r="G1040" s="196">
        <f t="shared" si="103"/>
        <v>37.210749999999997</v>
      </c>
      <c r="H1040" s="199">
        <f t="shared" si="104"/>
        <v>31.412649999999999</v>
      </c>
      <c r="I1040" s="49"/>
      <c r="J1040" s="49"/>
      <c r="K1040" s="49"/>
      <c r="L1040" s="49"/>
      <c r="M1040" s="49"/>
      <c r="N1040" s="49"/>
      <c r="O1040" s="49"/>
      <c r="P1040" s="49"/>
      <c r="Q1040" s="49"/>
      <c r="R1040" s="49"/>
      <c r="S1040" s="49"/>
      <c r="T1040" s="49"/>
      <c r="U1040" s="49"/>
      <c r="V1040" s="49"/>
      <c r="W1040" s="49"/>
      <c r="X1040" s="49"/>
      <c r="Y1040" s="49"/>
      <c r="Z1040" s="49"/>
      <c r="AA1040" s="49"/>
      <c r="AB1040" s="49"/>
      <c r="AC1040" s="49"/>
    </row>
    <row r="1041" spans="1:29">
      <c r="A1041" s="62">
        <v>7640009477</v>
      </c>
      <c r="B1041" s="61" t="s">
        <v>294</v>
      </c>
      <c r="C1041" s="271">
        <f>VLOOKUP($A$8:$A$1487,'[7]MFP''s'!A$8:C$1502,3,FALSE)</f>
        <v>1166</v>
      </c>
      <c r="D1041" s="364">
        <v>553</v>
      </c>
      <c r="E1041" s="274">
        <f t="shared" si="98"/>
        <v>0.52572898799313894</v>
      </c>
      <c r="F1041" s="196">
        <f t="shared" si="102"/>
        <v>20.776209999999999</v>
      </c>
      <c r="G1041" s="196">
        <f t="shared" si="103"/>
        <v>16.396449999999998</v>
      </c>
      <c r="H1041" s="199">
        <f t="shared" si="104"/>
        <v>13.84159</v>
      </c>
      <c r="I1041" s="49"/>
      <c r="J1041" s="49"/>
      <c r="K1041" s="49"/>
      <c r="L1041" s="49"/>
      <c r="M1041" s="49"/>
      <c r="N1041" s="49"/>
      <c r="O1041" s="49"/>
      <c r="P1041" s="49"/>
      <c r="Q1041" s="49"/>
      <c r="R1041" s="49"/>
      <c r="S1041" s="49"/>
      <c r="T1041" s="49"/>
      <c r="U1041" s="49"/>
      <c r="V1041" s="49"/>
      <c r="W1041" s="49"/>
      <c r="X1041" s="49"/>
      <c r="Y1041" s="49"/>
      <c r="Z1041" s="49"/>
      <c r="AA1041" s="49"/>
      <c r="AB1041" s="49"/>
      <c r="AC1041" s="49"/>
    </row>
    <row r="1042" spans="1:29">
      <c r="A1042" s="62">
        <v>7640009478</v>
      </c>
      <c r="B1042" s="61" t="s">
        <v>295</v>
      </c>
      <c r="C1042" s="271">
        <f>VLOOKUP($A$8:$A$1487,'[7]MFP''s'!A$8:C$1502,3,FALSE)</f>
        <v>3179</v>
      </c>
      <c r="D1042" s="364">
        <v>1506</v>
      </c>
      <c r="E1042" s="274">
        <f t="shared" si="98"/>
        <v>0.52626612142183071</v>
      </c>
      <c r="F1042" s="196">
        <f t="shared" si="102"/>
        <v>56.580419999999997</v>
      </c>
      <c r="G1042" s="196">
        <f t="shared" si="103"/>
        <v>44.652899999999995</v>
      </c>
      <c r="H1042" s="199">
        <f t="shared" si="104"/>
        <v>37.695180000000001</v>
      </c>
      <c r="I1042" s="49"/>
      <c r="J1042" s="49"/>
      <c r="K1042" s="49"/>
      <c r="L1042" s="49"/>
      <c r="M1042" s="49"/>
      <c r="N1042" s="49"/>
      <c r="O1042" s="49"/>
      <c r="P1042" s="49"/>
      <c r="Q1042" s="49"/>
      <c r="R1042" s="49"/>
      <c r="S1042" s="49"/>
      <c r="T1042" s="49"/>
      <c r="U1042" s="49"/>
      <c r="V1042" s="49"/>
      <c r="W1042" s="49"/>
      <c r="X1042" s="49"/>
      <c r="Y1042" s="49"/>
      <c r="Z1042" s="49"/>
      <c r="AA1042" s="49"/>
      <c r="AB1042" s="49"/>
      <c r="AC1042" s="49"/>
    </row>
    <row r="1043" spans="1:29" ht="30">
      <c r="A1043" s="62">
        <v>3000005452</v>
      </c>
      <c r="B1043" s="61" t="s">
        <v>296</v>
      </c>
      <c r="C1043" s="271">
        <f>VLOOKUP($A$8:$A$1487,'[7]MFP''s'!A$8:C$1502,3,FALSE)</f>
        <v>3400</v>
      </c>
      <c r="D1043" s="364">
        <v>1610</v>
      </c>
      <c r="E1043" s="274">
        <f t="shared" si="98"/>
        <v>0.52647058823529413</v>
      </c>
      <c r="F1043" s="196">
        <f t="shared" si="102"/>
        <v>60.487699999999997</v>
      </c>
      <c r="G1043" s="196">
        <f t="shared" si="103"/>
        <v>47.736499999999999</v>
      </c>
      <c r="H1043" s="199">
        <f t="shared" si="104"/>
        <v>40.298299999999998</v>
      </c>
      <c r="I1043" s="49"/>
      <c r="J1043" s="49"/>
      <c r="K1043" s="49"/>
      <c r="L1043" s="49"/>
      <c r="M1043" s="49"/>
      <c r="N1043" s="49"/>
      <c r="O1043" s="49"/>
      <c r="P1043" s="49"/>
      <c r="Q1043" s="49"/>
      <c r="R1043" s="49"/>
      <c r="S1043" s="49"/>
      <c r="T1043" s="49"/>
      <c r="U1043" s="49"/>
      <c r="V1043" s="49"/>
      <c r="W1043" s="49"/>
      <c r="X1043" s="49"/>
      <c r="Y1043" s="49"/>
      <c r="Z1043" s="49"/>
      <c r="AA1043" s="49"/>
      <c r="AB1043" s="49"/>
      <c r="AC1043" s="49"/>
    </row>
    <row r="1044" spans="1:29">
      <c r="A1044" s="62">
        <v>7640017030</v>
      </c>
      <c r="B1044" s="61" t="s">
        <v>297</v>
      </c>
      <c r="C1044" s="271">
        <f>VLOOKUP($A$8:$A$1487,'[7]MFP''s'!A$8:C$1502,3,FALSE)</f>
        <v>4500</v>
      </c>
      <c r="D1044" s="364">
        <v>2131</v>
      </c>
      <c r="E1044" s="274">
        <f t="shared" si="98"/>
        <v>0.52644444444444449</v>
      </c>
      <c r="F1044" s="196">
        <f t="shared" si="102"/>
        <v>80.061669999999992</v>
      </c>
      <c r="G1044" s="196">
        <f t="shared" si="103"/>
        <v>63.184149999999995</v>
      </c>
      <c r="H1044" s="199">
        <f t="shared" si="104"/>
        <v>53.338929999999998</v>
      </c>
      <c r="I1044" s="49"/>
      <c r="J1044" s="49"/>
      <c r="K1044" s="49"/>
      <c r="L1044" s="49"/>
      <c r="M1044" s="49"/>
      <c r="N1044" s="49"/>
      <c r="O1044" s="49"/>
      <c r="P1044" s="49"/>
      <c r="Q1044" s="49"/>
      <c r="R1044" s="49"/>
      <c r="S1044" s="49"/>
      <c r="T1044" s="49"/>
      <c r="U1044" s="49"/>
      <c r="V1044" s="49"/>
      <c r="W1044" s="49"/>
      <c r="X1044" s="49"/>
      <c r="Y1044" s="49"/>
      <c r="Z1044" s="49"/>
      <c r="AA1044" s="49"/>
      <c r="AB1044" s="49"/>
      <c r="AC1044" s="49"/>
    </row>
    <row r="1045" spans="1:29">
      <c r="A1045" s="60" t="s">
        <v>123</v>
      </c>
      <c r="B1045" s="65"/>
      <c r="C1045" s="271"/>
      <c r="D1045" s="364"/>
      <c r="E1045" s="274"/>
      <c r="F1045" s="196"/>
      <c r="G1045" s="196"/>
      <c r="H1045" s="199"/>
      <c r="I1045" s="49"/>
      <c r="J1045" s="49"/>
      <c r="K1045" s="49"/>
      <c r="L1045" s="49"/>
      <c r="M1045" s="49"/>
      <c r="N1045" s="49"/>
      <c r="O1045" s="49"/>
      <c r="P1045" s="49"/>
      <c r="Q1045" s="49"/>
      <c r="R1045" s="49"/>
      <c r="S1045" s="49"/>
      <c r="T1045" s="49"/>
      <c r="U1045" s="49"/>
      <c r="V1045" s="49"/>
      <c r="W1045" s="49"/>
      <c r="X1045" s="49"/>
      <c r="Y1045" s="49"/>
      <c r="Z1045" s="49"/>
      <c r="AA1045" s="49"/>
      <c r="AB1045" s="49"/>
      <c r="AC1045" s="49"/>
    </row>
    <row r="1046" spans="1:29" ht="30">
      <c r="A1046" s="62" t="s">
        <v>126</v>
      </c>
      <c r="B1046" s="61" t="s">
        <v>127</v>
      </c>
      <c r="C1046" s="271">
        <f>VLOOKUP($A$8:$A$1487,'[7]MFP''s'!A$8:C$1502,3,FALSE)</f>
        <v>1100</v>
      </c>
      <c r="D1046" s="364">
        <v>521</v>
      </c>
      <c r="E1046" s="274">
        <f t="shared" si="98"/>
        <v>0.52636363636363637</v>
      </c>
      <c r="F1046" s="196">
        <f t="shared" si="102"/>
        <v>19.573969999999999</v>
      </c>
      <c r="G1046" s="196">
        <f t="shared" si="103"/>
        <v>15.447649999999999</v>
      </c>
      <c r="H1046" s="199">
        <f t="shared" si="104"/>
        <v>13.04063</v>
      </c>
      <c r="I1046" s="49"/>
      <c r="J1046" s="49"/>
      <c r="K1046" s="49"/>
      <c r="L1046" s="49"/>
      <c r="M1046" s="49"/>
      <c r="N1046" s="49"/>
      <c r="O1046" s="49"/>
      <c r="P1046" s="49"/>
      <c r="Q1046" s="49"/>
      <c r="R1046" s="49"/>
      <c r="S1046" s="49"/>
      <c r="T1046" s="49"/>
      <c r="U1046" s="49"/>
      <c r="V1046" s="49"/>
      <c r="W1046" s="49"/>
      <c r="X1046" s="49"/>
      <c r="Y1046" s="49"/>
      <c r="Z1046" s="49"/>
      <c r="AA1046" s="49"/>
      <c r="AB1046" s="49"/>
      <c r="AC1046" s="49"/>
    </row>
    <row r="1047" spans="1:29">
      <c r="A1047" s="62" t="s">
        <v>124</v>
      </c>
      <c r="B1047" s="61" t="s">
        <v>125</v>
      </c>
      <c r="C1047" s="271">
        <f>VLOOKUP($A$8:$A$1487,'[7]MFP''s'!A$8:C$1502,3,FALSE)</f>
        <v>53</v>
      </c>
      <c r="D1047" s="364">
        <v>26</v>
      </c>
      <c r="E1047" s="274">
        <f t="shared" si="98"/>
        <v>0.50943396226415094</v>
      </c>
      <c r="F1047" s="196">
        <f t="shared" si="102"/>
        <v>0.97682000000000002</v>
      </c>
      <c r="G1047" s="196">
        <f t="shared" si="103"/>
        <v>0.77090000000000003</v>
      </c>
      <c r="H1047" s="199">
        <f t="shared" si="104"/>
        <v>0.65078000000000003</v>
      </c>
      <c r="I1047" s="49"/>
      <c r="J1047" s="49"/>
      <c r="K1047" s="49"/>
      <c r="L1047" s="49"/>
      <c r="M1047" s="49"/>
      <c r="N1047" s="49"/>
      <c r="O1047" s="49"/>
      <c r="P1047" s="49"/>
      <c r="Q1047" s="49"/>
      <c r="R1047" s="49"/>
      <c r="S1047" s="49"/>
      <c r="T1047" s="49"/>
      <c r="U1047" s="49"/>
      <c r="V1047" s="49"/>
      <c r="W1047" s="49"/>
      <c r="X1047" s="49"/>
      <c r="Y1047" s="49"/>
      <c r="Z1047" s="49"/>
      <c r="AA1047" s="49"/>
      <c r="AB1047" s="49"/>
      <c r="AC1047" s="49"/>
    </row>
    <row r="1048" spans="1:29">
      <c r="A1048" s="62" t="s">
        <v>128</v>
      </c>
      <c r="B1048" s="61" t="s">
        <v>129</v>
      </c>
      <c r="C1048" s="271">
        <f>VLOOKUP($A$8:$A$1487,'[7]MFP''s'!A$8:C$1502,3,FALSE)</f>
        <v>785</v>
      </c>
      <c r="D1048" s="364">
        <v>372</v>
      </c>
      <c r="E1048" s="274">
        <f t="shared" si="98"/>
        <v>0.52611464968152866</v>
      </c>
      <c r="F1048" s="196">
        <f t="shared" si="102"/>
        <v>13.976039999999999</v>
      </c>
      <c r="G1048" s="196">
        <f t="shared" si="103"/>
        <v>11.0298</v>
      </c>
      <c r="H1048" s="199">
        <f t="shared" si="104"/>
        <v>9.3111599999999992</v>
      </c>
      <c r="I1048" s="49"/>
      <c r="J1048" s="49"/>
      <c r="K1048" s="49"/>
      <c r="L1048" s="49"/>
      <c r="M1048" s="49"/>
      <c r="N1048" s="49"/>
      <c r="O1048" s="49"/>
      <c r="P1048" s="49"/>
      <c r="Q1048" s="49"/>
      <c r="R1048" s="49"/>
      <c r="S1048" s="49"/>
      <c r="T1048" s="49"/>
      <c r="U1048" s="49"/>
      <c r="V1048" s="49"/>
      <c r="W1048" s="49"/>
      <c r="X1048" s="49"/>
      <c r="Y1048" s="49"/>
      <c r="Z1048" s="49"/>
      <c r="AA1048" s="49"/>
      <c r="AB1048" s="49"/>
      <c r="AC1048" s="49"/>
    </row>
    <row r="1049" spans="1:29">
      <c r="A1049" s="62" t="s">
        <v>130</v>
      </c>
      <c r="B1049" s="61" t="s">
        <v>131</v>
      </c>
      <c r="C1049" s="271">
        <f>VLOOKUP($A$8:$A$1487,'[7]MFP''s'!A$8:C$1502,3,FALSE)</f>
        <v>668</v>
      </c>
      <c r="D1049" s="364">
        <v>317</v>
      </c>
      <c r="E1049" s="274">
        <f t="shared" si="98"/>
        <v>0.52544910179640714</v>
      </c>
      <c r="F1049" s="196">
        <f t="shared" si="102"/>
        <v>11.909689999999999</v>
      </c>
      <c r="G1049" s="196">
        <f t="shared" si="103"/>
        <v>9.399049999999999</v>
      </c>
      <c r="H1049" s="199">
        <f t="shared" si="104"/>
        <v>7.9345100000000004</v>
      </c>
      <c r="I1049" s="49"/>
      <c r="J1049" s="49"/>
      <c r="K1049" s="49"/>
      <c r="L1049" s="49"/>
      <c r="M1049" s="49"/>
      <c r="N1049" s="49"/>
      <c r="O1049" s="49"/>
      <c r="P1049" s="49"/>
      <c r="Q1049" s="49"/>
      <c r="R1049" s="49"/>
      <c r="S1049" s="49"/>
      <c r="T1049" s="49"/>
      <c r="U1049" s="49"/>
      <c r="V1049" s="49"/>
      <c r="W1049" s="49"/>
      <c r="X1049" s="49"/>
      <c r="Y1049" s="49"/>
      <c r="Z1049" s="49"/>
      <c r="AA1049" s="49"/>
      <c r="AB1049" s="49"/>
      <c r="AC1049" s="49"/>
    </row>
    <row r="1050" spans="1:29">
      <c r="A1050" s="62" t="s">
        <v>132</v>
      </c>
      <c r="B1050" s="61" t="s">
        <v>133</v>
      </c>
      <c r="C1050" s="271">
        <f>VLOOKUP($A$8:$A$1487,'[7]MFP''s'!A$8:C$1502,3,FALSE)</f>
        <v>821</v>
      </c>
      <c r="D1050" s="364">
        <v>389</v>
      </c>
      <c r="E1050" s="274">
        <f t="shared" si="98"/>
        <v>0.52618757612667477</v>
      </c>
      <c r="F1050" s="196">
        <f t="shared" si="102"/>
        <v>14.61473</v>
      </c>
      <c r="G1050" s="196">
        <f t="shared" si="103"/>
        <v>11.533849999999999</v>
      </c>
      <c r="H1050" s="199">
        <f t="shared" si="104"/>
        <v>9.7366700000000002</v>
      </c>
      <c r="I1050" s="49"/>
      <c r="J1050" s="49"/>
      <c r="K1050" s="49"/>
      <c r="L1050" s="49"/>
      <c r="M1050" s="49"/>
      <c r="N1050" s="49"/>
      <c r="O1050" s="49"/>
      <c r="P1050" s="49"/>
      <c r="Q1050" s="49"/>
      <c r="R1050" s="49"/>
      <c r="S1050" s="49"/>
      <c r="T1050" s="49"/>
      <c r="U1050" s="49"/>
      <c r="V1050" s="49"/>
      <c r="W1050" s="49"/>
      <c r="X1050" s="49"/>
      <c r="Y1050" s="49"/>
      <c r="Z1050" s="49"/>
      <c r="AA1050" s="49"/>
      <c r="AB1050" s="49"/>
      <c r="AC1050" s="49"/>
    </row>
    <row r="1051" spans="1:29">
      <c r="A1051" s="62" t="s">
        <v>134</v>
      </c>
      <c r="B1051" s="61" t="s">
        <v>135</v>
      </c>
      <c r="C1051" s="271">
        <f>VLOOKUP($A$8:$A$1487,'[7]MFP''s'!A$8:C$1502,3,FALSE)</f>
        <v>690</v>
      </c>
      <c r="D1051" s="364">
        <v>327</v>
      </c>
      <c r="E1051" s="274">
        <f t="shared" si="98"/>
        <v>0.5260869565217392</v>
      </c>
      <c r="F1051" s="196">
        <f t="shared" si="102"/>
        <v>12.28539</v>
      </c>
      <c r="G1051" s="196">
        <f t="shared" si="103"/>
        <v>9.695549999999999</v>
      </c>
      <c r="H1051" s="199">
        <f t="shared" si="104"/>
        <v>8.1848100000000006</v>
      </c>
      <c r="I1051" s="49"/>
      <c r="J1051" s="49"/>
      <c r="K1051" s="49"/>
      <c r="L1051" s="49"/>
      <c r="M1051" s="49"/>
      <c r="N1051" s="49"/>
      <c r="O1051" s="49"/>
      <c r="P1051" s="49"/>
      <c r="Q1051" s="49"/>
      <c r="R1051" s="49"/>
      <c r="S1051" s="49"/>
      <c r="T1051" s="49"/>
      <c r="U1051" s="49"/>
      <c r="V1051" s="49"/>
      <c r="W1051" s="49"/>
      <c r="X1051" s="49"/>
      <c r="Y1051" s="49"/>
      <c r="Z1051" s="49"/>
      <c r="AA1051" s="49"/>
      <c r="AB1051" s="49"/>
      <c r="AC1051" s="49"/>
    </row>
    <row r="1052" spans="1:29">
      <c r="A1052" s="62" t="s">
        <v>136</v>
      </c>
      <c r="B1052" s="61" t="s">
        <v>137</v>
      </c>
      <c r="C1052" s="271">
        <f>VLOOKUP($A$8:$A$1487,'[7]MFP''s'!A$8:C$1502,3,FALSE)</f>
        <v>191</v>
      </c>
      <c r="D1052" s="364">
        <v>91</v>
      </c>
      <c r="E1052" s="274">
        <f t="shared" si="98"/>
        <v>0.52356020942408377</v>
      </c>
      <c r="F1052" s="196">
        <f t="shared" si="102"/>
        <v>3.4188700000000001</v>
      </c>
      <c r="G1052" s="196">
        <f t="shared" si="103"/>
        <v>2.69815</v>
      </c>
      <c r="H1052" s="199">
        <f t="shared" si="104"/>
        <v>2.27773</v>
      </c>
      <c r="I1052" s="49"/>
      <c r="J1052" s="49"/>
      <c r="K1052" s="49"/>
      <c r="L1052" s="49"/>
      <c r="M1052" s="49"/>
      <c r="N1052" s="49"/>
      <c r="O1052" s="49"/>
      <c r="P1052" s="49"/>
      <c r="Q1052" s="49"/>
      <c r="R1052" s="49"/>
      <c r="S1052" s="49"/>
      <c r="T1052" s="49"/>
      <c r="U1052" s="49"/>
      <c r="V1052" s="49"/>
      <c r="W1052" s="49"/>
      <c r="X1052" s="49"/>
      <c r="Y1052" s="49"/>
      <c r="Z1052" s="49"/>
      <c r="AA1052" s="49"/>
      <c r="AB1052" s="49"/>
      <c r="AC1052" s="49"/>
    </row>
    <row r="1053" spans="1:29" ht="30">
      <c r="A1053" s="62" t="s">
        <v>138</v>
      </c>
      <c r="B1053" s="61" t="s">
        <v>139</v>
      </c>
      <c r="C1053" s="271">
        <f>VLOOKUP($A$8:$A$1487,'[7]MFP''s'!A$8:C$1502,3,FALSE)</f>
        <v>1500</v>
      </c>
      <c r="D1053" s="364">
        <v>711</v>
      </c>
      <c r="E1053" s="274">
        <f t="shared" si="98"/>
        <v>0.52600000000000002</v>
      </c>
      <c r="F1053" s="196">
        <f t="shared" si="102"/>
        <v>26.71227</v>
      </c>
      <c r="G1053" s="196">
        <f t="shared" si="103"/>
        <v>21.081150000000001</v>
      </c>
      <c r="H1053" s="199">
        <f t="shared" si="104"/>
        <v>17.796330000000001</v>
      </c>
      <c r="I1053" s="49"/>
      <c r="J1053" s="49"/>
      <c r="K1053" s="49"/>
      <c r="L1053" s="49"/>
      <c r="M1053" s="49"/>
      <c r="N1053" s="49"/>
      <c r="O1053" s="49"/>
      <c r="P1053" s="49"/>
      <c r="Q1053" s="49"/>
      <c r="R1053" s="49"/>
      <c r="S1053" s="49"/>
      <c r="T1053" s="49"/>
      <c r="U1053" s="49"/>
      <c r="V1053" s="49"/>
      <c r="W1053" s="49"/>
      <c r="X1053" s="49"/>
      <c r="Y1053" s="49"/>
      <c r="Z1053" s="49"/>
      <c r="AA1053" s="49"/>
      <c r="AB1053" s="49"/>
      <c r="AC1053" s="49"/>
    </row>
    <row r="1054" spans="1:29">
      <c r="A1054" s="62" t="s">
        <v>140</v>
      </c>
      <c r="B1054" s="61" t="s">
        <v>141</v>
      </c>
      <c r="C1054" s="271">
        <f>VLOOKUP($A$8:$A$1487,'[7]MFP''s'!A$8:C$1502,3,FALSE)</f>
        <v>250</v>
      </c>
      <c r="D1054" s="364">
        <v>119</v>
      </c>
      <c r="E1054" s="274">
        <f t="shared" si="98"/>
        <v>0.52400000000000002</v>
      </c>
      <c r="F1054" s="196">
        <f t="shared" si="102"/>
        <v>4.4708300000000003</v>
      </c>
      <c r="G1054" s="196">
        <f t="shared" si="103"/>
        <v>3.5283500000000001</v>
      </c>
      <c r="H1054" s="199">
        <f t="shared" si="104"/>
        <v>2.9785699999999999</v>
      </c>
      <c r="I1054" s="49"/>
      <c r="J1054" s="49"/>
      <c r="K1054" s="49"/>
      <c r="L1054" s="49"/>
      <c r="M1054" s="49"/>
      <c r="N1054" s="49"/>
      <c r="O1054" s="49"/>
      <c r="P1054" s="49"/>
      <c r="Q1054" s="49"/>
      <c r="R1054" s="49"/>
      <c r="S1054" s="49"/>
      <c r="T1054" s="49"/>
      <c r="U1054" s="49"/>
      <c r="V1054" s="49"/>
      <c r="W1054" s="49"/>
      <c r="X1054" s="49"/>
      <c r="Y1054" s="49"/>
      <c r="Z1054" s="49"/>
      <c r="AA1054" s="49"/>
      <c r="AB1054" s="49"/>
      <c r="AC1054" s="49"/>
    </row>
    <row r="1055" spans="1:29">
      <c r="A1055" s="62" t="s">
        <v>142</v>
      </c>
      <c r="B1055" s="61" t="s">
        <v>143</v>
      </c>
      <c r="C1055" s="271">
        <f>VLOOKUP($A$8:$A$1487,'[7]MFP''s'!A$8:C$1502,3,FALSE)</f>
        <v>290</v>
      </c>
      <c r="D1055" s="364">
        <v>138</v>
      </c>
      <c r="E1055" s="274">
        <f t="shared" si="98"/>
        <v>0.5241379310344827</v>
      </c>
      <c r="F1055" s="196">
        <f t="shared" si="102"/>
        <v>5.18466</v>
      </c>
      <c r="G1055" s="196">
        <f t="shared" si="103"/>
        <v>4.0917000000000003</v>
      </c>
      <c r="H1055" s="199">
        <f t="shared" si="104"/>
        <v>3.4541400000000002</v>
      </c>
      <c r="I1055" s="49"/>
      <c r="J1055" s="49"/>
      <c r="K1055" s="49"/>
      <c r="L1055" s="49"/>
      <c r="M1055" s="49"/>
      <c r="N1055" s="49"/>
      <c r="O1055" s="49"/>
      <c r="P1055" s="49"/>
      <c r="Q1055" s="49"/>
      <c r="R1055" s="49"/>
      <c r="S1055" s="49"/>
      <c r="T1055" s="49"/>
      <c r="U1055" s="49"/>
      <c r="V1055" s="49"/>
      <c r="W1055" s="49"/>
      <c r="X1055" s="49"/>
      <c r="Y1055" s="49"/>
      <c r="Z1055" s="49"/>
      <c r="AA1055" s="49"/>
      <c r="AB1055" s="49"/>
      <c r="AC1055" s="49"/>
    </row>
    <row r="1056" spans="1:29">
      <c r="A1056" s="60" t="s">
        <v>47</v>
      </c>
      <c r="B1056" s="61"/>
      <c r="C1056" s="271"/>
      <c r="D1056" s="364"/>
      <c r="E1056" s="274"/>
      <c r="F1056" s="196"/>
      <c r="G1056" s="196"/>
      <c r="H1056" s="199"/>
      <c r="I1056" s="49"/>
      <c r="J1056" s="49"/>
      <c r="K1056" s="49"/>
      <c r="L1056" s="49"/>
      <c r="M1056" s="49"/>
      <c r="N1056" s="49"/>
      <c r="O1056" s="49"/>
      <c r="P1056" s="49"/>
      <c r="Q1056" s="49"/>
      <c r="R1056" s="49"/>
      <c r="S1056" s="49"/>
      <c r="T1056" s="49"/>
      <c r="U1056" s="49"/>
      <c r="V1056" s="49"/>
      <c r="W1056" s="49"/>
      <c r="X1056" s="49"/>
      <c r="Y1056" s="49"/>
      <c r="Z1056" s="49"/>
      <c r="AA1056" s="49"/>
      <c r="AB1056" s="49"/>
      <c r="AC1056" s="49"/>
    </row>
    <row r="1057" spans="1:29">
      <c r="A1057" s="62" t="s">
        <v>144</v>
      </c>
      <c r="B1057" s="61" t="s">
        <v>145</v>
      </c>
      <c r="C1057" s="271">
        <f>VLOOKUP($A$8:$A$1487,'[7]MFP''s'!A$8:C$1502,3,FALSE)</f>
        <v>947</v>
      </c>
      <c r="D1057" s="364">
        <v>430</v>
      </c>
      <c r="E1057" s="274">
        <f t="shared" si="98"/>
        <v>0.5459345300950369</v>
      </c>
      <c r="F1057" s="196">
        <f t="shared" si="102"/>
        <v>16.155100000000001</v>
      </c>
      <c r="G1057" s="196">
        <f t="shared" si="103"/>
        <v>12.749499999999999</v>
      </c>
      <c r="H1057" s="199">
        <f t="shared" si="104"/>
        <v>10.7629</v>
      </c>
      <c r="I1057" s="49"/>
      <c r="J1057" s="49"/>
      <c r="K1057" s="49"/>
      <c r="L1057" s="49"/>
      <c r="M1057" s="49"/>
      <c r="N1057" s="49"/>
      <c r="O1057" s="49"/>
      <c r="P1057" s="49"/>
      <c r="Q1057" s="49"/>
      <c r="R1057" s="49"/>
      <c r="S1057" s="49"/>
      <c r="T1057" s="49"/>
      <c r="U1057" s="49"/>
      <c r="V1057" s="49"/>
      <c r="W1057" s="49"/>
      <c r="X1057" s="49"/>
      <c r="Y1057" s="49"/>
      <c r="Z1057" s="49"/>
      <c r="AA1057" s="49"/>
      <c r="AB1057" s="49"/>
      <c r="AC1057" s="49"/>
    </row>
    <row r="1058" spans="1:29">
      <c r="A1058" s="62">
        <v>7640005064</v>
      </c>
      <c r="B1058" s="61" t="s">
        <v>67</v>
      </c>
      <c r="C1058" s="271">
        <f>VLOOKUP($A$8:$A$1487,'[7]MFP''s'!A$8:C$1502,3,FALSE)</f>
        <v>423</v>
      </c>
      <c r="D1058" s="364">
        <v>201</v>
      </c>
      <c r="E1058" s="274">
        <f t="shared" si="98"/>
        <v>0.52482269503546097</v>
      </c>
      <c r="F1058" s="196">
        <f t="shared" si="102"/>
        <v>7.5515699999999999</v>
      </c>
      <c r="G1058" s="196">
        <f t="shared" si="103"/>
        <v>5.9596499999999999</v>
      </c>
      <c r="H1058" s="199">
        <f t="shared" si="104"/>
        <v>5.0310300000000003</v>
      </c>
      <c r="I1058" s="49"/>
      <c r="J1058" s="49"/>
      <c r="K1058" s="49"/>
      <c r="L1058" s="49"/>
      <c r="M1058" s="49"/>
      <c r="N1058" s="49"/>
      <c r="O1058" s="49"/>
      <c r="P1058" s="49"/>
      <c r="Q1058" s="49"/>
      <c r="R1058" s="49"/>
      <c r="S1058" s="49"/>
      <c r="T1058" s="49"/>
      <c r="U1058" s="49"/>
      <c r="V1058" s="49"/>
      <c r="W1058" s="49"/>
      <c r="X1058" s="49"/>
      <c r="Y1058" s="49"/>
      <c r="Z1058" s="49"/>
      <c r="AA1058" s="49"/>
      <c r="AB1058" s="49"/>
      <c r="AC1058" s="49"/>
    </row>
    <row r="1059" spans="1:29">
      <c r="A1059" s="62">
        <v>7640008394</v>
      </c>
      <c r="B1059" s="61" t="s">
        <v>68</v>
      </c>
      <c r="C1059" s="271">
        <f>VLOOKUP($A$8:$A$1487,'[7]MFP''s'!A$8:C$1502,3,FALSE)</f>
        <v>476</v>
      </c>
      <c r="D1059" s="364">
        <v>226</v>
      </c>
      <c r="E1059" s="274">
        <f t="shared" si="98"/>
        <v>0.52521008403361347</v>
      </c>
      <c r="F1059" s="196">
        <f t="shared" si="102"/>
        <v>8.4908199999999994</v>
      </c>
      <c r="G1059" s="196">
        <f t="shared" si="103"/>
        <v>6.7008999999999999</v>
      </c>
      <c r="H1059" s="199">
        <f t="shared" si="104"/>
        <v>5.6567800000000004</v>
      </c>
      <c r="I1059" s="49"/>
      <c r="J1059" s="49"/>
      <c r="K1059" s="49"/>
      <c r="L1059" s="49"/>
      <c r="M1059" s="49"/>
      <c r="N1059" s="49"/>
      <c r="O1059" s="49"/>
      <c r="P1059" s="49"/>
      <c r="Q1059" s="49"/>
      <c r="R1059" s="49"/>
      <c r="S1059" s="49"/>
      <c r="T1059" s="49"/>
      <c r="U1059" s="49"/>
      <c r="V1059" s="49"/>
      <c r="W1059" s="49"/>
      <c r="X1059" s="49"/>
      <c r="Y1059" s="49"/>
      <c r="Z1059" s="49"/>
      <c r="AA1059" s="49"/>
      <c r="AB1059" s="49"/>
      <c r="AC1059" s="49"/>
    </row>
    <row r="1060" spans="1:29">
      <c r="A1060" s="62" t="s">
        <v>149</v>
      </c>
      <c r="B1060" s="61" t="s">
        <v>150</v>
      </c>
      <c r="C1060" s="271">
        <f>VLOOKUP($A$8:$A$1487,'[7]MFP''s'!A$8:C$1502,3,FALSE)</f>
        <v>60</v>
      </c>
      <c r="D1060" s="364">
        <v>29</v>
      </c>
      <c r="E1060" s="274">
        <f t="shared" si="98"/>
        <v>0.51666666666666661</v>
      </c>
      <c r="F1060" s="196">
        <f t="shared" si="102"/>
        <v>1.0895299999999999</v>
      </c>
      <c r="G1060" s="196">
        <f t="shared" si="103"/>
        <v>0.85985</v>
      </c>
      <c r="H1060" s="199">
        <f t="shared" si="104"/>
        <v>0.72587000000000002</v>
      </c>
      <c r="I1060" s="49"/>
      <c r="J1060" s="49"/>
      <c r="K1060" s="49"/>
      <c r="L1060" s="49"/>
      <c r="M1060" s="49"/>
      <c r="N1060" s="49"/>
      <c r="O1060" s="49"/>
      <c r="P1060" s="49"/>
      <c r="Q1060" s="49"/>
      <c r="R1060" s="49"/>
      <c r="S1060" s="49"/>
      <c r="T1060" s="49"/>
      <c r="U1060" s="49"/>
      <c r="V1060" s="49"/>
      <c r="W1060" s="49"/>
      <c r="X1060" s="49"/>
      <c r="Y1060" s="49"/>
      <c r="Z1060" s="49"/>
      <c r="AA1060" s="49"/>
      <c r="AB1060" s="49"/>
      <c r="AC1060" s="49"/>
    </row>
    <row r="1061" spans="1:29" ht="30">
      <c r="A1061" s="62" t="s">
        <v>197</v>
      </c>
      <c r="B1061" s="61" t="s">
        <v>198</v>
      </c>
      <c r="C1061" s="271">
        <f>VLOOKUP($A$8:$A$1487,'[7]MFP''s'!A$8:C$1502,3,FALSE)</f>
        <v>279</v>
      </c>
      <c r="D1061" s="364">
        <v>133</v>
      </c>
      <c r="E1061" s="274">
        <f t="shared" si="98"/>
        <v>0.52329749103942658</v>
      </c>
      <c r="F1061" s="196">
        <f t="shared" si="102"/>
        <v>4.99681</v>
      </c>
      <c r="G1061" s="196">
        <f t="shared" si="103"/>
        <v>3.9434499999999999</v>
      </c>
      <c r="H1061" s="199">
        <f t="shared" si="104"/>
        <v>3.3289900000000001</v>
      </c>
      <c r="I1061" s="49"/>
      <c r="J1061" s="49"/>
      <c r="K1061" s="49"/>
      <c r="L1061" s="49"/>
      <c r="M1061" s="49"/>
      <c r="N1061" s="49"/>
      <c r="O1061" s="49"/>
      <c r="P1061" s="49"/>
      <c r="Q1061" s="49"/>
      <c r="R1061" s="49"/>
      <c r="S1061" s="49"/>
      <c r="T1061" s="49"/>
      <c r="U1061" s="49"/>
      <c r="V1061" s="49"/>
      <c r="W1061" s="49"/>
      <c r="X1061" s="49"/>
      <c r="Y1061" s="49"/>
      <c r="Z1061" s="49"/>
      <c r="AA1061" s="49"/>
      <c r="AB1061" s="49"/>
      <c r="AC1061" s="49"/>
    </row>
    <row r="1062" spans="1:29">
      <c r="A1062" s="62" t="s">
        <v>199</v>
      </c>
      <c r="B1062" s="61" t="s">
        <v>200</v>
      </c>
      <c r="C1062" s="271">
        <f>VLOOKUP($A$8:$A$1487,'[7]MFP''s'!A$8:C$1502,3,FALSE)</f>
        <v>200</v>
      </c>
      <c r="D1062" s="364">
        <v>95</v>
      </c>
      <c r="E1062" s="274">
        <f t="shared" ref="E1062:E1123" si="105">100%-(D1062/C1062)</f>
        <v>0.52500000000000002</v>
      </c>
      <c r="F1062" s="196">
        <f t="shared" si="102"/>
        <v>3.56915</v>
      </c>
      <c r="G1062" s="196">
        <f t="shared" si="103"/>
        <v>2.8167499999999999</v>
      </c>
      <c r="H1062" s="199">
        <f t="shared" si="104"/>
        <v>2.37785</v>
      </c>
      <c r="I1062" s="49"/>
      <c r="J1062" s="49"/>
      <c r="K1062" s="49"/>
      <c r="L1062" s="49"/>
      <c r="M1062" s="49"/>
      <c r="N1062" s="49"/>
      <c r="O1062" s="49"/>
      <c r="P1062" s="49"/>
      <c r="Q1062" s="49"/>
      <c r="R1062" s="49"/>
      <c r="S1062" s="49"/>
      <c r="T1062" s="49"/>
      <c r="U1062" s="49"/>
      <c r="V1062" s="49"/>
      <c r="W1062" s="49"/>
      <c r="X1062" s="49"/>
      <c r="Y1062" s="49"/>
      <c r="Z1062" s="49"/>
      <c r="AA1062" s="49"/>
      <c r="AB1062" s="49"/>
      <c r="AC1062" s="49"/>
    </row>
    <row r="1063" spans="1:29">
      <c r="A1063" s="62">
        <v>7640006869</v>
      </c>
      <c r="B1063" s="61" t="s">
        <v>155</v>
      </c>
      <c r="C1063" s="271">
        <f>VLOOKUP($A$8:$A$1487,'[7]MFP''s'!A$8:C$1502,3,FALSE)</f>
        <v>223</v>
      </c>
      <c r="D1063" s="364">
        <v>106</v>
      </c>
      <c r="E1063" s="274">
        <f t="shared" si="105"/>
        <v>0.5246636771300448</v>
      </c>
      <c r="F1063" s="196">
        <f t="shared" si="102"/>
        <v>3.9824199999999998</v>
      </c>
      <c r="G1063" s="196">
        <f t="shared" si="103"/>
        <v>3.1429</v>
      </c>
      <c r="H1063" s="199">
        <f t="shared" si="104"/>
        <v>2.6531799999999999</v>
      </c>
      <c r="I1063" s="49"/>
      <c r="J1063" s="49"/>
      <c r="K1063" s="49"/>
      <c r="L1063" s="49"/>
      <c r="M1063" s="49"/>
      <c r="N1063" s="49"/>
      <c r="O1063" s="49"/>
      <c r="P1063" s="49"/>
      <c r="Q1063" s="49"/>
      <c r="R1063" s="49"/>
      <c r="S1063" s="49"/>
      <c r="T1063" s="49"/>
      <c r="U1063" s="49"/>
      <c r="V1063" s="49"/>
      <c r="W1063" s="49"/>
      <c r="X1063" s="49"/>
      <c r="Y1063" s="49"/>
      <c r="Z1063" s="49"/>
      <c r="AA1063" s="49"/>
      <c r="AB1063" s="49"/>
      <c r="AC1063" s="49"/>
    </row>
    <row r="1064" spans="1:29">
      <c r="A1064" s="62">
        <v>7640013468</v>
      </c>
      <c r="B1064" s="61" t="s">
        <v>146</v>
      </c>
      <c r="C1064" s="271">
        <f>VLOOKUP($A$8:$A$1487,'[7]MFP''s'!A$8:C$1502,3,FALSE)</f>
        <v>423</v>
      </c>
      <c r="D1064" s="364">
        <v>201</v>
      </c>
      <c r="E1064" s="274">
        <f t="shared" si="105"/>
        <v>0.52482269503546097</v>
      </c>
      <c r="F1064" s="196">
        <f t="shared" si="102"/>
        <v>7.5515699999999999</v>
      </c>
      <c r="G1064" s="196">
        <f t="shared" si="103"/>
        <v>5.9596499999999999</v>
      </c>
      <c r="H1064" s="199">
        <f t="shared" si="104"/>
        <v>5.0310300000000003</v>
      </c>
      <c r="I1064" s="49"/>
      <c r="J1064" s="49"/>
      <c r="K1064" s="49"/>
      <c r="L1064" s="49"/>
      <c r="M1064" s="49"/>
      <c r="N1064" s="49"/>
      <c r="O1064" s="49"/>
      <c r="P1064" s="49"/>
      <c r="Q1064" s="49"/>
      <c r="R1064" s="49"/>
      <c r="S1064" s="49"/>
      <c r="T1064" s="49"/>
      <c r="U1064" s="49"/>
      <c r="V1064" s="49"/>
      <c r="W1064" s="49"/>
      <c r="X1064" s="49"/>
      <c r="Y1064" s="49"/>
      <c r="Z1064" s="49"/>
      <c r="AA1064" s="49"/>
      <c r="AB1064" s="49"/>
      <c r="AC1064" s="49"/>
    </row>
    <row r="1065" spans="1:29">
      <c r="A1065" s="62" t="s">
        <v>156</v>
      </c>
      <c r="B1065" s="61" t="s">
        <v>157</v>
      </c>
      <c r="C1065" s="271">
        <f>VLOOKUP($A$8:$A$1487,'[7]MFP''s'!A$8:C$1502,3,FALSE)</f>
        <v>126</v>
      </c>
      <c r="D1065" s="364">
        <v>60</v>
      </c>
      <c r="E1065" s="274">
        <f t="shared" si="105"/>
        <v>0.52380952380952384</v>
      </c>
      <c r="F1065" s="196">
        <f t="shared" si="102"/>
        <v>2.2542</v>
      </c>
      <c r="G1065" s="196">
        <f t="shared" si="103"/>
        <v>1.7789999999999999</v>
      </c>
      <c r="H1065" s="199">
        <f t="shared" si="104"/>
        <v>1.5018</v>
      </c>
      <c r="I1065" s="49"/>
      <c r="J1065" s="49"/>
      <c r="K1065" s="49"/>
      <c r="L1065" s="49"/>
      <c r="M1065" s="49"/>
      <c r="N1065" s="49"/>
      <c r="O1065" s="49"/>
      <c r="P1065" s="49"/>
      <c r="Q1065" s="49"/>
      <c r="R1065" s="49"/>
      <c r="S1065" s="49"/>
      <c r="T1065" s="49"/>
      <c r="U1065" s="49"/>
      <c r="V1065" s="49"/>
      <c r="W1065" s="49"/>
      <c r="X1065" s="49"/>
      <c r="Y1065" s="49"/>
      <c r="Z1065" s="49"/>
      <c r="AA1065" s="49"/>
      <c r="AB1065" s="49"/>
      <c r="AC1065" s="49"/>
    </row>
    <row r="1066" spans="1:29">
      <c r="A1066" s="62" t="s">
        <v>158</v>
      </c>
      <c r="B1066" s="61" t="s">
        <v>159</v>
      </c>
      <c r="C1066" s="271">
        <f>VLOOKUP($A$8:$A$1487,'[7]MFP''s'!A$8:C$1502,3,FALSE)</f>
        <v>123</v>
      </c>
      <c r="D1066" s="364">
        <v>59</v>
      </c>
      <c r="E1066" s="274">
        <f t="shared" si="105"/>
        <v>0.52032520325203246</v>
      </c>
      <c r="F1066" s="196">
        <f t="shared" si="102"/>
        <v>2.2166299999999999</v>
      </c>
      <c r="G1066" s="196">
        <f t="shared" si="103"/>
        <v>1.74935</v>
      </c>
      <c r="H1066" s="199">
        <f t="shared" si="104"/>
        <v>1.4767699999999999</v>
      </c>
      <c r="I1066" s="49"/>
      <c r="J1066" s="49"/>
      <c r="K1066" s="49"/>
      <c r="L1066" s="49"/>
      <c r="M1066" s="49"/>
      <c r="N1066" s="49"/>
      <c r="O1066" s="49"/>
      <c r="P1066" s="49"/>
      <c r="Q1066" s="49"/>
      <c r="R1066" s="49"/>
      <c r="S1066" s="49"/>
      <c r="T1066" s="49"/>
      <c r="U1066" s="49"/>
      <c r="V1066" s="49"/>
      <c r="W1066" s="49"/>
      <c r="X1066" s="49"/>
      <c r="Y1066" s="49"/>
      <c r="Z1066" s="49"/>
      <c r="AA1066" s="49"/>
      <c r="AB1066" s="49"/>
      <c r="AC1066" s="49"/>
    </row>
    <row r="1067" spans="1:29" ht="30">
      <c r="A1067" s="62">
        <v>4623474</v>
      </c>
      <c r="B1067" s="61" t="s">
        <v>162</v>
      </c>
      <c r="C1067" s="271">
        <f>VLOOKUP($A$8:$A$1487,'[7]MFP''s'!A$8:C$1502,3,FALSE)</f>
        <v>86</v>
      </c>
      <c r="D1067" s="364">
        <v>41</v>
      </c>
      <c r="E1067" s="274">
        <f t="shared" si="105"/>
        <v>0.52325581395348841</v>
      </c>
      <c r="F1067" s="196">
        <f t="shared" si="102"/>
        <v>1.54037</v>
      </c>
      <c r="G1067" s="196">
        <f t="shared" si="103"/>
        <v>1.2156499999999999</v>
      </c>
      <c r="H1067" s="199">
        <f t="shared" si="104"/>
        <v>1.02623</v>
      </c>
      <c r="I1067" s="49"/>
      <c r="J1067" s="49"/>
      <c r="K1067" s="49"/>
      <c r="L1067" s="49"/>
      <c r="M1067" s="49"/>
      <c r="N1067" s="49"/>
      <c r="O1067" s="49"/>
      <c r="P1067" s="49"/>
      <c r="Q1067" s="49"/>
      <c r="R1067" s="49"/>
      <c r="S1067" s="49"/>
      <c r="T1067" s="49"/>
      <c r="U1067" s="49"/>
      <c r="V1067" s="49"/>
      <c r="W1067" s="49"/>
      <c r="X1067" s="49"/>
      <c r="Y1067" s="49"/>
      <c r="Z1067" s="49"/>
      <c r="AA1067" s="49"/>
      <c r="AB1067" s="49"/>
      <c r="AC1067" s="49"/>
    </row>
    <row r="1068" spans="1:29">
      <c r="A1068" s="62" t="s">
        <v>160</v>
      </c>
      <c r="B1068" s="61" t="s">
        <v>161</v>
      </c>
      <c r="C1068" s="271">
        <f>VLOOKUP($A$8:$A$1487,'[7]MFP''s'!A$8:C$1502,3,FALSE)</f>
        <v>112</v>
      </c>
      <c r="D1068" s="364">
        <v>54</v>
      </c>
      <c r="E1068" s="274">
        <f t="shared" si="105"/>
        <v>0.51785714285714279</v>
      </c>
      <c r="F1068" s="196">
        <f t="shared" si="102"/>
        <v>2.0287799999999998</v>
      </c>
      <c r="G1068" s="196">
        <f t="shared" si="103"/>
        <v>1.6011</v>
      </c>
      <c r="H1068" s="199">
        <f t="shared" si="104"/>
        <v>1.35162</v>
      </c>
      <c r="I1068" s="49"/>
      <c r="J1068" s="49"/>
      <c r="K1068" s="49"/>
      <c r="L1068" s="49"/>
      <c r="M1068" s="49"/>
      <c r="N1068" s="49"/>
      <c r="O1068" s="49"/>
      <c r="P1068" s="49"/>
      <c r="Q1068" s="49"/>
      <c r="R1068" s="49"/>
      <c r="S1068" s="49"/>
      <c r="T1068" s="49"/>
      <c r="U1068" s="49"/>
      <c r="V1068" s="49"/>
      <c r="W1068" s="49"/>
      <c r="X1068" s="49"/>
      <c r="Y1068" s="49"/>
      <c r="Z1068" s="49"/>
      <c r="AA1068" s="49"/>
      <c r="AB1068" s="49"/>
      <c r="AC1068" s="49"/>
    </row>
    <row r="1069" spans="1:29">
      <c r="A1069" s="62">
        <v>7640005261</v>
      </c>
      <c r="B1069" s="61" t="s">
        <v>163</v>
      </c>
      <c r="C1069" s="271">
        <f>VLOOKUP($A$8:$A$1487,'[7]MFP''s'!A$8:C$1502,3,FALSE)</f>
        <v>69</v>
      </c>
      <c r="D1069" s="364">
        <v>33</v>
      </c>
      <c r="E1069" s="274">
        <f t="shared" si="105"/>
        <v>0.52173913043478259</v>
      </c>
      <c r="F1069" s="196">
        <f t="shared" si="102"/>
        <v>1.2398100000000001</v>
      </c>
      <c r="G1069" s="196">
        <f t="shared" si="103"/>
        <v>0.97844999999999993</v>
      </c>
      <c r="H1069" s="199">
        <f t="shared" si="104"/>
        <v>0.82599</v>
      </c>
      <c r="I1069" s="49"/>
      <c r="J1069" s="49"/>
      <c r="K1069" s="49"/>
      <c r="L1069" s="49"/>
      <c r="M1069" s="49"/>
      <c r="N1069" s="49"/>
      <c r="O1069" s="49"/>
      <c r="P1069" s="49"/>
      <c r="Q1069" s="49"/>
      <c r="R1069" s="49"/>
      <c r="S1069" s="49"/>
      <c r="T1069" s="49"/>
      <c r="U1069" s="49"/>
      <c r="V1069" s="49"/>
      <c r="W1069" s="49"/>
      <c r="X1069" s="49"/>
      <c r="Y1069" s="49"/>
      <c r="Z1069" s="49"/>
      <c r="AA1069" s="49"/>
      <c r="AB1069" s="49"/>
      <c r="AC1069" s="49"/>
    </row>
    <row r="1070" spans="1:29">
      <c r="A1070" s="62" t="s">
        <v>164</v>
      </c>
      <c r="B1070" s="61" t="s">
        <v>165</v>
      </c>
      <c r="C1070" s="271">
        <f>VLOOKUP($A$8:$A$1487,'[7]MFP''s'!A$8:C$1502,3,FALSE)</f>
        <v>1225</v>
      </c>
      <c r="D1070" s="364">
        <v>581</v>
      </c>
      <c r="E1070" s="274">
        <f t="shared" si="105"/>
        <v>0.52571428571428569</v>
      </c>
      <c r="F1070" s="196">
        <f t="shared" si="102"/>
        <v>21.82817</v>
      </c>
      <c r="G1070" s="196">
        <f t="shared" si="103"/>
        <v>17.226649999999999</v>
      </c>
      <c r="H1070" s="199">
        <f t="shared" si="104"/>
        <v>14.54243</v>
      </c>
      <c r="M1070" s="49"/>
      <c r="N1070" s="49"/>
      <c r="O1070" s="49"/>
      <c r="P1070" s="49"/>
      <c r="Q1070" s="49"/>
      <c r="R1070" s="49"/>
      <c r="S1070" s="49"/>
      <c r="T1070" s="49"/>
      <c r="U1070" s="49"/>
      <c r="V1070" s="49"/>
      <c r="W1070" s="49"/>
      <c r="X1070" s="49"/>
      <c r="Y1070" s="49"/>
      <c r="Z1070" s="49"/>
      <c r="AA1070" s="49"/>
      <c r="AB1070" s="49"/>
      <c r="AC1070" s="49"/>
    </row>
    <row r="1071" spans="1:29" s="173" customFormat="1">
      <c r="A1071" s="62" t="s">
        <v>387</v>
      </c>
      <c r="B1071" s="78" t="s">
        <v>388</v>
      </c>
      <c r="C1071" s="271">
        <f>VLOOKUP($A$8:$A$1487,'[7]MFP''s'!A$8:C$1502,3,FALSE)</f>
        <v>307</v>
      </c>
      <c r="D1071" s="364">
        <v>272</v>
      </c>
      <c r="E1071" s="274">
        <f t="shared" si="105"/>
        <v>0.11400651465798051</v>
      </c>
      <c r="F1071" s="196">
        <f t="shared" si="102"/>
        <v>10.21904</v>
      </c>
      <c r="G1071" s="196">
        <f t="shared" si="103"/>
        <v>8.0648</v>
      </c>
      <c r="H1071" s="199">
        <f t="shared" si="104"/>
        <v>6.80816</v>
      </c>
      <c r="J1071" s="172"/>
      <c r="K1071" s="172"/>
      <c r="L1071" s="172"/>
    </row>
    <row r="1072" spans="1:29">
      <c r="A1072" s="93">
        <v>7640013463</v>
      </c>
      <c r="B1072" s="61" t="s">
        <v>55</v>
      </c>
      <c r="C1072" s="271">
        <f>VLOOKUP($A$8:$A$1487,'[7]MFP''s'!A$8:C$1502,3,FALSE)</f>
        <v>317</v>
      </c>
      <c r="D1072" s="364">
        <v>151</v>
      </c>
      <c r="E1072" s="274">
        <f t="shared" si="105"/>
        <v>0.52365930599369093</v>
      </c>
      <c r="F1072" s="196">
        <f t="shared" si="102"/>
        <v>5.6730700000000001</v>
      </c>
      <c r="G1072" s="196">
        <f t="shared" si="103"/>
        <v>4.47715</v>
      </c>
      <c r="H1072" s="199">
        <f t="shared" si="104"/>
        <v>3.7795299999999998</v>
      </c>
      <c r="M1072" s="49"/>
      <c r="N1072" s="49"/>
      <c r="O1072" s="49"/>
      <c r="P1072" s="49"/>
      <c r="Q1072" s="49"/>
      <c r="R1072" s="49"/>
      <c r="S1072" s="49"/>
      <c r="T1072" s="49"/>
      <c r="U1072" s="49"/>
      <c r="V1072" s="49"/>
      <c r="W1072" s="49"/>
      <c r="X1072" s="49"/>
      <c r="Y1072" s="49"/>
      <c r="Z1072" s="49"/>
      <c r="AA1072" s="49"/>
      <c r="AB1072" s="49"/>
      <c r="AC1072" s="49"/>
    </row>
    <row r="1073" spans="1:29">
      <c r="A1073" s="60" t="s">
        <v>380</v>
      </c>
      <c r="B1073" s="61"/>
      <c r="C1073" s="271"/>
      <c r="D1073" s="364"/>
      <c r="E1073" s="274"/>
      <c r="F1073" s="196"/>
      <c r="G1073" s="196"/>
      <c r="H1073" s="199"/>
      <c r="M1073" s="49"/>
      <c r="N1073" s="49"/>
      <c r="O1073" s="49"/>
      <c r="P1073" s="49"/>
      <c r="Q1073" s="49"/>
      <c r="R1073" s="49"/>
      <c r="S1073" s="49"/>
      <c r="T1073" s="49"/>
      <c r="U1073" s="49"/>
      <c r="V1073" s="49"/>
      <c r="W1073" s="49"/>
      <c r="X1073" s="49"/>
      <c r="Y1073" s="49"/>
      <c r="Z1073" s="49"/>
      <c r="AA1073" s="49"/>
      <c r="AB1073" s="49"/>
      <c r="AC1073" s="49"/>
    </row>
    <row r="1074" spans="1:29">
      <c r="A1074" s="71" t="s">
        <v>168</v>
      </c>
      <c r="B1074" s="61" t="s">
        <v>169</v>
      </c>
      <c r="C1074" s="271">
        <f>VLOOKUP($A$8:$A$1487,'[7]MFP''s'!A$8:C$1502,3,FALSE)</f>
        <v>250</v>
      </c>
      <c r="D1074" s="364">
        <v>250</v>
      </c>
      <c r="E1074" s="274">
        <f t="shared" si="105"/>
        <v>0</v>
      </c>
      <c r="F1074" s="196">
        <f t="shared" si="102"/>
        <v>9.3925000000000001</v>
      </c>
      <c r="G1074" s="196">
        <f t="shared" si="103"/>
        <v>7.4124999999999996</v>
      </c>
      <c r="H1074" s="199">
        <f t="shared" si="104"/>
        <v>6.2575000000000003</v>
      </c>
      <c r="M1074" s="49"/>
      <c r="N1074" s="49"/>
      <c r="O1074" s="49"/>
      <c r="P1074" s="49"/>
      <c r="Q1074" s="49"/>
      <c r="R1074" s="49"/>
      <c r="S1074" s="49"/>
      <c r="T1074" s="49"/>
      <c r="U1074" s="49"/>
      <c r="V1074" s="49"/>
      <c r="W1074" s="49"/>
      <c r="X1074" s="49"/>
      <c r="Y1074" s="49"/>
      <c r="Z1074" s="49"/>
      <c r="AA1074" s="49"/>
      <c r="AB1074" s="49"/>
      <c r="AC1074" s="49"/>
    </row>
    <row r="1075" spans="1:29">
      <c r="A1075" s="212"/>
      <c r="B1075" s="213"/>
      <c r="C1075" s="215"/>
      <c r="D1075" s="369"/>
      <c r="E1075" s="215"/>
      <c r="F1075" s="215"/>
      <c r="G1075" s="215"/>
      <c r="H1075" s="216"/>
      <c r="M1075" s="49"/>
      <c r="N1075" s="49"/>
      <c r="O1075" s="49"/>
      <c r="P1075" s="49"/>
      <c r="Q1075" s="49"/>
      <c r="R1075" s="49"/>
      <c r="S1075" s="49"/>
      <c r="T1075" s="49"/>
      <c r="U1075" s="49"/>
      <c r="V1075" s="49"/>
      <c r="W1075" s="49"/>
      <c r="X1075" s="49"/>
      <c r="Y1075" s="49"/>
      <c r="Z1075" s="49"/>
      <c r="AA1075" s="49"/>
      <c r="AB1075" s="49"/>
      <c r="AC1075" s="49"/>
    </row>
    <row r="1076" spans="1:29" ht="60">
      <c r="A1076" s="224" t="s">
        <v>444</v>
      </c>
      <c r="B1076" s="222" t="s">
        <v>651</v>
      </c>
      <c r="C1076" s="271">
        <f>VLOOKUP($A$8:$A$1487,'[7]MFP''s'!A$8:C$1502,3,FALSE)</f>
        <v>51995</v>
      </c>
      <c r="D1076" s="364">
        <v>24957.599999999999</v>
      </c>
      <c r="E1076" s="274">
        <f t="shared" si="105"/>
        <v>0.52</v>
      </c>
      <c r="F1076" s="196">
        <f t="shared" si="102"/>
        <v>937.65703199999996</v>
      </c>
      <c r="G1076" s="196">
        <f t="shared" si="103"/>
        <v>739.99283999999989</v>
      </c>
      <c r="H1076" s="199">
        <f t="shared" si="104"/>
        <v>624.68872799999997</v>
      </c>
      <c r="M1076" s="49"/>
      <c r="N1076" s="49"/>
      <c r="O1076" s="49"/>
      <c r="P1076" s="49"/>
      <c r="Q1076" s="49"/>
      <c r="R1076" s="49"/>
      <c r="S1076" s="49"/>
      <c r="T1076" s="49"/>
      <c r="U1076" s="49"/>
      <c r="V1076" s="49"/>
      <c r="W1076" s="49"/>
      <c r="X1076" s="49"/>
      <c r="Y1076" s="49"/>
      <c r="Z1076" s="49"/>
      <c r="AA1076" s="49"/>
      <c r="AB1076" s="49"/>
      <c r="AC1076" s="49"/>
    </row>
    <row r="1077" spans="1:29" s="173" customFormat="1">
      <c r="A1077" s="169"/>
      <c r="B1077" s="193"/>
      <c r="C1077" s="271"/>
      <c r="D1077" s="364"/>
      <c r="E1077" s="274"/>
      <c r="F1077" s="196"/>
      <c r="G1077" s="196"/>
      <c r="H1077" s="199"/>
      <c r="J1077" s="172"/>
      <c r="K1077" s="172"/>
      <c r="L1077" s="172"/>
    </row>
    <row r="1078" spans="1:29" s="173" customFormat="1" ht="45">
      <c r="A1078" s="224" t="s">
        <v>445</v>
      </c>
      <c r="B1078" s="222" t="s">
        <v>652</v>
      </c>
      <c r="C1078" s="271">
        <f>VLOOKUP($A$8:$A$1487,'[7]MFP''s'!A$8:C$1502,3,FALSE)</f>
        <v>53795</v>
      </c>
      <c r="D1078" s="364">
        <v>25821.599999999999</v>
      </c>
      <c r="E1078" s="274">
        <f t="shared" si="105"/>
        <v>0.52</v>
      </c>
      <c r="F1078" s="196">
        <f t="shared" si="102"/>
        <v>970.11751199999992</v>
      </c>
      <c r="G1078" s="196">
        <f t="shared" si="103"/>
        <v>765.61043999999993</v>
      </c>
      <c r="H1078" s="199">
        <f t="shared" si="104"/>
        <v>646.31464799999992</v>
      </c>
      <c r="J1078" s="172"/>
      <c r="K1078" s="172"/>
      <c r="L1078" s="172"/>
    </row>
    <row r="1079" spans="1:29" s="173" customFormat="1">
      <c r="A1079" s="71" t="s">
        <v>430</v>
      </c>
      <c r="B1079" s="78" t="s">
        <v>431</v>
      </c>
      <c r="C1079" s="271">
        <f>VLOOKUP($A$8:$A$1487,'[7]MFP''s'!A$8:C$1502,3,FALSE)</f>
        <v>1600</v>
      </c>
      <c r="D1079" s="364">
        <v>1600</v>
      </c>
      <c r="E1079" s="274">
        <f t="shared" si="105"/>
        <v>0</v>
      </c>
      <c r="F1079" s="196">
        <f t="shared" si="102"/>
        <v>60.112000000000002</v>
      </c>
      <c r="G1079" s="196">
        <f t="shared" si="103"/>
        <v>47.44</v>
      </c>
      <c r="H1079" s="199">
        <f t="shared" si="104"/>
        <v>40.048000000000002</v>
      </c>
      <c r="J1079" s="172"/>
      <c r="K1079" s="172"/>
      <c r="L1079" s="172"/>
    </row>
    <row r="1080" spans="1:29" s="173" customFormat="1">
      <c r="A1080" s="71" t="s">
        <v>303</v>
      </c>
      <c r="B1080" s="78" t="s">
        <v>304</v>
      </c>
      <c r="C1080" s="271">
        <f>VLOOKUP($A$8:$A$1487,'[7]MFP''s'!A$8:C$1502,3,FALSE)</f>
        <v>600</v>
      </c>
      <c r="D1080" s="364">
        <v>600</v>
      </c>
      <c r="E1080" s="274">
        <f t="shared" si="105"/>
        <v>0</v>
      </c>
      <c r="F1080" s="196">
        <f t="shared" si="102"/>
        <v>22.541999999999998</v>
      </c>
      <c r="G1080" s="196">
        <f t="shared" si="103"/>
        <v>17.79</v>
      </c>
      <c r="H1080" s="199">
        <f t="shared" si="104"/>
        <v>15.018000000000001</v>
      </c>
      <c r="J1080" s="172"/>
      <c r="K1080" s="172"/>
      <c r="L1080" s="172"/>
    </row>
    <row r="1081" spans="1:29" s="173" customFormat="1">
      <c r="A1081" s="71" t="s">
        <v>305</v>
      </c>
      <c r="B1081" s="78" t="s">
        <v>306</v>
      </c>
      <c r="C1081" s="271">
        <f>VLOOKUP($A$8:$A$1487,'[7]MFP''s'!A$8:C$1502,3,FALSE)</f>
        <v>5000</v>
      </c>
      <c r="D1081" s="364">
        <v>5000</v>
      </c>
      <c r="E1081" s="274">
        <f t="shared" si="105"/>
        <v>0</v>
      </c>
      <c r="F1081" s="196">
        <f t="shared" si="102"/>
        <v>187.85</v>
      </c>
      <c r="G1081" s="196">
        <f t="shared" si="103"/>
        <v>148.25</v>
      </c>
      <c r="H1081" s="199">
        <f t="shared" si="104"/>
        <v>125.15</v>
      </c>
      <c r="J1081" s="172"/>
      <c r="K1081" s="172"/>
      <c r="L1081" s="172"/>
    </row>
    <row r="1082" spans="1:29" s="173" customFormat="1">
      <c r="A1082" s="71" t="s">
        <v>307</v>
      </c>
      <c r="B1082" s="78" t="s">
        <v>308</v>
      </c>
      <c r="C1082" s="271">
        <f>VLOOKUP($A$8:$A$1487,'[7]MFP''s'!A$8:C$1502,3,FALSE)</f>
        <v>8000</v>
      </c>
      <c r="D1082" s="364">
        <v>8000</v>
      </c>
      <c r="E1082" s="274">
        <f t="shared" si="105"/>
        <v>0</v>
      </c>
      <c r="F1082" s="196">
        <f t="shared" si="102"/>
        <v>300.56</v>
      </c>
      <c r="G1082" s="196">
        <f t="shared" si="103"/>
        <v>237.2</v>
      </c>
      <c r="H1082" s="199">
        <f t="shared" si="104"/>
        <v>200.24</v>
      </c>
      <c r="J1082" s="172"/>
      <c r="K1082" s="172"/>
      <c r="L1082" s="172"/>
    </row>
    <row r="1083" spans="1:29" s="173" customFormat="1">
      <c r="A1083" s="71" t="s">
        <v>62</v>
      </c>
      <c r="B1083" s="78" t="s">
        <v>63</v>
      </c>
      <c r="C1083" s="271">
        <f>VLOOKUP($A$8:$A$1487,'[7]MFP''s'!A$8:C$1502,3,FALSE)</f>
        <v>1</v>
      </c>
      <c r="D1083" s="364">
        <v>1</v>
      </c>
      <c r="E1083" s="274">
        <f t="shared" si="105"/>
        <v>0</v>
      </c>
      <c r="F1083" s="196">
        <f t="shared" si="102"/>
        <v>3.7569999999999999E-2</v>
      </c>
      <c r="G1083" s="196">
        <f t="shared" si="103"/>
        <v>2.9649999999999999E-2</v>
      </c>
      <c r="H1083" s="199">
        <f t="shared" si="104"/>
        <v>2.503E-2</v>
      </c>
      <c r="J1083" s="172"/>
      <c r="K1083" s="172"/>
      <c r="L1083" s="172"/>
    </row>
    <row r="1084" spans="1:29" s="173" customFormat="1">
      <c r="A1084" s="71" t="s">
        <v>64</v>
      </c>
      <c r="B1084" s="78" t="s">
        <v>65</v>
      </c>
      <c r="C1084" s="271">
        <f>VLOOKUP($A$8:$A$1487,'[7]MFP''s'!A$8:C$1502,3,FALSE)</f>
        <v>1</v>
      </c>
      <c r="D1084" s="364">
        <v>1</v>
      </c>
      <c r="E1084" s="274">
        <f t="shared" si="105"/>
        <v>0</v>
      </c>
      <c r="F1084" s="196">
        <f t="shared" si="102"/>
        <v>3.7569999999999999E-2</v>
      </c>
      <c r="G1084" s="196">
        <f t="shared" si="103"/>
        <v>2.9649999999999999E-2</v>
      </c>
      <c r="H1084" s="199">
        <f t="shared" si="104"/>
        <v>2.503E-2</v>
      </c>
      <c r="J1084" s="172"/>
      <c r="K1084" s="172"/>
      <c r="L1084" s="172"/>
    </row>
    <row r="1085" spans="1:29">
      <c r="A1085" s="195" t="s">
        <v>384</v>
      </c>
      <c r="B1085" s="197"/>
      <c r="C1085" s="271"/>
      <c r="D1085" s="357"/>
      <c r="E1085" s="274"/>
      <c r="F1085" s="196"/>
      <c r="G1085" s="196"/>
      <c r="H1085" s="199"/>
      <c r="M1085" s="49"/>
      <c r="N1085" s="49"/>
      <c r="O1085" s="49"/>
      <c r="P1085" s="49"/>
      <c r="Q1085" s="49"/>
      <c r="R1085" s="49"/>
      <c r="S1085" s="49"/>
      <c r="T1085" s="49"/>
      <c r="U1085" s="49"/>
      <c r="V1085" s="49"/>
      <c r="W1085" s="49"/>
      <c r="X1085" s="49"/>
      <c r="Y1085" s="49"/>
      <c r="Z1085" s="49"/>
      <c r="AA1085" s="49"/>
      <c r="AB1085" s="49"/>
      <c r="AC1085" s="49"/>
    </row>
    <row r="1086" spans="1:29" s="173" customFormat="1">
      <c r="A1086" s="169" t="s">
        <v>75</v>
      </c>
      <c r="B1086" s="78"/>
      <c r="C1086" s="271"/>
      <c r="D1086" s="364"/>
      <c r="E1086" s="274"/>
      <c r="F1086" s="196"/>
      <c r="G1086" s="196"/>
      <c r="H1086" s="199"/>
      <c r="J1086" s="172"/>
      <c r="K1086" s="172"/>
      <c r="L1086" s="172"/>
    </row>
    <row r="1087" spans="1:29" s="173" customFormat="1">
      <c r="A1087" s="71" t="s">
        <v>432</v>
      </c>
      <c r="B1087" s="78" t="s">
        <v>433</v>
      </c>
      <c r="C1087" s="271">
        <f>VLOOKUP($A$8:$A$1487,'[7]MFP''s'!A$8:C$1502,3,FALSE)</f>
        <v>3562</v>
      </c>
      <c r="D1087" s="364">
        <v>1974</v>
      </c>
      <c r="E1087" s="274">
        <f t="shared" si="105"/>
        <v>0.44581695676586186</v>
      </c>
      <c r="F1087" s="196">
        <f t="shared" si="102"/>
        <v>74.163179999999997</v>
      </c>
      <c r="G1087" s="196">
        <f t="shared" si="103"/>
        <v>58.5291</v>
      </c>
      <c r="H1087" s="199">
        <f t="shared" si="104"/>
        <v>49.409219999999998</v>
      </c>
      <c r="J1087" s="172"/>
      <c r="K1087" s="172"/>
      <c r="L1087" s="172"/>
    </row>
    <row r="1088" spans="1:29" s="173" customFormat="1">
      <c r="A1088" s="71" t="s">
        <v>434</v>
      </c>
      <c r="B1088" s="78" t="s">
        <v>435</v>
      </c>
      <c r="C1088" s="271">
        <f>VLOOKUP($A$8:$A$1487,'[7]MFP''s'!A$8:C$1502,3,FALSE)</f>
        <v>1336</v>
      </c>
      <c r="D1088" s="364">
        <v>741</v>
      </c>
      <c r="E1088" s="274">
        <f t="shared" si="105"/>
        <v>0.44535928143712578</v>
      </c>
      <c r="F1088" s="196">
        <f t="shared" si="102"/>
        <v>27.839369999999999</v>
      </c>
      <c r="G1088" s="196">
        <f t="shared" si="103"/>
        <v>21.970649999999999</v>
      </c>
      <c r="H1088" s="199">
        <f t="shared" si="104"/>
        <v>18.547229999999999</v>
      </c>
      <c r="J1088" s="172"/>
      <c r="K1088" s="172"/>
      <c r="L1088" s="172"/>
    </row>
    <row r="1089" spans="1:12" s="173" customFormat="1">
      <c r="A1089" s="71" t="s">
        <v>446</v>
      </c>
      <c r="B1089" s="78" t="s">
        <v>447</v>
      </c>
      <c r="C1089" s="271">
        <f>VLOOKUP($A$8:$A$1487,'[7]MFP''s'!A$8:C$1502,3,FALSE)</f>
        <v>582</v>
      </c>
      <c r="D1089" s="364">
        <v>324</v>
      </c>
      <c r="E1089" s="274">
        <f t="shared" si="105"/>
        <v>0.44329896907216493</v>
      </c>
      <c r="F1089" s="196">
        <f t="shared" si="102"/>
        <v>12.17268</v>
      </c>
      <c r="G1089" s="196">
        <f t="shared" si="103"/>
        <v>9.6066000000000003</v>
      </c>
      <c r="H1089" s="199">
        <f t="shared" si="104"/>
        <v>8.1097199999999994</v>
      </c>
      <c r="J1089" s="172"/>
      <c r="K1089" s="172"/>
      <c r="L1089" s="172"/>
    </row>
    <row r="1090" spans="1:12" s="173" customFormat="1">
      <c r="A1090" s="169" t="s">
        <v>66</v>
      </c>
      <c r="B1090" s="78"/>
      <c r="C1090" s="271"/>
      <c r="D1090" s="364"/>
      <c r="E1090" s="274"/>
      <c r="F1090" s="196"/>
      <c r="G1090" s="196"/>
      <c r="H1090" s="199"/>
      <c r="J1090" s="172"/>
      <c r="K1090" s="172"/>
      <c r="L1090" s="172"/>
    </row>
    <row r="1091" spans="1:12" s="316" customFormat="1">
      <c r="A1091" s="326" t="s">
        <v>448</v>
      </c>
      <c r="B1091" s="327" t="s">
        <v>449</v>
      </c>
      <c r="C1091" s="312">
        <f>VLOOKUP($A$8:$A$1487,'[7]MFP''s'!A$8:C$1502,3,FALSE)</f>
        <v>2002</v>
      </c>
      <c r="D1091" s="367">
        <v>1111</v>
      </c>
      <c r="E1091" s="313">
        <f>100%-(D1091/C1091)</f>
        <v>0.44505494505494503</v>
      </c>
      <c r="F1091" s="314">
        <f>D1091*$F$1</f>
        <v>41.740270000000002</v>
      </c>
      <c r="G1091" s="314">
        <f>D1091*$G$1</f>
        <v>32.94115</v>
      </c>
      <c r="H1091" s="315">
        <f>D1091*$H$1</f>
        <v>27.808330000000002</v>
      </c>
      <c r="J1091" s="317"/>
      <c r="K1091" s="317"/>
      <c r="L1091" s="317"/>
    </row>
    <row r="1092" spans="1:12" s="173" customFormat="1">
      <c r="A1092" s="71" t="s">
        <v>436</v>
      </c>
      <c r="B1092" s="78" t="s">
        <v>437</v>
      </c>
      <c r="C1092" s="271">
        <f>VLOOKUP($A$8:$A$1487,'[7]MFP''s'!A$8:C$1502,3,FALSE)</f>
        <v>690</v>
      </c>
      <c r="D1092" s="364">
        <v>383</v>
      </c>
      <c r="E1092" s="274">
        <f t="shared" si="105"/>
        <v>0.44492753623188408</v>
      </c>
      <c r="F1092" s="196">
        <f t="shared" ref="F1092:F1154" si="106">D1092*$F$1</f>
        <v>14.38931</v>
      </c>
      <c r="G1092" s="196">
        <f t="shared" si="103"/>
        <v>11.35595</v>
      </c>
      <c r="H1092" s="199">
        <f t="shared" si="104"/>
        <v>9.5864899999999995</v>
      </c>
      <c r="J1092" s="172"/>
      <c r="K1092" s="172"/>
      <c r="L1092" s="172"/>
    </row>
    <row r="1093" spans="1:12" s="173" customFormat="1">
      <c r="A1093" s="71" t="s">
        <v>450</v>
      </c>
      <c r="B1093" s="78" t="s">
        <v>451</v>
      </c>
      <c r="C1093" s="271">
        <f>VLOOKUP($A$8:$A$1487,'[7]MFP''s'!A$8:C$1502,3,FALSE)</f>
        <v>150</v>
      </c>
      <c r="D1093" s="364">
        <v>84.742021276595764</v>
      </c>
      <c r="E1093" s="274">
        <f t="shared" si="105"/>
        <v>0.43505319148936161</v>
      </c>
      <c r="F1093" s="196">
        <f t="shared" si="106"/>
        <v>3.1837577393617029</v>
      </c>
      <c r="G1093" s="196">
        <f t="shared" si="103"/>
        <v>2.5126009308510642</v>
      </c>
      <c r="H1093" s="199">
        <f t="shared" si="104"/>
        <v>2.1210927925531919</v>
      </c>
      <c r="K1093" s="172"/>
      <c r="L1093" s="172"/>
    </row>
    <row r="1094" spans="1:12" s="173" customFormat="1">
      <c r="A1094" s="71" t="s">
        <v>452</v>
      </c>
      <c r="B1094" s="78" t="s">
        <v>453</v>
      </c>
      <c r="C1094" s="271">
        <f>VLOOKUP($A$8:$A$1487,'[7]MFP''s'!A$8:C$1502,3,FALSE)</f>
        <v>580</v>
      </c>
      <c r="D1094" s="364">
        <v>294</v>
      </c>
      <c r="E1094" s="274">
        <f t="shared" si="105"/>
        <v>0.49310344827586206</v>
      </c>
      <c r="F1094" s="196">
        <f t="shared" si="106"/>
        <v>11.045579999999999</v>
      </c>
      <c r="G1094" s="196">
        <f t="shared" si="103"/>
        <v>8.7171000000000003</v>
      </c>
      <c r="H1094" s="199">
        <f t="shared" si="104"/>
        <v>7.3588199999999997</v>
      </c>
      <c r="J1094" s="172"/>
      <c r="K1094" s="172"/>
      <c r="L1094" s="172"/>
    </row>
    <row r="1095" spans="1:12" s="173" customFormat="1">
      <c r="A1095" s="71" t="s">
        <v>454</v>
      </c>
      <c r="B1095" s="78" t="s">
        <v>455</v>
      </c>
      <c r="C1095" s="271">
        <f>VLOOKUP($A$8:$A$1487,'[7]MFP''s'!A$8:C$1502,3,FALSE)</f>
        <v>2115</v>
      </c>
      <c r="D1095" s="364">
        <v>1172.979</v>
      </c>
      <c r="E1095" s="274">
        <f t="shared" si="105"/>
        <v>0.44540000000000002</v>
      </c>
      <c r="F1095" s="196">
        <f t="shared" si="106"/>
        <v>44.068821030000002</v>
      </c>
      <c r="G1095" s="196">
        <f t="shared" si="103"/>
        <v>34.77882735</v>
      </c>
      <c r="H1095" s="199">
        <f t="shared" si="104"/>
        <v>29.359664370000001</v>
      </c>
      <c r="J1095" s="172"/>
      <c r="K1095" s="172"/>
      <c r="L1095" s="172"/>
    </row>
    <row r="1096" spans="1:12" s="173" customFormat="1">
      <c r="A1096" s="71" t="s">
        <v>309</v>
      </c>
      <c r="B1096" s="78" t="s">
        <v>310</v>
      </c>
      <c r="C1096" s="271">
        <f>VLOOKUP($A$8:$A$1487,'[7]MFP''s'!A$8:C$1502,3,FALSE)</f>
        <v>5406</v>
      </c>
      <c r="D1096" s="364">
        <v>2996</v>
      </c>
      <c r="E1096" s="274">
        <f t="shared" si="105"/>
        <v>0.44580096189419161</v>
      </c>
      <c r="F1096" s="196">
        <f t="shared" si="106"/>
        <v>112.55972</v>
      </c>
      <c r="G1096" s="196">
        <f t="shared" si="103"/>
        <v>88.831400000000002</v>
      </c>
      <c r="H1096" s="199">
        <f t="shared" si="104"/>
        <v>74.989879999999999</v>
      </c>
      <c r="J1096" s="172"/>
      <c r="K1096" s="172"/>
      <c r="L1096" s="172"/>
    </row>
    <row r="1097" spans="1:12" s="173" customFormat="1">
      <c r="A1097" s="71" t="s">
        <v>438</v>
      </c>
      <c r="B1097" s="78" t="s">
        <v>439</v>
      </c>
      <c r="C1097" s="271">
        <f>VLOOKUP($A$8:$A$1487,'[7]MFP''s'!A$8:C$1502,3,FALSE)</f>
        <v>3173</v>
      </c>
      <c r="D1097" s="364">
        <v>1759</v>
      </c>
      <c r="E1097" s="274">
        <f t="shared" si="105"/>
        <v>0.44563504569807755</v>
      </c>
      <c r="F1097" s="196">
        <f t="shared" si="106"/>
        <v>66.085629999999995</v>
      </c>
      <c r="G1097" s="196">
        <f t="shared" si="103"/>
        <v>52.154350000000001</v>
      </c>
      <c r="H1097" s="199">
        <f t="shared" si="104"/>
        <v>44.027769999999997</v>
      </c>
      <c r="J1097" s="172"/>
      <c r="K1097" s="172"/>
      <c r="L1097" s="172"/>
    </row>
    <row r="1098" spans="1:12" s="173" customFormat="1">
      <c r="A1098" s="71" t="s">
        <v>312</v>
      </c>
      <c r="B1098" s="78" t="s">
        <v>313</v>
      </c>
      <c r="C1098" s="271">
        <f>VLOOKUP($A$8:$A$1487,'[7]MFP''s'!A$8:C$1502,3,FALSE)</f>
        <v>1164</v>
      </c>
      <c r="D1098" s="364">
        <v>645</v>
      </c>
      <c r="E1098" s="274">
        <f t="shared" si="105"/>
        <v>0.44587628865979378</v>
      </c>
      <c r="F1098" s="196">
        <f t="shared" si="106"/>
        <v>24.23265</v>
      </c>
      <c r="G1098" s="196">
        <f t="shared" si="103"/>
        <v>19.12425</v>
      </c>
      <c r="H1098" s="199">
        <f t="shared" si="104"/>
        <v>16.144349999999999</v>
      </c>
      <c r="J1098" s="172"/>
      <c r="K1098" s="172"/>
      <c r="L1098" s="172"/>
    </row>
    <row r="1099" spans="1:12" s="173" customFormat="1">
      <c r="A1099" s="71" t="s">
        <v>314</v>
      </c>
      <c r="B1099" s="78" t="s">
        <v>315</v>
      </c>
      <c r="C1099" s="271">
        <f>VLOOKUP($A$8:$A$1487,'[7]MFP''s'!A$8:C$1502,3,FALSE)</f>
        <v>863</v>
      </c>
      <c r="D1099" s="364">
        <v>479</v>
      </c>
      <c r="E1099" s="274">
        <f t="shared" si="105"/>
        <v>0.4449594438006953</v>
      </c>
      <c r="F1099" s="196">
        <f t="shared" si="106"/>
        <v>17.996030000000001</v>
      </c>
      <c r="G1099" s="196">
        <f t="shared" ref="G1099:G1162" si="107">D1099*$G$1</f>
        <v>14.202349999999999</v>
      </c>
      <c r="H1099" s="199">
        <f t="shared" ref="H1099:H1162" si="108">D1099*$H$1</f>
        <v>11.989369999999999</v>
      </c>
      <c r="J1099" s="172"/>
      <c r="K1099" s="172"/>
      <c r="L1099" s="172"/>
    </row>
    <row r="1100" spans="1:12" s="173" customFormat="1">
      <c r="A1100" s="169" t="s">
        <v>285</v>
      </c>
      <c r="B1100" s="78"/>
      <c r="C1100" s="271"/>
      <c r="D1100" s="364"/>
      <c r="E1100" s="274"/>
      <c r="F1100" s="196"/>
      <c r="G1100" s="196"/>
      <c r="H1100" s="199"/>
      <c r="J1100" s="172"/>
      <c r="K1100" s="172"/>
      <c r="L1100" s="172"/>
    </row>
    <row r="1101" spans="1:12" s="173" customFormat="1">
      <c r="A1101" s="71" t="s">
        <v>456</v>
      </c>
      <c r="B1101" s="78" t="s">
        <v>457</v>
      </c>
      <c r="C1101" s="271">
        <f>VLOOKUP($A$8:$A$1487,'[7]MFP''s'!A$8:C$1502,3,FALSE)</f>
        <v>1000</v>
      </c>
      <c r="D1101" s="364">
        <v>555.1</v>
      </c>
      <c r="E1101" s="274">
        <f t="shared" si="105"/>
        <v>0.44489999999999996</v>
      </c>
      <c r="F1101" s="196">
        <f t="shared" si="106"/>
        <v>20.855107</v>
      </c>
      <c r="G1101" s="196">
        <f t="shared" si="107"/>
        <v>16.458715000000002</v>
      </c>
      <c r="H1101" s="199">
        <f t="shared" si="108"/>
        <v>13.894153000000001</v>
      </c>
      <c r="J1101" s="172"/>
      <c r="K1101" s="172"/>
      <c r="L1101" s="172"/>
    </row>
    <row r="1102" spans="1:12" s="173" customFormat="1">
      <c r="A1102" s="71" t="s">
        <v>512</v>
      </c>
      <c r="B1102" s="78" t="s">
        <v>513</v>
      </c>
      <c r="C1102" s="271">
        <f>VLOOKUP($A$8:$A$1487,'[7]MFP''s'!A$8:C$1502,3,FALSE)</f>
        <v>5300</v>
      </c>
      <c r="D1102" s="364">
        <v>3088.86</v>
      </c>
      <c r="E1102" s="274">
        <f t="shared" si="105"/>
        <v>0.41719622641509435</v>
      </c>
      <c r="F1102" s="196">
        <f t="shared" si="106"/>
        <v>116.0484702</v>
      </c>
      <c r="G1102" s="196">
        <f t="shared" si="107"/>
        <v>91.584699000000001</v>
      </c>
      <c r="H1102" s="199">
        <f t="shared" si="108"/>
        <v>77.314165799999998</v>
      </c>
      <c r="J1102" s="172"/>
      <c r="K1102" s="172"/>
      <c r="L1102" s="172"/>
    </row>
    <row r="1103" spans="1:12" s="173" customFormat="1">
      <c r="A1103" s="71" t="s">
        <v>514</v>
      </c>
      <c r="B1103" s="78" t="s">
        <v>515</v>
      </c>
      <c r="C1103" s="271">
        <f>VLOOKUP($A$8:$A$1487,'[7]MFP''s'!A$8:C$1502,3,FALSE)</f>
        <v>2500</v>
      </c>
      <c r="D1103" s="364">
        <v>1388.89</v>
      </c>
      <c r="E1103" s="274">
        <f t="shared" si="105"/>
        <v>0.44444399999999995</v>
      </c>
      <c r="F1103" s="196">
        <f t="shared" si="106"/>
        <v>52.180597300000002</v>
      </c>
      <c r="G1103" s="196">
        <f t="shared" si="107"/>
        <v>41.180588499999999</v>
      </c>
      <c r="H1103" s="199">
        <f t="shared" si="108"/>
        <v>34.763916700000003</v>
      </c>
      <c r="J1103" s="172"/>
      <c r="K1103" s="172"/>
      <c r="L1103" s="172"/>
    </row>
    <row r="1104" spans="1:12" s="173" customFormat="1">
      <c r="A1104" s="71" t="s">
        <v>516</v>
      </c>
      <c r="B1104" s="78" t="s">
        <v>517</v>
      </c>
      <c r="C1104" s="271">
        <f>VLOOKUP($A$8:$A$1487,'[7]MFP''s'!A$8:C$1502,3,FALSE)</f>
        <v>1100</v>
      </c>
      <c r="D1104" s="364">
        <v>629.44000000000005</v>
      </c>
      <c r="E1104" s="274">
        <f t="shared" si="105"/>
        <v>0.42778181818181815</v>
      </c>
      <c r="F1104" s="196">
        <f t="shared" si="106"/>
        <v>23.648060800000003</v>
      </c>
      <c r="G1104" s="196">
        <f t="shared" si="107"/>
        <v>18.662896</v>
      </c>
      <c r="H1104" s="199">
        <f t="shared" si="108"/>
        <v>15.754883200000002</v>
      </c>
      <c r="J1104" s="172"/>
      <c r="K1104" s="172"/>
      <c r="L1104" s="172"/>
    </row>
    <row r="1105" spans="1:29" s="173" customFormat="1">
      <c r="A1105" s="71" t="s">
        <v>518</v>
      </c>
      <c r="B1105" s="78" t="s">
        <v>519</v>
      </c>
      <c r="C1105" s="271">
        <f>VLOOKUP($A$8:$A$1487,'[7]MFP''s'!A$8:C$1502,3,FALSE)</f>
        <v>3000</v>
      </c>
      <c r="D1105" s="364">
        <v>1773.89</v>
      </c>
      <c r="E1105" s="274">
        <f t="shared" si="105"/>
        <v>0.40870333333333331</v>
      </c>
      <c r="F1105" s="196">
        <f t="shared" si="106"/>
        <v>66.645047300000002</v>
      </c>
      <c r="G1105" s="196">
        <f t="shared" si="107"/>
        <v>52.595838499999999</v>
      </c>
      <c r="H1105" s="199">
        <f t="shared" si="108"/>
        <v>44.400466700000003</v>
      </c>
      <c r="J1105" s="172"/>
      <c r="K1105" s="172"/>
      <c r="L1105" s="172"/>
    </row>
    <row r="1106" spans="1:29" s="173" customFormat="1">
      <c r="A1106" s="71" t="s">
        <v>520</v>
      </c>
      <c r="B1106" s="78" t="s">
        <v>521</v>
      </c>
      <c r="C1106" s="271">
        <f>VLOOKUP($A$8:$A$1487,'[7]MFP''s'!A$8:C$1502,3,FALSE)</f>
        <v>3500</v>
      </c>
      <c r="D1106" s="364">
        <v>2625</v>
      </c>
      <c r="E1106" s="274">
        <f t="shared" si="105"/>
        <v>0.25</v>
      </c>
      <c r="F1106" s="196">
        <f t="shared" si="106"/>
        <v>98.621250000000003</v>
      </c>
      <c r="G1106" s="196">
        <f t="shared" si="107"/>
        <v>77.831249999999997</v>
      </c>
      <c r="H1106" s="199">
        <f t="shared" si="108"/>
        <v>65.703749999999999</v>
      </c>
      <c r="J1106" s="172"/>
      <c r="K1106" s="172"/>
      <c r="L1106" s="172"/>
    </row>
    <row r="1107" spans="1:29" s="173" customFormat="1">
      <c r="A1107" s="71" t="s">
        <v>522</v>
      </c>
      <c r="B1107" s="78" t="s">
        <v>523</v>
      </c>
      <c r="C1107" s="271">
        <f>VLOOKUP($A$8:$A$1487,'[7]MFP''s'!A$8:C$1502,3,FALSE)</f>
        <v>995</v>
      </c>
      <c r="D1107" s="364">
        <v>471.92850000000004</v>
      </c>
      <c r="E1107" s="274">
        <f t="shared" si="105"/>
        <v>0.52569999999999995</v>
      </c>
      <c r="F1107" s="196">
        <f t="shared" si="106"/>
        <v>17.730353745000002</v>
      </c>
      <c r="G1107" s="196">
        <f t="shared" si="107"/>
        <v>13.992680025</v>
      </c>
      <c r="H1107" s="199">
        <f t="shared" si="108"/>
        <v>11.812370355000001</v>
      </c>
      <c r="J1107" s="172"/>
      <c r="K1107" s="172"/>
      <c r="L1107" s="172"/>
    </row>
    <row r="1108" spans="1:29" s="173" customFormat="1">
      <c r="A1108" s="71" t="s">
        <v>524</v>
      </c>
      <c r="B1108" s="78" t="s">
        <v>525</v>
      </c>
      <c r="C1108" s="271">
        <f>VLOOKUP($A$8:$A$1487,'[7]MFP''s'!A$8:C$1502,3,FALSE)</f>
        <v>995</v>
      </c>
      <c r="D1108" s="364">
        <v>471.92850000000004</v>
      </c>
      <c r="E1108" s="274">
        <f t="shared" si="105"/>
        <v>0.52569999999999995</v>
      </c>
      <c r="F1108" s="196">
        <f t="shared" si="106"/>
        <v>17.730353745000002</v>
      </c>
      <c r="G1108" s="196">
        <f t="shared" si="107"/>
        <v>13.992680025</v>
      </c>
      <c r="H1108" s="199">
        <f t="shared" si="108"/>
        <v>11.812370355000001</v>
      </c>
      <c r="J1108" s="172"/>
      <c r="K1108" s="172"/>
      <c r="L1108" s="172"/>
    </row>
    <row r="1109" spans="1:29" s="173" customFormat="1">
      <c r="A1109" s="71" t="s">
        <v>526</v>
      </c>
      <c r="B1109" s="78" t="s">
        <v>527</v>
      </c>
      <c r="C1109" s="271">
        <f>VLOOKUP($A$8:$A$1487,'[7]MFP''s'!A$8:C$1502,3,FALSE)</f>
        <v>995</v>
      </c>
      <c r="D1109" s="364">
        <v>471.92850000000004</v>
      </c>
      <c r="E1109" s="274">
        <f t="shared" si="105"/>
        <v>0.52569999999999995</v>
      </c>
      <c r="F1109" s="196">
        <f t="shared" si="106"/>
        <v>17.730353745000002</v>
      </c>
      <c r="G1109" s="196">
        <f t="shared" si="107"/>
        <v>13.992680025</v>
      </c>
      <c r="H1109" s="199">
        <f t="shared" si="108"/>
        <v>11.812370355000001</v>
      </c>
      <c r="J1109" s="172"/>
      <c r="K1109" s="172"/>
      <c r="L1109" s="172"/>
    </row>
    <row r="1110" spans="1:29" s="173" customFormat="1">
      <c r="A1110" s="71" t="s">
        <v>536</v>
      </c>
      <c r="B1110" s="78" t="s">
        <v>537</v>
      </c>
      <c r="C1110" s="271">
        <f>VLOOKUP($A$8:$A$1487,'[7]MFP''s'!A$8:C$1502,3,FALSE)</f>
        <v>700</v>
      </c>
      <c r="D1110" s="364">
        <v>525</v>
      </c>
      <c r="E1110" s="274">
        <f t="shared" si="105"/>
        <v>0.25</v>
      </c>
      <c r="F1110" s="196">
        <f t="shared" si="106"/>
        <v>19.724249999999998</v>
      </c>
      <c r="G1110" s="196">
        <f t="shared" si="107"/>
        <v>15.56625</v>
      </c>
      <c r="H1110" s="199">
        <f t="shared" si="108"/>
        <v>13.140750000000001</v>
      </c>
      <c r="J1110" s="172"/>
      <c r="K1110" s="172"/>
      <c r="L1110" s="172"/>
    </row>
    <row r="1111" spans="1:29" s="173" customFormat="1">
      <c r="A1111" s="169" t="s">
        <v>47</v>
      </c>
      <c r="B1111" s="78"/>
      <c r="C1111" s="271"/>
      <c r="D1111" s="364"/>
      <c r="E1111" s="274"/>
      <c r="F1111" s="196"/>
      <c r="G1111" s="196"/>
      <c r="H1111" s="199"/>
      <c r="J1111" s="172"/>
      <c r="K1111" s="172"/>
      <c r="L1111" s="172"/>
    </row>
    <row r="1112" spans="1:29" s="173" customFormat="1">
      <c r="A1112" s="71" t="s">
        <v>458</v>
      </c>
      <c r="B1112" s="78" t="s">
        <v>459</v>
      </c>
      <c r="C1112" s="271">
        <f>VLOOKUP($A$8:$A$1487,'[7]MFP''s'!A$8:C$1502,3,FALSE)</f>
        <v>498</v>
      </c>
      <c r="D1112" s="364">
        <v>261.40020000000004</v>
      </c>
      <c r="E1112" s="274">
        <f t="shared" si="105"/>
        <v>0.47509999999999997</v>
      </c>
      <c r="F1112" s="196">
        <f t="shared" si="106"/>
        <v>9.8208055140000017</v>
      </c>
      <c r="G1112" s="196">
        <f t="shared" si="107"/>
        <v>7.7505159300000006</v>
      </c>
      <c r="H1112" s="199">
        <f t="shared" si="108"/>
        <v>6.5428470060000015</v>
      </c>
      <c r="J1112" s="172"/>
      <c r="K1112" s="172"/>
      <c r="L1112" s="172"/>
    </row>
    <row r="1113" spans="1:29" s="173" customFormat="1">
      <c r="A1113" s="71" t="s">
        <v>442</v>
      </c>
      <c r="B1113" s="78" t="s">
        <v>443</v>
      </c>
      <c r="C1113" s="271">
        <f>VLOOKUP($A$8:$A$1487,'[7]MFP''s'!A$8:C$1502,3,FALSE)</f>
        <v>1059</v>
      </c>
      <c r="D1113" s="364">
        <v>875</v>
      </c>
      <c r="E1113" s="274">
        <f t="shared" si="105"/>
        <v>0.17374881964117095</v>
      </c>
      <c r="F1113" s="196">
        <f t="shared" si="106"/>
        <v>32.873750000000001</v>
      </c>
      <c r="G1113" s="196">
        <f t="shared" si="107"/>
        <v>25.943749999999998</v>
      </c>
      <c r="H1113" s="199">
        <f t="shared" si="108"/>
        <v>21.901250000000001</v>
      </c>
      <c r="J1113" s="172"/>
      <c r="K1113" s="172"/>
      <c r="L1113" s="172"/>
    </row>
    <row r="1114" spans="1:29" s="173" customFormat="1">
      <c r="A1114" s="71" t="s">
        <v>385</v>
      </c>
      <c r="B1114" s="78" t="s">
        <v>386</v>
      </c>
      <c r="C1114" s="271">
        <f>VLOOKUP($A$8:$A$1487,'[7]MFP''s'!A$8:C$1502,3,FALSE)</f>
        <v>275</v>
      </c>
      <c r="D1114" s="364">
        <v>227</v>
      </c>
      <c r="E1114" s="274">
        <f t="shared" si="105"/>
        <v>0.17454545454545456</v>
      </c>
      <c r="F1114" s="196">
        <f t="shared" si="106"/>
        <v>8.5283899999999999</v>
      </c>
      <c r="G1114" s="196">
        <f t="shared" si="107"/>
        <v>6.73055</v>
      </c>
      <c r="H1114" s="199">
        <f t="shared" si="108"/>
        <v>5.6818100000000005</v>
      </c>
      <c r="K1114" s="172"/>
      <c r="L1114" s="172"/>
    </row>
    <row r="1115" spans="1:29" s="173" customFormat="1">
      <c r="A1115" s="71" t="s">
        <v>551</v>
      </c>
      <c r="B1115" s="78" t="s">
        <v>552</v>
      </c>
      <c r="C1115" s="271">
        <f>VLOOKUP($A$8:$A$1487,'[7]MFP''s'!A$8:C$1502,3,FALSE)</f>
        <v>200</v>
      </c>
      <c r="D1115" s="364">
        <v>150</v>
      </c>
      <c r="E1115" s="274">
        <f t="shared" si="105"/>
        <v>0.25</v>
      </c>
      <c r="F1115" s="196">
        <f t="shared" si="106"/>
        <v>5.6354999999999995</v>
      </c>
      <c r="G1115" s="196">
        <f t="shared" si="107"/>
        <v>4.4474999999999998</v>
      </c>
      <c r="H1115" s="199">
        <f t="shared" si="108"/>
        <v>3.7545000000000002</v>
      </c>
      <c r="J1115" s="172"/>
      <c r="K1115" s="172"/>
      <c r="L1115" s="172"/>
    </row>
    <row r="1116" spans="1:29">
      <c r="A1116" s="212"/>
      <c r="B1116" s="213"/>
      <c r="C1116" s="215"/>
      <c r="D1116" s="369"/>
      <c r="E1116" s="215"/>
      <c r="F1116" s="215"/>
      <c r="G1116" s="215"/>
      <c r="H1116" s="216"/>
      <c r="M1116" s="49"/>
      <c r="N1116" s="49"/>
      <c r="O1116" s="49"/>
      <c r="P1116" s="49"/>
      <c r="Q1116" s="49"/>
      <c r="R1116" s="49"/>
      <c r="S1116" s="49"/>
      <c r="T1116" s="49"/>
      <c r="U1116" s="49"/>
      <c r="V1116" s="49"/>
      <c r="W1116" s="49"/>
      <c r="X1116" s="49"/>
      <c r="Y1116" s="49"/>
      <c r="Z1116" s="49"/>
      <c r="AA1116" s="49"/>
      <c r="AB1116" s="49"/>
      <c r="AC1116" s="49"/>
    </row>
    <row r="1117" spans="1:29">
      <c r="A1117" s="224" t="s">
        <v>460</v>
      </c>
      <c r="B1117" s="222" t="s">
        <v>653</v>
      </c>
      <c r="C1117" s="271">
        <f>VLOOKUP($A$8:$A$1487,'[7]MFP''s'!A$8:C$1502,3,FALSE)</f>
        <v>52110</v>
      </c>
      <c r="D1117" s="364">
        <v>25012.799999999999</v>
      </c>
      <c r="E1117" s="274">
        <f t="shared" si="105"/>
        <v>0.52</v>
      </c>
      <c r="F1117" s="196">
        <f t="shared" si="106"/>
        <v>939.73089599999992</v>
      </c>
      <c r="G1117" s="196">
        <f t="shared" si="107"/>
        <v>741.62951999999996</v>
      </c>
      <c r="H1117" s="199">
        <f t="shared" si="108"/>
        <v>626.07038399999999</v>
      </c>
      <c r="M1117" s="49"/>
      <c r="N1117" s="49"/>
      <c r="O1117" s="49"/>
      <c r="P1117" s="49"/>
      <c r="Q1117" s="49"/>
      <c r="R1117" s="49"/>
      <c r="S1117" s="49"/>
      <c r="T1117" s="49"/>
      <c r="U1117" s="49"/>
      <c r="V1117" s="49"/>
      <c r="W1117" s="49"/>
      <c r="X1117" s="49"/>
      <c r="Y1117" s="49"/>
      <c r="Z1117" s="49"/>
      <c r="AA1117" s="49"/>
      <c r="AB1117" s="49"/>
      <c r="AC1117" s="49"/>
    </row>
    <row r="1118" spans="1:29">
      <c r="A1118" s="71" t="s">
        <v>430</v>
      </c>
      <c r="B1118" s="61" t="s">
        <v>431</v>
      </c>
      <c r="C1118" s="271">
        <f>VLOOKUP($A$8:$A$1487,'[7]MFP''s'!A$8:C$1502,3,FALSE)</f>
        <v>1600</v>
      </c>
      <c r="D1118" s="364">
        <v>1600</v>
      </c>
      <c r="E1118" s="274">
        <f t="shared" si="105"/>
        <v>0</v>
      </c>
      <c r="F1118" s="196">
        <f t="shared" si="106"/>
        <v>60.112000000000002</v>
      </c>
      <c r="G1118" s="196">
        <f t="shared" si="107"/>
        <v>47.44</v>
      </c>
      <c r="H1118" s="199">
        <f t="shared" si="108"/>
        <v>40.048000000000002</v>
      </c>
      <c r="M1118" s="49"/>
      <c r="N1118" s="49"/>
      <c r="O1118" s="49"/>
      <c r="P1118" s="49"/>
      <c r="Q1118" s="49"/>
      <c r="R1118" s="49"/>
      <c r="S1118" s="49"/>
      <c r="T1118" s="49"/>
      <c r="U1118" s="49"/>
      <c r="V1118" s="49"/>
      <c r="W1118" s="49"/>
      <c r="X1118" s="49"/>
      <c r="Y1118" s="49"/>
      <c r="Z1118" s="49"/>
      <c r="AA1118" s="49"/>
      <c r="AB1118" s="49"/>
      <c r="AC1118" s="49"/>
    </row>
    <row r="1119" spans="1:29">
      <c r="A1119" s="71" t="s">
        <v>303</v>
      </c>
      <c r="B1119" s="61" t="s">
        <v>304</v>
      </c>
      <c r="C1119" s="271">
        <f>VLOOKUP($A$8:$A$1487,'[7]MFP''s'!A$8:C$1502,3,FALSE)</f>
        <v>600</v>
      </c>
      <c r="D1119" s="364">
        <v>600</v>
      </c>
      <c r="E1119" s="274">
        <f t="shared" si="105"/>
        <v>0</v>
      </c>
      <c r="F1119" s="196">
        <f t="shared" si="106"/>
        <v>22.541999999999998</v>
      </c>
      <c r="G1119" s="196">
        <f t="shared" si="107"/>
        <v>17.79</v>
      </c>
      <c r="H1119" s="199">
        <f t="shared" si="108"/>
        <v>15.018000000000001</v>
      </c>
      <c r="M1119" s="49"/>
      <c r="N1119" s="49"/>
      <c r="O1119" s="49"/>
      <c r="P1119" s="49"/>
      <c r="Q1119" s="49"/>
      <c r="R1119" s="49"/>
      <c r="S1119" s="49"/>
      <c r="T1119" s="49"/>
      <c r="U1119" s="49"/>
      <c r="V1119" s="49"/>
      <c r="W1119" s="49"/>
      <c r="X1119" s="49"/>
      <c r="Y1119" s="49"/>
      <c r="Z1119" s="49"/>
      <c r="AA1119" s="49"/>
      <c r="AB1119" s="49"/>
      <c r="AC1119" s="49"/>
    </row>
    <row r="1120" spans="1:29">
      <c r="A1120" s="71" t="s">
        <v>305</v>
      </c>
      <c r="B1120" s="61" t="s">
        <v>306</v>
      </c>
      <c r="C1120" s="271">
        <f>VLOOKUP($A$8:$A$1487,'[7]MFP''s'!A$8:C$1502,3,FALSE)</f>
        <v>5000</v>
      </c>
      <c r="D1120" s="364">
        <v>5000</v>
      </c>
      <c r="E1120" s="274">
        <f t="shared" si="105"/>
        <v>0</v>
      </c>
      <c r="F1120" s="196">
        <f t="shared" si="106"/>
        <v>187.85</v>
      </c>
      <c r="G1120" s="196">
        <f t="shared" si="107"/>
        <v>148.25</v>
      </c>
      <c r="H1120" s="199">
        <f t="shared" si="108"/>
        <v>125.15</v>
      </c>
      <c r="M1120" s="49"/>
      <c r="N1120" s="49"/>
      <c r="O1120" s="49"/>
      <c r="P1120" s="49"/>
      <c r="Q1120" s="49"/>
      <c r="R1120" s="49"/>
      <c r="S1120" s="49"/>
      <c r="T1120" s="49"/>
      <c r="U1120" s="49"/>
      <c r="V1120" s="49"/>
      <c r="W1120" s="49"/>
      <c r="X1120" s="49"/>
      <c r="Y1120" s="49"/>
      <c r="Z1120" s="49"/>
      <c r="AA1120" s="49"/>
      <c r="AB1120" s="49"/>
      <c r="AC1120" s="49"/>
    </row>
    <row r="1121" spans="1:29">
      <c r="A1121" s="71" t="s">
        <v>307</v>
      </c>
      <c r="B1121" s="61" t="s">
        <v>308</v>
      </c>
      <c r="C1121" s="271">
        <f>VLOOKUP($A$8:$A$1487,'[7]MFP''s'!A$8:C$1502,3,FALSE)</f>
        <v>8000</v>
      </c>
      <c r="D1121" s="364">
        <v>8000</v>
      </c>
      <c r="E1121" s="274">
        <f t="shared" si="105"/>
        <v>0</v>
      </c>
      <c r="F1121" s="196">
        <f t="shared" si="106"/>
        <v>300.56</v>
      </c>
      <c r="G1121" s="196">
        <f t="shared" si="107"/>
        <v>237.2</v>
      </c>
      <c r="H1121" s="199">
        <f t="shared" si="108"/>
        <v>200.24</v>
      </c>
      <c r="M1121" s="49"/>
      <c r="N1121" s="49"/>
      <c r="O1121" s="49"/>
      <c r="P1121" s="49"/>
      <c r="Q1121" s="49"/>
      <c r="R1121" s="49"/>
      <c r="S1121" s="49"/>
      <c r="T1121" s="49"/>
      <c r="U1121" s="49"/>
      <c r="V1121" s="49"/>
      <c r="W1121" s="49"/>
      <c r="X1121" s="49"/>
      <c r="Y1121" s="49"/>
      <c r="Z1121" s="49"/>
      <c r="AA1121" s="49"/>
      <c r="AB1121" s="49"/>
      <c r="AC1121" s="49"/>
    </row>
    <row r="1122" spans="1:29">
      <c r="A1122" s="71" t="s">
        <v>62</v>
      </c>
      <c r="B1122" s="61" t="s">
        <v>63</v>
      </c>
      <c r="C1122" s="271">
        <f>VLOOKUP($A$8:$A$1487,'[7]MFP''s'!A$8:C$1502,3,FALSE)</f>
        <v>1</v>
      </c>
      <c r="D1122" s="364">
        <v>1</v>
      </c>
      <c r="E1122" s="274">
        <f t="shared" si="105"/>
        <v>0</v>
      </c>
      <c r="F1122" s="196">
        <f t="shared" si="106"/>
        <v>3.7569999999999999E-2</v>
      </c>
      <c r="G1122" s="196">
        <f t="shared" si="107"/>
        <v>2.9649999999999999E-2</v>
      </c>
      <c r="H1122" s="199">
        <f t="shared" si="108"/>
        <v>2.503E-2</v>
      </c>
      <c r="M1122" s="49"/>
      <c r="N1122" s="49"/>
      <c r="O1122" s="49"/>
      <c r="P1122" s="49"/>
      <c r="Q1122" s="49"/>
      <c r="R1122" s="49"/>
      <c r="S1122" s="49"/>
      <c r="T1122" s="49"/>
      <c r="U1122" s="49"/>
      <c r="V1122" s="49"/>
      <c r="W1122" s="49"/>
      <c r="X1122" s="49"/>
      <c r="Y1122" s="49"/>
      <c r="Z1122" s="49"/>
      <c r="AA1122" s="49"/>
      <c r="AB1122" s="49"/>
      <c r="AC1122" s="49"/>
    </row>
    <row r="1123" spans="1:29">
      <c r="A1123" s="71" t="s">
        <v>64</v>
      </c>
      <c r="B1123" s="61" t="s">
        <v>65</v>
      </c>
      <c r="C1123" s="271">
        <f>VLOOKUP($A$8:$A$1487,'[7]MFP''s'!A$8:C$1502,3,FALSE)</f>
        <v>1</v>
      </c>
      <c r="D1123" s="364">
        <v>1</v>
      </c>
      <c r="E1123" s="274">
        <f t="shared" si="105"/>
        <v>0</v>
      </c>
      <c r="F1123" s="196">
        <f t="shared" si="106"/>
        <v>3.7569999999999999E-2</v>
      </c>
      <c r="G1123" s="196">
        <f t="shared" si="107"/>
        <v>2.9649999999999999E-2</v>
      </c>
      <c r="H1123" s="199">
        <f t="shared" si="108"/>
        <v>2.503E-2</v>
      </c>
      <c r="M1123" s="49"/>
      <c r="N1123" s="49"/>
      <c r="O1123" s="49"/>
      <c r="P1123" s="49"/>
      <c r="Q1123" s="49"/>
      <c r="R1123" s="49"/>
      <c r="S1123" s="49"/>
      <c r="T1123" s="49"/>
      <c r="U1123" s="49"/>
      <c r="V1123" s="49"/>
      <c r="W1123" s="49"/>
      <c r="X1123" s="49"/>
      <c r="Y1123" s="49"/>
      <c r="Z1123" s="49"/>
      <c r="AA1123" s="49"/>
      <c r="AB1123" s="49"/>
      <c r="AC1123" s="49"/>
    </row>
    <row r="1124" spans="1:29">
      <c r="A1124" s="195" t="s">
        <v>384</v>
      </c>
      <c r="B1124" s="197"/>
      <c r="C1124" s="271"/>
      <c r="D1124" s="357"/>
      <c r="E1124" s="274"/>
      <c r="F1124" s="196"/>
      <c r="G1124" s="196"/>
      <c r="H1124" s="199"/>
      <c r="M1124" s="49"/>
      <c r="N1124" s="49"/>
      <c r="O1124" s="49"/>
      <c r="P1124" s="49"/>
      <c r="Q1124" s="49"/>
      <c r="R1124" s="49"/>
      <c r="S1124" s="49"/>
      <c r="T1124" s="49"/>
      <c r="U1124" s="49"/>
      <c r="V1124" s="49"/>
      <c r="W1124" s="49"/>
      <c r="X1124" s="49"/>
      <c r="Y1124" s="49"/>
      <c r="Z1124" s="49"/>
      <c r="AA1124" s="49"/>
      <c r="AB1124" s="49"/>
      <c r="AC1124" s="49"/>
    </row>
    <row r="1125" spans="1:29">
      <c r="A1125" s="169" t="s">
        <v>75</v>
      </c>
      <c r="B1125" s="61"/>
      <c r="C1125" s="271"/>
      <c r="D1125" s="364"/>
      <c r="E1125" s="274"/>
      <c r="F1125" s="196"/>
      <c r="G1125" s="196"/>
      <c r="H1125" s="199"/>
      <c r="M1125" s="49"/>
      <c r="N1125" s="49"/>
      <c r="O1125" s="49"/>
      <c r="P1125" s="49"/>
      <c r="Q1125" s="49"/>
      <c r="R1125" s="49"/>
      <c r="S1125" s="49"/>
      <c r="T1125" s="49"/>
      <c r="U1125" s="49"/>
      <c r="V1125" s="49"/>
      <c r="W1125" s="49"/>
      <c r="X1125" s="49"/>
      <c r="Y1125" s="49"/>
      <c r="Z1125" s="49"/>
      <c r="AA1125" s="49"/>
      <c r="AB1125" s="49"/>
      <c r="AC1125" s="49"/>
    </row>
    <row r="1126" spans="1:29">
      <c r="A1126" s="71" t="s">
        <v>461</v>
      </c>
      <c r="B1126" s="61" t="s">
        <v>462</v>
      </c>
      <c r="C1126" s="271">
        <f>VLOOKUP($A$8:$A$1487,'[7]MFP''s'!A$8:C$1502,3,FALSE)</f>
        <v>6455</v>
      </c>
      <c r="D1126" s="364">
        <v>3191</v>
      </c>
      <c r="E1126" s="274">
        <f t="shared" ref="E1126:E1189" si="109">100%-(D1126/C1126)</f>
        <v>0.50565453137103022</v>
      </c>
      <c r="F1126" s="196">
        <f t="shared" si="106"/>
        <v>119.88587</v>
      </c>
      <c r="G1126" s="196">
        <f t="shared" si="107"/>
        <v>94.613150000000005</v>
      </c>
      <c r="H1126" s="199">
        <f t="shared" si="108"/>
        <v>79.870729999999995</v>
      </c>
      <c r="M1126" s="49"/>
      <c r="N1126" s="49"/>
      <c r="O1126" s="49"/>
      <c r="P1126" s="49"/>
      <c r="Q1126" s="49"/>
      <c r="R1126" s="49"/>
      <c r="S1126" s="49"/>
      <c r="T1126" s="49"/>
      <c r="U1126" s="49"/>
      <c r="V1126" s="49"/>
      <c r="W1126" s="49"/>
      <c r="X1126" s="49"/>
      <c r="Y1126" s="49"/>
      <c r="Z1126" s="49"/>
      <c r="AA1126" s="49"/>
      <c r="AB1126" s="49"/>
      <c r="AC1126" s="49"/>
    </row>
    <row r="1127" spans="1:29">
      <c r="A1127" s="71" t="s">
        <v>463</v>
      </c>
      <c r="B1127" s="61" t="s">
        <v>464</v>
      </c>
      <c r="C1127" s="271">
        <f>VLOOKUP($A$8:$A$1487,'[7]MFP''s'!A$8:C$1502,3,FALSE)</f>
        <v>2115</v>
      </c>
      <c r="D1127" s="364">
        <v>1172.979</v>
      </c>
      <c r="E1127" s="274">
        <f t="shared" si="109"/>
        <v>0.44540000000000002</v>
      </c>
      <c r="F1127" s="196">
        <f t="shared" si="106"/>
        <v>44.068821030000002</v>
      </c>
      <c r="G1127" s="196">
        <f t="shared" si="107"/>
        <v>34.77882735</v>
      </c>
      <c r="H1127" s="199">
        <f t="shared" si="108"/>
        <v>29.359664370000001</v>
      </c>
      <c r="M1127" s="49"/>
      <c r="N1127" s="49"/>
      <c r="O1127" s="49"/>
      <c r="P1127" s="49"/>
      <c r="Q1127" s="49"/>
      <c r="R1127" s="49"/>
      <c r="S1127" s="49"/>
      <c r="T1127" s="49"/>
      <c r="U1127" s="49"/>
      <c r="V1127" s="49"/>
      <c r="W1127" s="49"/>
      <c r="X1127" s="49"/>
      <c r="Y1127" s="49"/>
      <c r="Z1127" s="49"/>
      <c r="AA1127" s="49"/>
      <c r="AB1127" s="49"/>
      <c r="AC1127" s="49"/>
    </row>
    <row r="1128" spans="1:29">
      <c r="A1128" s="71" t="s">
        <v>432</v>
      </c>
      <c r="B1128" s="61" t="s">
        <v>433</v>
      </c>
      <c r="C1128" s="271">
        <f>VLOOKUP($A$8:$A$1487,'[7]MFP''s'!A$8:C$1502,3,FALSE)</f>
        <v>3562</v>
      </c>
      <c r="D1128" s="364">
        <v>1974</v>
      </c>
      <c r="E1128" s="274">
        <f t="shared" si="109"/>
        <v>0.44581695676586186</v>
      </c>
      <c r="F1128" s="196">
        <f t="shared" si="106"/>
        <v>74.163179999999997</v>
      </c>
      <c r="G1128" s="196">
        <f t="shared" si="107"/>
        <v>58.5291</v>
      </c>
      <c r="H1128" s="199">
        <f t="shared" si="108"/>
        <v>49.409219999999998</v>
      </c>
      <c r="M1128" s="49"/>
      <c r="N1128" s="49"/>
      <c r="O1128" s="49"/>
      <c r="P1128" s="49"/>
      <c r="Q1128" s="49"/>
      <c r="R1128" s="49"/>
      <c r="S1128" s="49"/>
      <c r="T1128" s="49"/>
      <c r="U1128" s="49"/>
      <c r="V1128" s="49"/>
      <c r="W1128" s="49"/>
      <c r="X1128" s="49"/>
      <c r="Y1128" s="49"/>
      <c r="Z1128" s="49"/>
      <c r="AA1128" s="49"/>
      <c r="AB1128" s="49"/>
      <c r="AC1128" s="49"/>
    </row>
    <row r="1129" spans="1:29">
      <c r="A1129" s="71" t="s">
        <v>434</v>
      </c>
      <c r="B1129" s="61" t="s">
        <v>435</v>
      </c>
      <c r="C1129" s="271">
        <f>VLOOKUP($A$8:$A$1487,'[7]MFP''s'!A$8:C$1502,3,FALSE)</f>
        <v>1336</v>
      </c>
      <c r="D1129" s="364">
        <v>741</v>
      </c>
      <c r="E1129" s="274">
        <f t="shared" si="109"/>
        <v>0.44535928143712578</v>
      </c>
      <c r="F1129" s="196">
        <f t="shared" si="106"/>
        <v>27.839369999999999</v>
      </c>
      <c r="G1129" s="196">
        <f t="shared" si="107"/>
        <v>21.970649999999999</v>
      </c>
      <c r="H1129" s="199">
        <f t="shared" si="108"/>
        <v>18.547229999999999</v>
      </c>
      <c r="M1129" s="49"/>
      <c r="N1129" s="49"/>
      <c r="O1129" s="49"/>
      <c r="P1129" s="49"/>
      <c r="Q1129" s="49"/>
      <c r="R1129" s="49"/>
      <c r="S1129" s="49"/>
      <c r="T1129" s="49"/>
      <c r="U1129" s="49"/>
      <c r="V1129" s="49"/>
      <c r="W1129" s="49"/>
      <c r="X1129" s="49"/>
      <c r="Y1129" s="49"/>
      <c r="Z1129" s="49"/>
      <c r="AA1129" s="49"/>
      <c r="AB1129" s="49"/>
      <c r="AC1129" s="49"/>
    </row>
    <row r="1130" spans="1:29">
      <c r="A1130" s="71" t="s">
        <v>465</v>
      </c>
      <c r="B1130" s="61" t="s">
        <v>466</v>
      </c>
      <c r="C1130" s="271">
        <f>VLOOKUP($A$8:$A$1487,'[7]MFP''s'!A$8:C$1502,3,FALSE)</f>
        <v>10720</v>
      </c>
      <c r="D1130" s="364">
        <v>5298.8959999999997</v>
      </c>
      <c r="E1130" s="274">
        <f t="shared" si="109"/>
        <v>0.50570000000000004</v>
      </c>
      <c r="F1130" s="196">
        <f t="shared" si="106"/>
        <v>199.07952272</v>
      </c>
      <c r="G1130" s="196">
        <f t="shared" si="107"/>
        <v>157.11226639999998</v>
      </c>
      <c r="H1130" s="199">
        <f t="shared" si="108"/>
        <v>132.63136688</v>
      </c>
      <c r="M1130" s="49"/>
      <c r="N1130" s="49"/>
      <c r="O1130" s="49"/>
      <c r="P1130" s="49"/>
      <c r="Q1130" s="49"/>
      <c r="R1130" s="49"/>
      <c r="S1130" s="49"/>
      <c r="T1130" s="49"/>
      <c r="U1130" s="49"/>
      <c r="V1130" s="49"/>
      <c r="W1130" s="49"/>
      <c r="X1130" s="49"/>
      <c r="Y1130" s="49"/>
      <c r="Z1130" s="49"/>
      <c r="AA1130" s="49"/>
      <c r="AB1130" s="49"/>
      <c r="AC1130" s="49"/>
    </row>
    <row r="1131" spans="1:29">
      <c r="A1131" s="71" t="s">
        <v>339</v>
      </c>
      <c r="B1131" s="61" t="s">
        <v>340</v>
      </c>
      <c r="C1131" s="271">
        <f>VLOOKUP($A$8:$A$1487,'[7]MFP''s'!A$8:C$1502,3,FALSE)</f>
        <v>2332</v>
      </c>
      <c r="D1131" s="364">
        <v>1293.3271999999999</v>
      </c>
      <c r="E1131" s="274">
        <f t="shared" si="109"/>
        <v>0.44540000000000002</v>
      </c>
      <c r="F1131" s="196">
        <f t="shared" si="106"/>
        <v>48.590302903999998</v>
      </c>
      <c r="G1131" s="196">
        <f t="shared" si="107"/>
        <v>38.347151480000001</v>
      </c>
      <c r="H1131" s="199">
        <f t="shared" si="108"/>
        <v>32.371979816</v>
      </c>
      <c r="M1131" s="49"/>
      <c r="N1131" s="49"/>
      <c r="O1131" s="49"/>
      <c r="P1131" s="49"/>
      <c r="Q1131" s="49"/>
      <c r="R1131" s="49"/>
      <c r="S1131" s="49"/>
      <c r="T1131" s="49"/>
      <c r="U1131" s="49"/>
      <c r="V1131" s="49"/>
      <c r="W1131" s="49"/>
      <c r="X1131" s="49"/>
      <c r="Y1131" s="49"/>
      <c r="Z1131" s="49"/>
      <c r="AA1131" s="49"/>
      <c r="AB1131" s="49"/>
      <c r="AC1131" s="49"/>
    </row>
    <row r="1132" spans="1:29">
      <c r="A1132" s="71" t="s">
        <v>446</v>
      </c>
      <c r="B1132" s="61" t="s">
        <v>447</v>
      </c>
      <c r="C1132" s="271">
        <f>VLOOKUP($A$8:$A$1487,'[7]MFP''s'!A$8:C$1502,3,FALSE)</f>
        <v>582</v>
      </c>
      <c r="D1132" s="364">
        <v>324</v>
      </c>
      <c r="E1132" s="274">
        <f t="shared" si="109"/>
        <v>0.44329896907216493</v>
      </c>
      <c r="F1132" s="196">
        <f t="shared" si="106"/>
        <v>12.17268</v>
      </c>
      <c r="G1132" s="196">
        <f t="shared" si="107"/>
        <v>9.6066000000000003</v>
      </c>
      <c r="H1132" s="199">
        <f t="shared" si="108"/>
        <v>8.1097199999999994</v>
      </c>
      <c r="M1132" s="49"/>
      <c r="N1132" s="49"/>
      <c r="O1132" s="49"/>
      <c r="P1132" s="49"/>
      <c r="Q1132" s="49"/>
      <c r="R1132" s="49"/>
      <c r="S1132" s="49"/>
      <c r="T1132" s="49"/>
      <c r="U1132" s="49"/>
      <c r="V1132" s="49"/>
      <c r="W1132" s="49"/>
      <c r="X1132" s="49"/>
      <c r="Y1132" s="49"/>
      <c r="Z1132" s="49"/>
      <c r="AA1132" s="49"/>
      <c r="AB1132" s="49"/>
      <c r="AC1132" s="49"/>
    </row>
    <row r="1133" spans="1:29" s="173" customFormat="1">
      <c r="A1133" s="71" t="s">
        <v>510</v>
      </c>
      <c r="B1133" s="78" t="s">
        <v>511</v>
      </c>
      <c r="C1133" s="271">
        <f>VLOOKUP($A$8:$A$1487,'[7]MFP''s'!A$8:C$1502,3,FALSE)</f>
        <v>5000</v>
      </c>
      <c r="D1133" s="364">
        <v>2771</v>
      </c>
      <c r="E1133" s="274">
        <f t="shared" si="109"/>
        <v>0.44579999999999997</v>
      </c>
      <c r="F1133" s="196">
        <f t="shared" si="106"/>
        <v>104.10647</v>
      </c>
      <c r="G1133" s="196">
        <f t="shared" si="107"/>
        <v>82.160150000000002</v>
      </c>
      <c r="H1133" s="199">
        <f t="shared" si="108"/>
        <v>69.358130000000003</v>
      </c>
      <c r="J1133" s="172"/>
      <c r="K1133" s="172"/>
      <c r="L1133" s="172"/>
    </row>
    <row r="1134" spans="1:29" s="173" customFormat="1">
      <c r="A1134" s="169" t="s">
        <v>66</v>
      </c>
      <c r="B1134" s="78"/>
      <c r="C1134" s="271"/>
      <c r="D1134" s="364"/>
      <c r="E1134" s="274"/>
      <c r="F1134" s="196"/>
      <c r="G1134" s="196"/>
      <c r="H1134" s="199"/>
      <c r="J1134" s="172"/>
      <c r="K1134" s="172"/>
      <c r="L1134" s="172"/>
    </row>
    <row r="1135" spans="1:29" s="316" customFormat="1">
      <c r="A1135" s="326" t="s">
        <v>448</v>
      </c>
      <c r="B1135" s="327" t="s">
        <v>449</v>
      </c>
      <c r="C1135" s="312">
        <f>VLOOKUP($A$8:$A$1487,'[7]MFP''s'!A$8:C$1502,3,FALSE)</f>
        <v>2002</v>
      </c>
      <c r="D1135" s="367">
        <v>1111</v>
      </c>
      <c r="E1135" s="313">
        <f>100%-(D1135/C1135)</f>
        <v>0.44505494505494503</v>
      </c>
      <c r="F1135" s="314">
        <f>D1135*$F$1</f>
        <v>41.740270000000002</v>
      </c>
      <c r="G1135" s="314">
        <f>D1135*$G$1</f>
        <v>32.94115</v>
      </c>
      <c r="H1135" s="315">
        <f>D1135*$H$1</f>
        <v>27.808330000000002</v>
      </c>
      <c r="J1135" s="317"/>
      <c r="K1135" s="317"/>
      <c r="L1135" s="317"/>
    </row>
    <row r="1136" spans="1:29" s="173" customFormat="1">
      <c r="A1136" s="71" t="s">
        <v>467</v>
      </c>
      <c r="B1136" s="78" t="s">
        <v>437</v>
      </c>
      <c r="C1136" s="271">
        <f>VLOOKUP($A$8:$A$1487,'[7]MFP''s'!A$8:C$1502,3,FALSE)</f>
        <v>690</v>
      </c>
      <c r="D1136" s="364">
        <v>383</v>
      </c>
      <c r="E1136" s="274">
        <f t="shared" si="109"/>
        <v>0.44492753623188408</v>
      </c>
      <c r="F1136" s="196">
        <f t="shared" si="106"/>
        <v>14.38931</v>
      </c>
      <c r="G1136" s="196">
        <f t="shared" si="107"/>
        <v>11.35595</v>
      </c>
      <c r="H1136" s="199">
        <f t="shared" si="108"/>
        <v>9.5864899999999995</v>
      </c>
      <c r="J1136" s="172"/>
      <c r="K1136" s="172"/>
      <c r="L1136" s="172"/>
    </row>
    <row r="1137" spans="1:29" s="173" customFormat="1">
      <c r="A1137" s="71" t="s">
        <v>450</v>
      </c>
      <c r="B1137" s="78" t="s">
        <v>451</v>
      </c>
      <c r="C1137" s="271">
        <f>VLOOKUP($A$8:$A$1487,'[7]MFP''s'!A$8:C$1502,3,FALSE)</f>
        <v>150</v>
      </c>
      <c r="D1137" s="364">
        <v>84.742021276595764</v>
      </c>
      <c r="E1137" s="274">
        <f t="shared" si="109"/>
        <v>0.43505319148936161</v>
      </c>
      <c r="F1137" s="196">
        <f t="shared" si="106"/>
        <v>3.1837577393617029</v>
      </c>
      <c r="G1137" s="196">
        <f t="shared" si="107"/>
        <v>2.5126009308510642</v>
      </c>
      <c r="H1137" s="199">
        <f t="shared" si="108"/>
        <v>2.1210927925531919</v>
      </c>
      <c r="J1137" s="172"/>
      <c r="K1137" s="172"/>
      <c r="L1137" s="172"/>
    </row>
    <row r="1138" spans="1:29" s="173" customFormat="1">
      <c r="A1138" s="71" t="s">
        <v>452</v>
      </c>
      <c r="B1138" s="78" t="s">
        <v>453</v>
      </c>
      <c r="C1138" s="271">
        <f>VLOOKUP($A$8:$A$1487,'[7]MFP''s'!A$8:C$1502,3,FALSE)</f>
        <v>580</v>
      </c>
      <c r="D1138" s="364">
        <v>294</v>
      </c>
      <c r="E1138" s="274">
        <f t="shared" si="109"/>
        <v>0.49310344827586206</v>
      </c>
      <c r="F1138" s="196">
        <f t="shared" si="106"/>
        <v>11.045579999999999</v>
      </c>
      <c r="G1138" s="196">
        <f t="shared" si="107"/>
        <v>8.7171000000000003</v>
      </c>
      <c r="H1138" s="199">
        <f t="shared" si="108"/>
        <v>7.3588199999999997</v>
      </c>
      <c r="J1138" s="172"/>
      <c r="K1138" s="172"/>
      <c r="L1138" s="172"/>
    </row>
    <row r="1139" spans="1:29">
      <c r="A1139" s="71" t="s">
        <v>454</v>
      </c>
      <c r="B1139" s="61" t="s">
        <v>455</v>
      </c>
      <c r="C1139" s="271">
        <f>VLOOKUP($A$8:$A$1487,'[7]MFP''s'!A$8:C$1502,3,FALSE)</f>
        <v>2115</v>
      </c>
      <c r="D1139" s="364">
        <v>1172.979</v>
      </c>
      <c r="E1139" s="274">
        <f t="shared" si="109"/>
        <v>0.44540000000000002</v>
      </c>
      <c r="F1139" s="196">
        <f t="shared" si="106"/>
        <v>44.068821030000002</v>
      </c>
      <c r="G1139" s="196">
        <f t="shared" si="107"/>
        <v>34.77882735</v>
      </c>
      <c r="H1139" s="199">
        <f t="shared" si="108"/>
        <v>29.359664370000001</v>
      </c>
      <c r="M1139" s="49"/>
      <c r="N1139" s="49"/>
      <c r="O1139" s="49"/>
      <c r="P1139" s="49"/>
      <c r="Q1139" s="49"/>
      <c r="R1139" s="49"/>
      <c r="S1139" s="49"/>
      <c r="T1139" s="49"/>
      <c r="U1139" s="49"/>
      <c r="V1139" s="49"/>
      <c r="W1139" s="49"/>
      <c r="X1139" s="49"/>
      <c r="Y1139" s="49"/>
      <c r="Z1139" s="49"/>
      <c r="AA1139" s="49"/>
      <c r="AB1139" s="49"/>
      <c r="AC1139" s="49"/>
    </row>
    <row r="1140" spans="1:29">
      <c r="A1140" s="71" t="s">
        <v>309</v>
      </c>
      <c r="B1140" s="61" t="s">
        <v>310</v>
      </c>
      <c r="C1140" s="271">
        <f>VLOOKUP($A$8:$A$1487,'[7]MFP''s'!A$8:C$1502,3,FALSE)</f>
        <v>5406</v>
      </c>
      <c r="D1140" s="364">
        <v>2996</v>
      </c>
      <c r="E1140" s="274">
        <f t="shared" si="109"/>
        <v>0.44580096189419161</v>
      </c>
      <c r="F1140" s="196">
        <f t="shared" si="106"/>
        <v>112.55972</v>
      </c>
      <c r="G1140" s="196">
        <f t="shared" si="107"/>
        <v>88.831400000000002</v>
      </c>
      <c r="H1140" s="199">
        <f t="shared" si="108"/>
        <v>74.989879999999999</v>
      </c>
      <c r="M1140" s="49"/>
      <c r="N1140" s="49"/>
      <c r="O1140" s="49"/>
      <c r="P1140" s="49"/>
      <c r="Q1140" s="49"/>
      <c r="R1140" s="49"/>
      <c r="S1140" s="49"/>
      <c r="T1140" s="49"/>
      <c r="U1140" s="49"/>
      <c r="V1140" s="49"/>
      <c r="W1140" s="49"/>
      <c r="X1140" s="49"/>
      <c r="Y1140" s="49"/>
      <c r="Z1140" s="49"/>
      <c r="AA1140" s="49"/>
      <c r="AB1140" s="49"/>
      <c r="AC1140" s="49"/>
    </row>
    <row r="1141" spans="1:29">
      <c r="A1141" s="71" t="s">
        <v>438</v>
      </c>
      <c r="B1141" s="61" t="s">
        <v>439</v>
      </c>
      <c r="C1141" s="271">
        <f>VLOOKUP($A$8:$A$1487,'[7]MFP''s'!A$8:C$1502,3,FALSE)</f>
        <v>3173</v>
      </c>
      <c r="D1141" s="364">
        <v>1759</v>
      </c>
      <c r="E1141" s="274">
        <f t="shared" si="109"/>
        <v>0.44563504569807755</v>
      </c>
      <c r="F1141" s="196">
        <f t="shared" si="106"/>
        <v>66.085629999999995</v>
      </c>
      <c r="G1141" s="196">
        <f t="shared" si="107"/>
        <v>52.154350000000001</v>
      </c>
      <c r="H1141" s="199">
        <f t="shared" si="108"/>
        <v>44.027769999999997</v>
      </c>
      <c r="M1141" s="49"/>
      <c r="N1141" s="49"/>
      <c r="O1141" s="49"/>
      <c r="P1141" s="49"/>
      <c r="Q1141" s="49"/>
      <c r="R1141" s="49"/>
      <c r="S1141" s="49"/>
      <c r="T1141" s="49"/>
      <c r="U1141" s="49"/>
      <c r="V1141" s="49"/>
      <c r="W1141" s="49"/>
      <c r="X1141" s="49"/>
      <c r="Y1141" s="49"/>
      <c r="Z1141" s="49"/>
      <c r="AA1141" s="49"/>
      <c r="AB1141" s="49"/>
      <c r="AC1141" s="49"/>
    </row>
    <row r="1142" spans="1:29">
      <c r="A1142" s="71" t="s">
        <v>312</v>
      </c>
      <c r="B1142" s="61" t="s">
        <v>313</v>
      </c>
      <c r="C1142" s="271">
        <f>VLOOKUP($A$8:$A$1487,'[7]MFP''s'!A$8:C$1502,3,FALSE)</f>
        <v>1164</v>
      </c>
      <c r="D1142" s="364">
        <v>645</v>
      </c>
      <c r="E1142" s="274">
        <f t="shared" si="109"/>
        <v>0.44587628865979378</v>
      </c>
      <c r="F1142" s="196">
        <f t="shared" si="106"/>
        <v>24.23265</v>
      </c>
      <c r="G1142" s="196">
        <f t="shared" si="107"/>
        <v>19.12425</v>
      </c>
      <c r="H1142" s="199">
        <f t="shared" si="108"/>
        <v>16.144349999999999</v>
      </c>
      <c r="M1142" s="49"/>
      <c r="N1142" s="49"/>
      <c r="O1142" s="49"/>
      <c r="P1142" s="49"/>
      <c r="Q1142" s="49"/>
      <c r="R1142" s="49"/>
      <c r="S1142" s="49"/>
      <c r="T1142" s="49"/>
      <c r="U1142" s="49"/>
      <c r="V1142" s="49"/>
      <c r="W1142" s="49"/>
      <c r="X1142" s="49"/>
      <c r="Y1142" s="49"/>
      <c r="Z1142" s="49"/>
      <c r="AA1142" s="49"/>
      <c r="AB1142" s="49"/>
      <c r="AC1142" s="49"/>
    </row>
    <row r="1143" spans="1:29">
      <c r="A1143" s="71" t="s">
        <v>314</v>
      </c>
      <c r="B1143" s="61" t="s">
        <v>315</v>
      </c>
      <c r="C1143" s="271">
        <f>VLOOKUP($A$8:$A$1487,'[7]MFP''s'!A$8:C$1502,3,FALSE)</f>
        <v>863</v>
      </c>
      <c r="D1143" s="364">
        <v>479</v>
      </c>
      <c r="E1143" s="274">
        <f t="shared" si="109"/>
        <v>0.4449594438006953</v>
      </c>
      <c r="F1143" s="196">
        <f t="shared" si="106"/>
        <v>17.996030000000001</v>
      </c>
      <c r="G1143" s="196">
        <f t="shared" si="107"/>
        <v>14.202349999999999</v>
      </c>
      <c r="H1143" s="199">
        <f t="shared" si="108"/>
        <v>11.989369999999999</v>
      </c>
      <c r="M1143" s="49"/>
      <c r="N1143" s="49"/>
      <c r="O1143" s="49"/>
      <c r="P1143" s="49"/>
      <c r="Q1143" s="49"/>
      <c r="R1143" s="49"/>
      <c r="S1143" s="49"/>
      <c r="T1143" s="49"/>
      <c r="U1143" s="49"/>
      <c r="V1143" s="49"/>
      <c r="W1143" s="49"/>
      <c r="X1143" s="49"/>
      <c r="Y1143" s="49"/>
      <c r="Z1143" s="49"/>
      <c r="AA1143" s="49"/>
      <c r="AB1143" s="49"/>
      <c r="AC1143" s="49"/>
    </row>
    <row r="1144" spans="1:29">
      <c r="A1144" s="71" t="s">
        <v>468</v>
      </c>
      <c r="B1144" s="61" t="s">
        <v>469</v>
      </c>
      <c r="C1144" s="271">
        <f>VLOOKUP($A$8:$A$1487,'[7]MFP''s'!A$8:C$1502,3,FALSE)</f>
        <v>5205</v>
      </c>
      <c r="D1144" s="364">
        <v>2360</v>
      </c>
      <c r="E1144" s="274">
        <f t="shared" si="109"/>
        <v>0.54658981748318924</v>
      </c>
      <c r="F1144" s="196">
        <f t="shared" si="106"/>
        <v>88.665199999999999</v>
      </c>
      <c r="G1144" s="196">
        <f t="shared" si="107"/>
        <v>69.974000000000004</v>
      </c>
      <c r="H1144" s="199">
        <f t="shared" si="108"/>
        <v>59.070799999999998</v>
      </c>
      <c r="M1144" s="49"/>
      <c r="N1144" s="49"/>
      <c r="O1144" s="49"/>
      <c r="P1144" s="49"/>
      <c r="Q1144" s="49"/>
      <c r="R1144" s="49"/>
      <c r="S1144" s="49"/>
      <c r="T1144" s="49"/>
      <c r="U1144" s="49"/>
      <c r="V1144" s="49"/>
      <c r="W1144" s="49"/>
      <c r="X1144" s="49"/>
      <c r="Y1144" s="49"/>
      <c r="Z1144" s="49"/>
      <c r="AA1144" s="49"/>
      <c r="AB1144" s="49"/>
      <c r="AC1144" s="49"/>
    </row>
    <row r="1145" spans="1:29">
      <c r="A1145" s="71" t="s">
        <v>470</v>
      </c>
      <c r="B1145" s="61" t="s">
        <v>471</v>
      </c>
      <c r="C1145" s="271">
        <f>VLOOKUP($A$8:$A$1487,'[7]MFP''s'!A$8:C$1502,3,FALSE)</f>
        <v>835</v>
      </c>
      <c r="D1145" s="364">
        <v>379</v>
      </c>
      <c r="E1145" s="274">
        <f t="shared" si="109"/>
        <v>0.54610778443113772</v>
      </c>
      <c r="F1145" s="196">
        <f t="shared" si="106"/>
        <v>14.23903</v>
      </c>
      <c r="G1145" s="196">
        <f t="shared" si="107"/>
        <v>11.237349999999999</v>
      </c>
      <c r="H1145" s="199">
        <f t="shared" si="108"/>
        <v>9.4863700000000009</v>
      </c>
      <c r="M1145" s="49"/>
      <c r="N1145" s="49"/>
      <c r="O1145" s="49"/>
      <c r="P1145" s="49"/>
      <c r="Q1145" s="49"/>
      <c r="R1145" s="49"/>
      <c r="S1145" s="49"/>
      <c r="T1145" s="49"/>
      <c r="U1145" s="49"/>
      <c r="V1145" s="49"/>
      <c r="W1145" s="49"/>
      <c r="X1145" s="49"/>
      <c r="Y1145" s="49"/>
      <c r="Z1145" s="49"/>
      <c r="AA1145" s="49"/>
      <c r="AB1145" s="49"/>
      <c r="AC1145" s="49"/>
    </row>
    <row r="1146" spans="1:29">
      <c r="A1146" s="71" t="s">
        <v>220</v>
      </c>
      <c r="B1146" s="61" t="s">
        <v>221</v>
      </c>
      <c r="C1146" s="271">
        <f>VLOOKUP($A$8:$A$1487,'[7]MFP''s'!A$8:C$1502,3,FALSE)</f>
        <v>445</v>
      </c>
      <c r="D1146" s="364">
        <v>202</v>
      </c>
      <c r="E1146" s="274">
        <f t="shared" si="109"/>
        <v>0.54606741573033712</v>
      </c>
      <c r="F1146" s="196">
        <f t="shared" si="106"/>
        <v>7.5891399999999996</v>
      </c>
      <c r="G1146" s="196">
        <f t="shared" si="107"/>
        <v>5.9893000000000001</v>
      </c>
      <c r="H1146" s="199">
        <f t="shared" si="108"/>
        <v>5.0560600000000004</v>
      </c>
      <c r="M1146" s="49"/>
      <c r="N1146" s="49"/>
      <c r="O1146" s="49"/>
      <c r="P1146" s="49"/>
      <c r="Q1146" s="49"/>
      <c r="R1146" s="49"/>
      <c r="S1146" s="49"/>
      <c r="T1146" s="49"/>
      <c r="U1146" s="49"/>
      <c r="V1146" s="49"/>
      <c r="W1146" s="49"/>
      <c r="X1146" s="49"/>
      <c r="Y1146" s="49"/>
      <c r="Z1146" s="49"/>
      <c r="AA1146" s="49"/>
      <c r="AB1146" s="49"/>
      <c r="AC1146" s="49"/>
    </row>
    <row r="1147" spans="1:29" s="173" customFormat="1">
      <c r="A1147" s="71" t="s">
        <v>214</v>
      </c>
      <c r="B1147" s="78" t="s">
        <v>215</v>
      </c>
      <c r="C1147" s="271">
        <f>VLOOKUP($A$8:$A$1487,'[7]MFP''s'!A$8:C$1502,3,FALSE)</f>
        <v>1977</v>
      </c>
      <c r="D1147" s="364">
        <v>897</v>
      </c>
      <c r="E1147" s="274">
        <f t="shared" si="109"/>
        <v>0.54628224582701068</v>
      </c>
      <c r="F1147" s="196">
        <f t="shared" si="106"/>
        <v>33.700290000000003</v>
      </c>
      <c r="G1147" s="196">
        <f t="shared" si="107"/>
        <v>26.596049999999998</v>
      </c>
      <c r="H1147" s="199">
        <f t="shared" si="108"/>
        <v>22.451910000000002</v>
      </c>
      <c r="J1147" s="172"/>
      <c r="K1147" s="172"/>
      <c r="L1147" s="172"/>
    </row>
    <row r="1148" spans="1:29" s="173" customFormat="1">
      <c r="A1148" s="71" t="s">
        <v>265</v>
      </c>
      <c r="B1148" s="78" t="s">
        <v>266</v>
      </c>
      <c r="C1148" s="271">
        <f>VLOOKUP($A$8:$A$1487,'[7]MFP''s'!A$8:C$1502,3,FALSE)</f>
        <v>18921</v>
      </c>
      <c r="D1148" s="364">
        <v>10485</v>
      </c>
      <c r="E1148" s="274">
        <f t="shared" si="109"/>
        <v>0.44585381322340256</v>
      </c>
      <c r="F1148" s="196">
        <f t="shared" si="106"/>
        <v>393.92144999999999</v>
      </c>
      <c r="G1148" s="196">
        <f t="shared" si="107"/>
        <v>310.88024999999999</v>
      </c>
      <c r="H1148" s="199">
        <f t="shared" si="108"/>
        <v>262.43955</v>
      </c>
      <c r="J1148" s="172"/>
      <c r="K1148" s="172"/>
      <c r="L1148" s="172"/>
    </row>
    <row r="1149" spans="1:29" s="173" customFormat="1">
      <c r="A1149" s="71" t="s">
        <v>269</v>
      </c>
      <c r="B1149" s="78" t="s">
        <v>270</v>
      </c>
      <c r="C1149" s="271">
        <f>VLOOKUP($A$8:$A$1487,'[7]MFP''s'!A$8:C$1502,3,FALSE)</f>
        <v>27825</v>
      </c>
      <c r="D1149" s="364">
        <v>15419</v>
      </c>
      <c r="E1149" s="274">
        <f t="shared" si="109"/>
        <v>0.4458580413297395</v>
      </c>
      <c r="F1149" s="196">
        <f t="shared" si="106"/>
        <v>579.29183</v>
      </c>
      <c r="G1149" s="196">
        <f t="shared" si="107"/>
        <v>457.17334999999997</v>
      </c>
      <c r="H1149" s="199">
        <f t="shared" si="108"/>
        <v>385.93756999999999</v>
      </c>
      <c r="J1149" s="172"/>
      <c r="K1149" s="172"/>
      <c r="L1149" s="172"/>
    </row>
    <row r="1150" spans="1:29" s="173" customFormat="1">
      <c r="A1150" s="71" t="s">
        <v>267</v>
      </c>
      <c r="B1150" s="78" t="s">
        <v>268</v>
      </c>
      <c r="C1150" s="271">
        <f>VLOOKUP($A$8:$A$1487,'[7]MFP''s'!A$8:C$1502,3,FALSE)</f>
        <v>18365</v>
      </c>
      <c r="D1150" s="364">
        <v>10177</v>
      </c>
      <c r="E1150" s="274">
        <f t="shared" si="109"/>
        <v>0.44584808058807512</v>
      </c>
      <c r="F1150" s="196">
        <f t="shared" si="106"/>
        <v>382.34989000000002</v>
      </c>
      <c r="G1150" s="196">
        <f t="shared" si="107"/>
        <v>301.74804999999998</v>
      </c>
      <c r="H1150" s="199">
        <f t="shared" si="108"/>
        <v>254.73031</v>
      </c>
      <c r="J1150" s="172"/>
      <c r="K1150" s="172"/>
      <c r="L1150" s="172"/>
    </row>
    <row r="1151" spans="1:29" s="173" customFormat="1">
      <c r="A1151" s="71" t="s">
        <v>273</v>
      </c>
      <c r="B1151" s="78" t="s">
        <v>274</v>
      </c>
      <c r="C1151" s="271">
        <f>VLOOKUP($A$8:$A$1487,'[7]MFP''s'!A$8:C$1502,3,FALSE)</f>
        <v>890</v>
      </c>
      <c r="D1151" s="364">
        <v>494</v>
      </c>
      <c r="E1151" s="274">
        <f t="shared" si="109"/>
        <v>0.44494382022471912</v>
      </c>
      <c r="F1151" s="196">
        <f t="shared" si="106"/>
        <v>18.55958</v>
      </c>
      <c r="G1151" s="196">
        <f t="shared" si="107"/>
        <v>14.6471</v>
      </c>
      <c r="H1151" s="199">
        <f t="shared" si="108"/>
        <v>12.36482</v>
      </c>
      <c r="J1151" s="172"/>
      <c r="K1151" s="172"/>
      <c r="L1151" s="172"/>
    </row>
    <row r="1152" spans="1:29" s="173" customFormat="1">
      <c r="A1152" s="71" t="s">
        <v>311</v>
      </c>
      <c r="B1152" s="78" t="s">
        <v>272</v>
      </c>
      <c r="C1152" s="271">
        <f>VLOOKUP($A$8:$A$1487,'[7]MFP''s'!A$8:C$1502,3,FALSE)</f>
        <v>44838</v>
      </c>
      <c r="D1152" s="364">
        <v>25750</v>
      </c>
      <c r="E1152" s="274">
        <f t="shared" si="109"/>
        <v>0.42571033498371913</v>
      </c>
      <c r="F1152" s="196">
        <f t="shared" si="106"/>
        <v>967.42750000000001</v>
      </c>
      <c r="G1152" s="196">
        <f t="shared" si="107"/>
        <v>763.48749999999995</v>
      </c>
      <c r="H1152" s="199">
        <f t="shared" si="108"/>
        <v>644.52250000000004</v>
      </c>
      <c r="J1152" s="172"/>
      <c r="K1152" s="172"/>
      <c r="L1152" s="172"/>
    </row>
    <row r="1153" spans="1:12" s="173" customFormat="1">
      <c r="A1153" s="71" t="s">
        <v>236</v>
      </c>
      <c r="B1153" s="78" t="s">
        <v>237</v>
      </c>
      <c r="C1153" s="271">
        <f>VLOOKUP($A$8:$A$1487,'[7]MFP''s'!A$8:C$1502,3,FALSE)</f>
        <v>18232</v>
      </c>
      <c r="D1153" s="364">
        <v>8266</v>
      </c>
      <c r="E1153" s="274">
        <f t="shared" si="109"/>
        <v>0.54662132514260642</v>
      </c>
      <c r="F1153" s="196">
        <f t="shared" si="106"/>
        <v>310.55361999999997</v>
      </c>
      <c r="G1153" s="196">
        <f t="shared" si="107"/>
        <v>245.08689999999999</v>
      </c>
      <c r="H1153" s="199">
        <f t="shared" si="108"/>
        <v>206.89797999999999</v>
      </c>
      <c r="J1153" s="172"/>
      <c r="K1153" s="172"/>
      <c r="L1153" s="172"/>
    </row>
    <row r="1154" spans="1:12" s="173" customFormat="1">
      <c r="A1154" s="71" t="s">
        <v>281</v>
      </c>
      <c r="B1154" s="78" t="s">
        <v>282</v>
      </c>
      <c r="C1154" s="271">
        <f>VLOOKUP($A$8:$A$1487,'[7]MFP''s'!A$8:C$1502,3,FALSE)</f>
        <v>2980</v>
      </c>
      <c r="D1154" s="364">
        <v>1652</v>
      </c>
      <c r="E1154" s="274">
        <f t="shared" si="109"/>
        <v>0.44563758389261743</v>
      </c>
      <c r="F1154" s="196">
        <f t="shared" si="106"/>
        <v>62.065640000000002</v>
      </c>
      <c r="G1154" s="196">
        <f t="shared" si="107"/>
        <v>48.9818</v>
      </c>
      <c r="H1154" s="199">
        <f t="shared" si="108"/>
        <v>41.349559999999997</v>
      </c>
      <c r="J1154" s="172"/>
      <c r="K1154" s="172"/>
      <c r="L1154" s="172"/>
    </row>
    <row r="1155" spans="1:12" s="173" customFormat="1">
      <c r="A1155" s="71" t="s">
        <v>277</v>
      </c>
      <c r="B1155" s="78" t="s">
        <v>278</v>
      </c>
      <c r="C1155" s="271">
        <f>VLOOKUP($A$8:$A$1487,'[7]MFP''s'!A$8:C$1502,3,FALSE)</f>
        <v>11660</v>
      </c>
      <c r="D1155" s="364">
        <v>6462</v>
      </c>
      <c r="E1155" s="274">
        <f t="shared" si="109"/>
        <v>0.44579759862778734</v>
      </c>
      <c r="F1155" s="196">
        <f t="shared" ref="F1155:F1217" si="110">D1155*$F$1</f>
        <v>242.77733999999998</v>
      </c>
      <c r="G1155" s="196">
        <f t="shared" si="107"/>
        <v>191.59829999999999</v>
      </c>
      <c r="H1155" s="199">
        <f t="shared" si="108"/>
        <v>161.74386000000001</v>
      </c>
      <c r="J1155" s="172"/>
      <c r="K1155" s="172"/>
      <c r="L1155" s="172"/>
    </row>
    <row r="1156" spans="1:12" s="173" customFormat="1">
      <c r="A1156" s="71" t="s">
        <v>472</v>
      </c>
      <c r="B1156" s="78" t="s">
        <v>227</v>
      </c>
      <c r="C1156" s="271">
        <f>VLOOKUP($A$8:$A$1487,'[7]MFP''s'!A$8:C$1502,3,FALSE)</f>
        <v>29000</v>
      </c>
      <c r="D1156" s="364">
        <v>13148</v>
      </c>
      <c r="E1156" s="274">
        <f t="shared" si="109"/>
        <v>0.54662068965517241</v>
      </c>
      <c r="F1156" s="196">
        <f t="shared" si="110"/>
        <v>493.97035999999997</v>
      </c>
      <c r="G1156" s="196">
        <f t="shared" si="107"/>
        <v>389.83819999999997</v>
      </c>
      <c r="H1156" s="199">
        <f t="shared" si="108"/>
        <v>329.09444000000002</v>
      </c>
      <c r="J1156" s="172"/>
      <c r="K1156" s="172"/>
      <c r="L1156" s="172"/>
    </row>
    <row r="1157" spans="1:12" s="173" customFormat="1">
      <c r="A1157" s="71" t="s">
        <v>507</v>
      </c>
      <c r="B1157" s="78" t="s">
        <v>276</v>
      </c>
      <c r="C1157" s="271">
        <f>VLOOKUP($A$8:$A$1487,'[7]MFP''s'!A$8:C$1502,3,FALSE)</f>
        <v>6360</v>
      </c>
      <c r="D1157" s="364">
        <v>3525</v>
      </c>
      <c r="E1157" s="274">
        <f t="shared" si="109"/>
        <v>0.44575471698113212</v>
      </c>
      <c r="F1157" s="196">
        <f t="shared" si="110"/>
        <v>132.43424999999999</v>
      </c>
      <c r="G1157" s="196">
        <f t="shared" si="107"/>
        <v>104.51625</v>
      </c>
      <c r="H1157" s="199">
        <f t="shared" si="108"/>
        <v>88.23075</v>
      </c>
      <c r="J1157" s="172"/>
      <c r="K1157" s="172"/>
      <c r="L1157" s="172"/>
    </row>
    <row r="1158" spans="1:12" s="173" customFormat="1">
      <c r="A1158" s="71" t="s">
        <v>277</v>
      </c>
      <c r="B1158" s="78" t="s">
        <v>278</v>
      </c>
      <c r="C1158" s="271">
        <f>VLOOKUP($A$8:$A$1487,'[7]MFP''s'!A$8:C$1502,3,FALSE)</f>
        <v>11660</v>
      </c>
      <c r="D1158" s="364">
        <v>6462</v>
      </c>
      <c r="E1158" s="274">
        <f t="shared" si="109"/>
        <v>0.44579759862778734</v>
      </c>
      <c r="F1158" s="196">
        <f t="shared" si="110"/>
        <v>242.77733999999998</v>
      </c>
      <c r="G1158" s="196">
        <f t="shared" si="107"/>
        <v>191.59829999999999</v>
      </c>
      <c r="H1158" s="199">
        <f t="shared" si="108"/>
        <v>161.74386000000001</v>
      </c>
      <c r="J1158" s="172"/>
      <c r="K1158" s="172"/>
      <c r="L1158" s="172"/>
    </row>
    <row r="1159" spans="1:12" s="173" customFormat="1">
      <c r="A1159" s="71" t="s">
        <v>238</v>
      </c>
      <c r="B1159" s="78" t="s">
        <v>239</v>
      </c>
      <c r="C1159" s="271">
        <f>VLOOKUP($A$8:$A$1487,'[7]MFP''s'!A$8:C$1502,3,FALSE)</f>
        <v>1484</v>
      </c>
      <c r="D1159" s="364">
        <v>673</v>
      </c>
      <c r="E1159" s="274">
        <f t="shared" si="109"/>
        <v>0.54649595687331542</v>
      </c>
      <c r="F1159" s="196">
        <f t="shared" si="110"/>
        <v>25.284610000000001</v>
      </c>
      <c r="G1159" s="196">
        <f t="shared" si="107"/>
        <v>19.954449999999998</v>
      </c>
      <c r="H1159" s="199">
        <f t="shared" si="108"/>
        <v>16.845189999999999</v>
      </c>
      <c r="J1159" s="172"/>
      <c r="K1159" s="172"/>
      <c r="L1159" s="172"/>
    </row>
    <row r="1160" spans="1:12" s="173" customFormat="1">
      <c r="A1160" s="71" t="s">
        <v>240</v>
      </c>
      <c r="B1160" s="78" t="s">
        <v>241</v>
      </c>
      <c r="C1160" s="271">
        <f>VLOOKUP($A$8:$A$1487,'[7]MFP''s'!A$8:C$1502,3,FALSE)</f>
        <v>1484</v>
      </c>
      <c r="D1160" s="364">
        <v>673</v>
      </c>
      <c r="E1160" s="274">
        <f t="shared" si="109"/>
        <v>0.54649595687331542</v>
      </c>
      <c r="F1160" s="196">
        <f t="shared" si="110"/>
        <v>25.284610000000001</v>
      </c>
      <c r="G1160" s="196">
        <f t="shared" si="107"/>
        <v>19.954449999999998</v>
      </c>
      <c r="H1160" s="199">
        <f t="shared" si="108"/>
        <v>16.845189999999999</v>
      </c>
      <c r="J1160" s="172"/>
      <c r="K1160" s="172"/>
      <c r="L1160" s="172"/>
    </row>
    <row r="1161" spans="1:12" s="173" customFormat="1">
      <c r="A1161" s="71" t="s">
        <v>242</v>
      </c>
      <c r="B1161" s="78" t="s">
        <v>243</v>
      </c>
      <c r="C1161" s="271">
        <f>VLOOKUP($A$8:$A$1487,'[7]MFP''s'!A$8:C$1502,3,FALSE)</f>
        <v>1484</v>
      </c>
      <c r="D1161" s="364">
        <v>673</v>
      </c>
      <c r="E1161" s="274">
        <f t="shared" si="109"/>
        <v>0.54649595687331542</v>
      </c>
      <c r="F1161" s="196">
        <f t="shared" si="110"/>
        <v>25.284610000000001</v>
      </c>
      <c r="G1161" s="196">
        <f t="shared" si="107"/>
        <v>19.954449999999998</v>
      </c>
      <c r="H1161" s="199">
        <f t="shared" si="108"/>
        <v>16.845189999999999</v>
      </c>
      <c r="J1161" s="172"/>
      <c r="K1161" s="172"/>
      <c r="L1161" s="172"/>
    </row>
    <row r="1162" spans="1:12" s="173" customFormat="1">
      <c r="A1162" s="71" t="s">
        <v>244</v>
      </c>
      <c r="B1162" s="78" t="s">
        <v>245</v>
      </c>
      <c r="C1162" s="271">
        <f>VLOOKUP($A$8:$A$1487,'[7]MFP''s'!A$8:C$1502,3,FALSE)</f>
        <v>1484</v>
      </c>
      <c r="D1162" s="364">
        <v>673</v>
      </c>
      <c r="E1162" s="274">
        <f t="shared" si="109"/>
        <v>0.54649595687331542</v>
      </c>
      <c r="F1162" s="196">
        <f t="shared" si="110"/>
        <v>25.284610000000001</v>
      </c>
      <c r="G1162" s="196">
        <f t="shared" si="107"/>
        <v>19.954449999999998</v>
      </c>
      <c r="H1162" s="199">
        <f t="shared" si="108"/>
        <v>16.845189999999999</v>
      </c>
      <c r="J1162" s="172"/>
      <c r="K1162" s="172"/>
      <c r="L1162" s="172"/>
    </row>
    <row r="1163" spans="1:12" s="173" customFormat="1">
      <c r="A1163" s="71" t="s">
        <v>246</v>
      </c>
      <c r="B1163" s="78" t="s">
        <v>247</v>
      </c>
      <c r="C1163" s="271">
        <f>VLOOKUP($A$8:$A$1487,'[7]MFP''s'!A$8:C$1502,3,FALSE)</f>
        <v>1484</v>
      </c>
      <c r="D1163" s="364">
        <v>673</v>
      </c>
      <c r="E1163" s="274">
        <f t="shared" si="109"/>
        <v>0.54649595687331542</v>
      </c>
      <c r="F1163" s="196">
        <f t="shared" si="110"/>
        <v>25.284610000000001</v>
      </c>
      <c r="G1163" s="196">
        <f t="shared" ref="G1163:G1226" si="111">D1163*$G$1</f>
        <v>19.954449999999998</v>
      </c>
      <c r="H1163" s="199">
        <f t="shared" ref="H1163:H1226" si="112">D1163*$H$1</f>
        <v>16.845189999999999</v>
      </c>
      <c r="J1163" s="172"/>
      <c r="K1163" s="172"/>
      <c r="L1163" s="172"/>
    </row>
    <row r="1164" spans="1:12" s="173" customFormat="1">
      <c r="A1164" s="71" t="s">
        <v>248</v>
      </c>
      <c r="B1164" s="78" t="s">
        <v>249</v>
      </c>
      <c r="C1164" s="271">
        <f>VLOOKUP($A$8:$A$1487,'[7]MFP''s'!A$8:C$1502,3,FALSE)</f>
        <v>1484</v>
      </c>
      <c r="D1164" s="364">
        <v>673</v>
      </c>
      <c r="E1164" s="274">
        <f t="shared" si="109"/>
        <v>0.54649595687331542</v>
      </c>
      <c r="F1164" s="196">
        <f t="shared" si="110"/>
        <v>25.284610000000001</v>
      </c>
      <c r="G1164" s="196">
        <f t="shared" si="111"/>
        <v>19.954449999999998</v>
      </c>
      <c r="H1164" s="199">
        <f t="shared" si="112"/>
        <v>16.845189999999999</v>
      </c>
      <c r="J1164" s="172"/>
      <c r="K1164" s="172"/>
      <c r="L1164" s="172"/>
    </row>
    <row r="1165" spans="1:12" s="173" customFormat="1">
      <c r="A1165" s="71" t="s">
        <v>250</v>
      </c>
      <c r="B1165" s="78" t="s">
        <v>251</v>
      </c>
      <c r="C1165" s="271">
        <f>VLOOKUP($A$8:$A$1487,'[7]MFP''s'!A$8:C$1502,3,FALSE)</f>
        <v>1484</v>
      </c>
      <c r="D1165" s="364">
        <v>673</v>
      </c>
      <c r="E1165" s="274">
        <f t="shared" si="109"/>
        <v>0.54649595687331542</v>
      </c>
      <c r="F1165" s="196">
        <f t="shared" si="110"/>
        <v>25.284610000000001</v>
      </c>
      <c r="G1165" s="196">
        <f t="shared" si="111"/>
        <v>19.954449999999998</v>
      </c>
      <c r="H1165" s="199">
        <f t="shared" si="112"/>
        <v>16.845189999999999</v>
      </c>
      <c r="J1165" s="172"/>
      <c r="K1165" s="172"/>
      <c r="L1165" s="172"/>
    </row>
    <row r="1166" spans="1:12" s="173" customFormat="1">
      <c r="A1166" s="71" t="s">
        <v>473</v>
      </c>
      <c r="B1166" s="78" t="s">
        <v>474</v>
      </c>
      <c r="C1166" s="271">
        <f>VLOOKUP($A$8:$A$1487,'[7]MFP''s'!A$8:C$1502,3,FALSE)</f>
        <v>2124</v>
      </c>
      <c r="D1166" s="364">
        <v>963.23</v>
      </c>
      <c r="E1166" s="274">
        <f t="shared" si="109"/>
        <v>0.54650188323917137</v>
      </c>
      <c r="F1166" s="196">
        <f t="shared" si="110"/>
        <v>36.188551099999998</v>
      </c>
      <c r="G1166" s="196">
        <f t="shared" si="111"/>
        <v>28.559769500000002</v>
      </c>
      <c r="H1166" s="199">
        <f t="shared" si="112"/>
        <v>24.109646900000001</v>
      </c>
      <c r="J1166" s="172"/>
      <c r="K1166" s="172"/>
      <c r="L1166" s="172"/>
    </row>
    <row r="1167" spans="1:12" s="173" customFormat="1">
      <c r="A1167" s="71" t="s">
        <v>475</v>
      </c>
      <c r="B1167" s="78" t="s">
        <v>476</v>
      </c>
      <c r="C1167" s="271">
        <f>VLOOKUP($A$8:$A$1487,'[7]MFP''s'!A$8:C$1502,3,FALSE)</f>
        <v>4265</v>
      </c>
      <c r="D1167" s="364">
        <v>1934.18</v>
      </c>
      <c r="E1167" s="274">
        <f t="shared" si="109"/>
        <v>0.54649941383352862</v>
      </c>
      <c r="F1167" s="196">
        <f t="shared" si="110"/>
        <v>72.667142600000005</v>
      </c>
      <c r="G1167" s="196">
        <f t="shared" si="111"/>
        <v>57.348436999999997</v>
      </c>
      <c r="H1167" s="199">
        <f t="shared" si="112"/>
        <v>48.4125254</v>
      </c>
      <c r="J1167" s="172"/>
      <c r="K1167" s="172"/>
      <c r="L1167" s="172"/>
    </row>
    <row r="1168" spans="1:12" s="173" customFormat="1">
      <c r="A1168" s="71" t="s">
        <v>508</v>
      </c>
      <c r="B1168" s="78" t="s">
        <v>477</v>
      </c>
      <c r="C1168" s="271">
        <f>VLOOKUP($A$8:$A$1487,'[7]MFP''s'!A$8:C$1502,3,FALSE)</f>
        <v>2015</v>
      </c>
      <c r="D1168" s="364">
        <v>1648</v>
      </c>
      <c r="E1168" s="274">
        <f t="shared" si="109"/>
        <v>0.18213399503722083</v>
      </c>
      <c r="F1168" s="196">
        <f t="shared" si="110"/>
        <v>61.91536</v>
      </c>
      <c r="G1168" s="196">
        <f t="shared" si="111"/>
        <v>48.863199999999999</v>
      </c>
      <c r="H1168" s="199">
        <f t="shared" si="112"/>
        <v>41.24944</v>
      </c>
      <c r="J1168" s="172"/>
      <c r="K1168" s="172"/>
      <c r="L1168" s="172"/>
    </row>
    <row r="1169" spans="1:12" s="173" customFormat="1" ht="30">
      <c r="A1169" s="71" t="s">
        <v>228</v>
      </c>
      <c r="B1169" s="78" t="s">
        <v>229</v>
      </c>
      <c r="C1169" s="271">
        <f>VLOOKUP($A$8:$A$1487,'[7]MFP''s'!A$8:C$1502,3,FALSE)</f>
        <v>600</v>
      </c>
      <c r="D1169" s="364">
        <v>273</v>
      </c>
      <c r="E1169" s="274">
        <f t="shared" si="109"/>
        <v>0.54499999999999993</v>
      </c>
      <c r="F1169" s="196">
        <f t="shared" si="110"/>
        <v>10.25661</v>
      </c>
      <c r="G1169" s="196">
        <f t="shared" si="111"/>
        <v>8.0944500000000001</v>
      </c>
      <c r="H1169" s="199">
        <f t="shared" si="112"/>
        <v>6.8331900000000001</v>
      </c>
      <c r="J1169" s="172"/>
      <c r="K1169" s="172"/>
      <c r="L1169" s="172"/>
    </row>
    <row r="1170" spans="1:12" s="173" customFormat="1" ht="30">
      <c r="A1170" s="71" t="s">
        <v>230</v>
      </c>
      <c r="B1170" s="78" t="s">
        <v>231</v>
      </c>
      <c r="C1170" s="271">
        <f>VLOOKUP($A$8:$A$1487,'[7]MFP''s'!A$8:C$1502,3,FALSE)</f>
        <v>600</v>
      </c>
      <c r="D1170" s="364">
        <v>273</v>
      </c>
      <c r="E1170" s="274">
        <f t="shared" si="109"/>
        <v>0.54499999999999993</v>
      </c>
      <c r="F1170" s="196">
        <f t="shared" si="110"/>
        <v>10.25661</v>
      </c>
      <c r="G1170" s="196">
        <f t="shared" si="111"/>
        <v>8.0944500000000001</v>
      </c>
      <c r="H1170" s="199">
        <f t="shared" si="112"/>
        <v>6.8331900000000001</v>
      </c>
      <c r="J1170" s="172"/>
      <c r="K1170" s="172"/>
      <c r="L1170" s="172"/>
    </row>
    <row r="1171" spans="1:12" s="173" customFormat="1" ht="30">
      <c r="A1171" s="71" t="s">
        <v>232</v>
      </c>
      <c r="B1171" s="78" t="s">
        <v>233</v>
      </c>
      <c r="C1171" s="271">
        <f>VLOOKUP($A$8:$A$1487,'[7]MFP''s'!A$8:C$1502,3,FALSE)</f>
        <v>600</v>
      </c>
      <c r="D1171" s="364">
        <v>273</v>
      </c>
      <c r="E1171" s="274">
        <f t="shared" si="109"/>
        <v>0.54499999999999993</v>
      </c>
      <c r="F1171" s="196">
        <f t="shared" si="110"/>
        <v>10.25661</v>
      </c>
      <c r="G1171" s="196">
        <f t="shared" si="111"/>
        <v>8.0944500000000001</v>
      </c>
      <c r="H1171" s="199">
        <f t="shared" si="112"/>
        <v>6.8331900000000001</v>
      </c>
      <c r="J1171" s="172"/>
      <c r="K1171" s="172"/>
      <c r="L1171" s="172"/>
    </row>
    <row r="1172" spans="1:12" s="173" customFormat="1">
      <c r="A1172" s="71" t="s">
        <v>234</v>
      </c>
      <c r="B1172" s="78" t="s">
        <v>235</v>
      </c>
      <c r="C1172" s="271">
        <f>VLOOKUP($A$8:$A$1487,'[7]MFP''s'!A$8:C$1502,3,FALSE)</f>
        <v>600</v>
      </c>
      <c r="D1172" s="364">
        <v>273</v>
      </c>
      <c r="E1172" s="274">
        <f t="shared" si="109"/>
        <v>0.54499999999999993</v>
      </c>
      <c r="F1172" s="196">
        <f t="shared" si="110"/>
        <v>10.25661</v>
      </c>
      <c r="G1172" s="196">
        <f t="shared" si="111"/>
        <v>8.0944500000000001</v>
      </c>
      <c r="H1172" s="199">
        <f t="shared" si="112"/>
        <v>6.8331900000000001</v>
      </c>
      <c r="J1172" s="172"/>
      <c r="K1172" s="172"/>
      <c r="L1172" s="172"/>
    </row>
    <row r="1173" spans="1:12" s="173" customFormat="1">
      <c r="A1173" s="169" t="s">
        <v>283</v>
      </c>
      <c r="B1173" s="78"/>
      <c r="C1173" s="271"/>
      <c r="D1173" s="364"/>
      <c r="E1173" s="274"/>
      <c r="F1173" s="196"/>
      <c r="G1173" s="196"/>
      <c r="H1173" s="199"/>
      <c r="J1173" s="172"/>
      <c r="K1173" s="172"/>
      <c r="L1173" s="172"/>
    </row>
    <row r="1174" spans="1:12" s="173" customFormat="1">
      <c r="A1174" s="71" t="s">
        <v>478</v>
      </c>
      <c r="B1174" s="78" t="s">
        <v>479</v>
      </c>
      <c r="C1174" s="271">
        <f>VLOOKUP($A$8:$A$1487,'[7]MFP''s'!A$8:C$1502,3,FALSE)</f>
        <v>1200</v>
      </c>
      <c r="D1174" s="364">
        <v>753.12</v>
      </c>
      <c r="E1174" s="274">
        <f t="shared" si="109"/>
        <v>0.37239999999999995</v>
      </c>
      <c r="F1174" s="196">
        <f t="shared" si="110"/>
        <v>28.294718400000001</v>
      </c>
      <c r="G1174" s="196">
        <f t="shared" si="111"/>
        <v>22.330007999999999</v>
      </c>
      <c r="H1174" s="199">
        <f t="shared" si="112"/>
        <v>18.8505936</v>
      </c>
      <c r="J1174" s="172"/>
      <c r="K1174" s="172"/>
      <c r="L1174" s="172"/>
    </row>
    <row r="1175" spans="1:12" s="173" customFormat="1">
      <c r="A1175" s="169" t="s">
        <v>285</v>
      </c>
      <c r="B1175" s="78"/>
      <c r="C1175" s="271"/>
      <c r="D1175" s="364"/>
      <c r="E1175" s="274"/>
      <c r="F1175" s="196"/>
      <c r="G1175" s="196"/>
      <c r="H1175" s="199"/>
      <c r="J1175" s="172"/>
      <c r="K1175" s="172"/>
      <c r="L1175" s="172"/>
    </row>
    <row r="1176" spans="1:12" s="173" customFormat="1">
      <c r="A1176" s="71" t="s">
        <v>480</v>
      </c>
      <c r="B1176" s="78" t="s">
        <v>481</v>
      </c>
      <c r="C1176" s="271">
        <f>VLOOKUP($A$8:$A$1487,'[7]MFP''s'!A$8:C$1502,3,FALSE)</f>
        <v>9000</v>
      </c>
      <c r="D1176" s="364">
        <v>4950</v>
      </c>
      <c r="E1176" s="274">
        <f t="shared" si="109"/>
        <v>0.44999999999999996</v>
      </c>
      <c r="F1176" s="196">
        <f t="shared" si="110"/>
        <v>185.97149999999999</v>
      </c>
      <c r="G1176" s="196">
        <f t="shared" si="111"/>
        <v>146.76749999999998</v>
      </c>
      <c r="H1176" s="199">
        <f t="shared" si="112"/>
        <v>123.8985</v>
      </c>
      <c r="J1176" s="172"/>
      <c r="K1176" s="172"/>
      <c r="L1176" s="172"/>
    </row>
    <row r="1177" spans="1:12" s="173" customFormat="1">
      <c r="A1177" s="71" t="s">
        <v>482</v>
      </c>
      <c r="B1177" s="78" t="s">
        <v>483</v>
      </c>
      <c r="C1177" s="271">
        <f>VLOOKUP($A$8:$A$1487,'[7]MFP''s'!A$8:C$1502,3,FALSE)</f>
        <v>30492</v>
      </c>
      <c r="D1177" s="364">
        <v>16770.600000000002</v>
      </c>
      <c r="E1177" s="274">
        <f t="shared" si="109"/>
        <v>0.44999999999999996</v>
      </c>
      <c r="F1177" s="196">
        <f t="shared" si="110"/>
        <v>630.07144200000005</v>
      </c>
      <c r="G1177" s="196">
        <f t="shared" si="111"/>
        <v>497.24829000000005</v>
      </c>
      <c r="H1177" s="199">
        <f t="shared" si="112"/>
        <v>419.76811800000007</v>
      </c>
      <c r="J1177" s="172"/>
      <c r="K1177" s="172"/>
      <c r="L1177" s="172"/>
    </row>
    <row r="1178" spans="1:12" s="173" customFormat="1">
      <c r="A1178" s="71" t="s">
        <v>512</v>
      </c>
      <c r="B1178" s="78" t="s">
        <v>513</v>
      </c>
      <c r="C1178" s="271">
        <f>VLOOKUP($A$8:$A$1487,'[7]MFP''s'!A$8:C$1502,3,FALSE)</f>
        <v>5300</v>
      </c>
      <c r="D1178" s="364">
        <v>3088.86</v>
      </c>
      <c r="E1178" s="274">
        <f t="shared" si="109"/>
        <v>0.41719622641509435</v>
      </c>
      <c r="F1178" s="196">
        <f t="shared" si="110"/>
        <v>116.0484702</v>
      </c>
      <c r="G1178" s="196">
        <f t="shared" si="111"/>
        <v>91.584699000000001</v>
      </c>
      <c r="H1178" s="199">
        <f t="shared" si="112"/>
        <v>77.314165799999998</v>
      </c>
      <c r="J1178" s="172"/>
      <c r="K1178" s="172"/>
      <c r="L1178" s="172"/>
    </row>
    <row r="1179" spans="1:12" s="173" customFormat="1">
      <c r="A1179" s="71" t="s">
        <v>514</v>
      </c>
      <c r="B1179" s="78" t="s">
        <v>515</v>
      </c>
      <c r="C1179" s="271">
        <f>VLOOKUP($A$8:$A$1487,'[7]MFP''s'!A$8:C$1502,3,FALSE)</f>
        <v>2500</v>
      </c>
      <c r="D1179" s="364">
        <v>1388.89</v>
      </c>
      <c r="E1179" s="274">
        <f t="shared" si="109"/>
        <v>0.44444399999999995</v>
      </c>
      <c r="F1179" s="196">
        <f t="shared" si="110"/>
        <v>52.180597300000002</v>
      </c>
      <c r="G1179" s="196">
        <f t="shared" si="111"/>
        <v>41.180588499999999</v>
      </c>
      <c r="H1179" s="199">
        <f t="shared" si="112"/>
        <v>34.763916700000003</v>
      </c>
      <c r="J1179" s="172"/>
      <c r="K1179" s="172"/>
      <c r="L1179" s="172"/>
    </row>
    <row r="1180" spans="1:12" s="173" customFormat="1">
      <c r="A1180" s="71" t="s">
        <v>516</v>
      </c>
      <c r="B1180" s="78" t="s">
        <v>517</v>
      </c>
      <c r="C1180" s="271">
        <f>VLOOKUP($A$8:$A$1487,'[7]MFP''s'!A$8:C$1502,3,FALSE)</f>
        <v>1100</v>
      </c>
      <c r="D1180" s="364">
        <v>629.44000000000005</v>
      </c>
      <c r="E1180" s="274">
        <f t="shared" si="109"/>
        <v>0.42778181818181815</v>
      </c>
      <c r="F1180" s="196">
        <f t="shared" si="110"/>
        <v>23.648060800000003</v>
      </c>
      <c r="G1180" s="196">
        <f t="shared" si="111"/>
        <v>18.662896</v>
      </c>
      <c r="H1180" s="199">
        <f t="shared" si="112"/>
        <v>15.754883200000002</v>
      </c>
      <c r="J1180" s="172"/>
      <c r="K1180" s="172"/>
      <c r="L1180" s="172"/>
    </row>
    <row r="1181" spans="1:12" s="173" customFormat="1">
      <c r="A1181" s="71" t="s">
        <v>518</v>
      </c>
      <c r="B1181" s="78" t="s">
        <v>519</v>
      </c>
      <c r="C1181" s="271">
        <f>VLOOKUP($A$8:$A$1487,'[7]MFP''s'!A$8:C$1502,3,FALSE)</f>
        <v>3000</v>
      </c>
      <c r="D1181" s="364">
        <v>1773.89</v>
      </c>
      <c r="E1181" s="274">
        <f t="shared" si="109"/>
        <v>0.40870333333333331</v>
      </c>
      <c r="F1181" s="196">
        <f t="shared" si="110"/>
        <v>66.645047300000002</v>
      </c>
      <c r="G1181" s="196">
        <f t="shared" si="111"/>
        <v>52.595838499999999</v>
      </c>
      <c r="H1181" s="199">
        <f t="shared" si="112"/>
        <v>44.400466700000003</v>
      </c>
      <c r="J1181" s="172"/>
      <c r="K1181" s="172"/>
      <c r="L1181" s="172"/>
    </row>
    <row r="1182" spans="1:12" s="173" customFormat="1">
      <c r="A1182" s="71" t="s">
        <v>520</v>
      </c>
      <c r="B1182" s="78" t="s">
        <v>521</v>
      </c>
      <c r="C1182" s="271">
        <f>VLOOKUP($A$8:$A$1487,'[7]MFP''s'!A$8:C$1502,3,FALSE)</f>
        <v>3500</v>
      </c>
      <c r="D1182" s="364">
        <v>2625</v>
      </c>
      <c r="E1182" s="274">
        <f t="shared" si="109"/>
        <v>0.25</v>
      </c>
      <c r="F1182" s="196">
        <f t="shared" si="110"/>
        <v>98.621250000000003</v>
      </c>
      <c r="G1182" s="196">
        <f t="shared" si="111"/>
        <v>77.831249999999997</v>
      </c>
      <c r="H1182" s="199">
        <f t="shared" si="112"/>
        <v>65.703749999999999</v>
      </c>
      <c r="J1182" s="172"/>
      <c r="K1182" s="172"/>
      <c r="L1182" s="172"/>
    </row>
    <row r="1183" spans="1:12" s="173" customFormat="1">
      <c r="A1183" s="71" t="s">
        <v>522</v>
      </c>
      <c r="B1183" s="78" t="s">
        <v>523</v>
      </c>
      <c r="C1183" s="271">
        <f>VLOOKUP($A$8:$A$1487,'[7]MFP''s'!A$8:C$1502,3,FALSE)</f>
        <v>995</v>
      </c>
      <c r="D1183" s="364">
        <v>471.92850000000004</v>
      </c>
      <c r="E1183" s="274">
        <f t="shared" si="109"/>
        <v>0.52569999999999995</v>
      </c>
      <c r="F1183" s="196">
        <f t="shared" si="110"/>
        <v>17.730353745000002</v>
      </c>
      <c r="G1183" s="196">
        <f t="shared" si="111"/>
        <v>13.992680025</v>
      </c>
      <c r="H1183" s="199">
        <f t="shared" si="112"/>
        <v>11.812370355000001</v>
      </c>
      <c r="J1183" s="172"/>
      <c r="K1183" s="172"/>
      <c r="L1183" s="172"/>
    </row>
    <row r="1184" spans="1:12" s="173" customFormat="1">
      <c r="A1184" s="71" t="s">
        <v>524</v>
      </c>
      <c r="B1184" s="78" t="s">
        <v>525</v>
      </c>
      <c r="C1184" s="271">
        <f>VLOOKUP($A$8:$A$1487,'[7]MFP''s'!A$8:C$1502,3,FALSE)</f>
        <v>995</v>
      </c>
      <c r="D1184" s="364">
        <v>471.92850000000004</v>
      </c>
      <c r="E1184" s="274">
        <f t="shared" si="109"/>
        <v>0.52569999999999995</v>
      </c>
      <c r="F1184" s="196">
        <f t="shared" si="110"/>
        <v>17.730353745000002</v>
      </c>
      <c r="G1184" s="196">
        <f t="shared" si="111"/>
        <v>13.992680025</v>
      </c>
      <c r="H1184" s="199">
        <f t="shared" si="112"/>
        <v>11.812370355000001</v>
      </c>
      <c r="J1184" s="172"/>
      <c r="K1184" s="172"/>
      <c r="L1184" s="172"/>
    </row>
    <row r="1185" spans="1:12" s="173" customFormat="1">
      <c r="A1185" s="71" t="s">
        <v>526</v>
      </c>
      <c r="B1185" s="78" t="s">
        <v>527</v>
      </c>
      <c r="C1185" s="271">
        <f>VLOOKUP($A$8:$A$1487,'[7]MFP''s'!A$8:C$1502,3,FALSE)</f>
        <v>995</v>
      </c>
      <c r="D1185" s="364">
        <v>471.92850000000004</v>
      </c>
      <c r="E1185" s="274">
        <f t="shared" si="109"/>
        <v>0.52569999999999995</v>
      </c>
      <c r="F1185" s="196">
        <f t="shared" si="110"/>
        <v>17.730353745000002</v>
      </c>
      <c r="G1185" s="196">
        <f t="shared" si="111"/>
        <v>13.992680025</v>
      </c>
      <c r="H1185" s="199">
        <f t="shared" si="112"/>
        <v>11.812370355000001</v>
      </c>
      <c r="J1185" s="172"/>
      <c r="K1185" s="172"/>
      <c r="L1185" s="172"/>
    </row>
    <row r="1186" spans="1:12" s="173" customFormat="1">
      <c r="A1186" s="71" t="s">
        <v>528</v>
      </c>
      <c r="B1186" s="78" t="s">
        <v>529</v>
      </c>
      <c r="C1186" s="271">
        <f>VLOOKUP($A$8:$A$1487,'[7]MFP''s'!A$8:C$1502,3,FALSE)</f>
        <v>7000</v>
      </c>
      <c r="D1186" s="364">
        <v>5250</v>
      </c>
      <c r="E1186" s="274">
        <f t="shared" si="109"/>
        <v>0.25</v>
      </c>
      <c r="F1186" s="196">
        <f t="shared" si="110"/>
        <v>197.24250000000001</v>
      </c>
      <c r="G1186" s="196">
        <f t="shared" si="111"/>
        <v>155.66249999999999</v>
      </c>
      <c r="H1186" s="199">
        <f t="shared" si="112"/>
        <v>131.4075</v>
      </c>
      <c r="J1186" s="172"/>
      <c r="K1186" s="172"/>
      <c r="L1186" s="172"/>
    </row>
    <row r="1187" spans="1:12" s="173" customFormat="1">
      <c r="A1187" s="71" t="s">
        <v>530</v>
      </c>
      <c r="B1187" s="78" t="s">
        <v>531</v>
      </c>
      <c r="C1187" s="271">
        <f>VLOOKUP($A$8:$A$1487,'[7]MFP''s'!A$8:C$1502,3,FALSE)</f>
        <v>1200</v>
      </c>
      <c r="D1187" s="364">
        <v>900</v>
      </c>
      <c r="E1187" s="274">
        <f t="shared" si="109"/>
        <v>0.25</v>
      </c>
      <c r="F1187" s="196">
        <f t="shared" si="110"/>
        <v>33.813000000000002</v>
      </c>
      <c r="G1187" s="196">
        <f t="shared" si="111"/>
        <v>26.684999999999999</v>
      </c>
      <c r="H1187" s="199">
        <f t="shared" si="112"/>
        <v>22.527000000000001</v>
      </c>
      <c r="J1187" s="172"/>
      <c r="K1187" s="172"/>
      <c r="L1187" s="172"/>
    </row>
    <row r="1188" spans="1:12" s="173" customFormat="1" ht="30">
      <c r="A1188" s="71" t="s">
        <v>532</v>
      </c>
      <c r="B1188" s="78" t="s">
        <v>533</v>
      </c>
      <c r="C1188" s="271">
        <f>VLOOKUP($A$8:$A$1487,'[7]MFP''s'!A$8:C$1502,3,FALSE)</f>
        <v>2670</v>
      </c>
      <c r="D1188" s="364">
        <v>2002.5</v>
      </c>
      <c r="E1188" s="274">
        <f t="shared" si="109"/>
        <v>0.25</v>
      </c>
      <c r="F1188" s="196">
        <f t="shared" si="110"/>
        <v>75.233924999999999</v>
      </c>
      <c r="G1188" s="196">
        <f t="shared" si="111"/>
        <v>59.374124999999999</v>
      </c>
      <c r="H1188" s="199">
        <f t="shared" si="112"/>
        <v>50.122574999999998</v>
      </c>
      <c r="J1188" s="172"/>
      <c r="K1188" s="172"/>
      <c r="L1188" s="172"/>
    </row>
    <row r="1189" spans="1:12" s="173" customFormat="1" ht="30">
      <c r="A1189" s="71" t="s">
        <v>534</v>
      </c>
      <c r="B1189" s="78" t="s">
        <v>535</v>
      </c>
      <c r="C1189" s="271">
        <f>VLOOKUP($A$8:$A$1487,'[7]MFP''s'!A$8:C$1502,3,FALSE)</f>
        <v>11625</v>
      </c>
      <c r="D1189" s="364">
        <v>8718.75</v>
      </c>
      <c r="E1189" s="274">
        <f t="shared" si="109"/>
        <v>0.25</v>
      </c>
      <c r="F1189" s="196">
        <f t="shared" si="110"/>
        <v>327.56343750000002</v>
      </c>
      <c r="G1189" s="196">
        <f t="shared" si="111"/>
        <v>258.51093750000001</v>
      </c>
      <c r="H1189" s="199">
        <f t="shared" si="112"/>
        <v>218.2303125</v>
      </c>
      <c r="J1189" s="172"/>
      <c r="K1189" s="172"/>
      <c r="L1189" s="172"/>
    </row>
    <row r="1190" spans="1:12" s="173" customFormat="1">
      <c r="A1190" s="71" t="s">
        <v>536</v>
      </c>
      <c r="B1190" s="78" t="s">
        <v>537</v>
      </c>
      <c r="C1190" s="271">
        <f>VLOOKUP($A$8:$A$1487,'[7]MFP''s'!A$8:C$1502,3,FALSE)</f>
        <v>700</v>
      </c>
      <c r="D1190" s="364">
        <v>525</v>
      </c>
      <c r="E1190" s="274">
        <f t="shared" ref="E1190:E1253" si="113">100%-(D1190/C1190)</f>
        <v>0.25</v>
      </c>
      <c r="F1190" s="196">
        <f t="shared" si="110"/>
        <v>19.724249999999998</v>
      </c>
      <c r="G1190" s="196">
        <f t="shared" si="111"/>
        <v>15.56625</v>
      </c>
      <c r="H1190" s="199">
        <f t="shared" si="112"/>
        <v>13.140750000000001</v>
      </c>
      <c r="J1190" s="172"/>
      <c r="K1190" s="172"/>
      <c r="L1190" s="172"/>
    </row>
    <row r="1191" spans="1:12" s="173" customFormat="1">
      <c r="A1191" s="71" t="s">
        <v>484</v>
      </c>
      <c r="B1191" s="78" t="s">
        <v>485</v>
      </c>
      <c r="C1191" s="271">
        <f>VLOOKUP($A$8:$A$1487,'[7]MFP''s'!A$8:C$1502,3,FALSE)</f>
        <v>5040</v>
      </c>
      <c r="D1191" s="364">
        <v>2772</v>
      </c>
      <c r="E1191" s="274">
        <f t="shared" si="113"/>
        <v>0.44999999999999996</v>
      </c>
      <c r="F1191" s="196">
        <f t="shared" si="110"/>
        <v>104.14404</v>
      </c>
      <c r="G1191" s="196">
        <f t="shared" si="111"/>
        <v>82.189799999999991</v>
      </c>
      <c r="H1191" s="199">
        <f t="shared" si="112"/>
        <v>69.383160000000004</v>
      </c>
      <c r="J1191" s="172"/>
      <c r="K1191" s="172"/>
      <c r="L1191" s="172"/>
    </row>
    <row r="1192" spans="1:12" s="173" customFormat="1">
      <c r="A1192" s="71" t="s">
        <v>509</v>
      </c>
      <c r="B1192" s="78" t="s">
        <v>486</v>
      </c>
      <c r="C1192" s="271">
        <f>VLOOKUP($A$8:$A$1487,'[7]MFP''s'!A$8:C$1502,3,FALSE)</f>
        <v>6400</v>
      </c>
      <c r="D1192" s="364">
        <v>3520.0000000000005</v>
      </c>
      <c r="E1192" s="274">
        <f t="shared" si="113"/>
        <v>0.44999999999999996</v>
      </c>
      <c r="F1192" s="196">
        <f t="shared" si="110"/>
        <v>132.24640000000002</v>
      </c>
      <c r="G1192" s="196">
        <f t="shared" si="111"/>
        <v>104.36800000000001</v>
      </c>
      <c r="H1192" s="199">
        <f t="shared" si="112"/>
        <v>88.10560000000001</v>
      </c>
      <c r="J1192" s="172"/>
      <c r="K1192" s="172"/>
      <c r="L1192" s="172"/>
    </row>
    <row r="1193" spans="1:12" s="173" customFormat="1">
      <c r="A1193" s="71" t="s">
        <v>456</v>
      </c>
      <c r="B1193" s="78" t="s">
        <v>457</v>
      </c>
      <c r="C1193" s="271">
        <f>VLOOKUP($A$8:$A$1487,'[7]MFP''s'!A$8:C$1502,3,FALSE)</f>
        <v>1000</v>
      </c>
      <c r="D1193" s="364">
        <v>555.1</v>
      </c>
      <c r="E1193" s="274">
        <f t="shared" si="113"/>
        <v>0.44489999999999996</v>
      </c>
      <c r="F1193" s="196">
        <f t="shared" si="110"/>
        <v>20.855107</v>
      </c>
      <c r="G1193" s="196">
        <f t="shared" si="111"/>
        <v>16.458715000000002</v>
      </c>
      <c r="H1193" s="199">
        <f t="shared" si="112"/>
        <v>13.894153000000001</v>
      </c>
      <c r="J1193" s="172"/>
      <c r="K1193" s="172"/>
      <c r="L1193" s="172"/>
    </row>
    <row r="1194" spans="1:12" s="173" customFormat="1">
      <c r="A1194" s="71" t="s">
        <v>487</v>
      </c>
      <c r="B1194" s="78" t="s">
        <v>488</v>
      </c>
      <c r="C1194" s="271">
        <f>VLOOKUP($A$8:$A$1487,'[7]MFP''s'!A$8:C$1502,3,FALSE)</f>
        <v>2100</v>
      </c>
      <c r="D1194" s="364">
        <v>1155</v>
      </c>
      <c r="E1194" s="274">
        <f t="shared" si="113"/>
        <v>0.44999999999999996</v>
      </c>
      <c r="F1194" s="196">
        <f t="shared" si="110"/>
        <v>43.393349999999998</v>
      </c>
      <c r="G1194" s="196">
        <f t="shared" si="111"/>
        <v>34.245750000000001</v>
      </c>
      <c r="H1194" s="199">
        <f t="shared" si="112"/>
        <v>28.909649999999999</v>
      </c>
      <c r="J1194" s="172"/>
      <c r="K1194" s="172"/>
      <c r="L1194" s="172"/>
    </row>
    <row r="1195" spans="1:12" s="173" customFormat="1">
      <c r="A1195" s="71" t="s">
        <v>489</v>
      </c>
      <c r="B1195" s="78" t="s">
        <v>490</v>
      </c>
      <c r="C1195" s="271">
        <f>VLOOKUP($A$8:$A$1487,'[7]MFP''s'!A$8:C$1502,3,FALSE)</f>
        <v>1000</v>
      </c>
      <c r="D1195" s="364">
        <v>550</v>
      </c>
      <c r="E1195" s="274">
        <f t="shared" si="113"/>
        <v>0.44999999999999996</v>
      </c>
      <c r="F1195" s="196">
        <f t="shared" si="110"/>
        <v>20.663499999999999</v>
      </c>
      <c r="G1195" s="196">
        <f t="shared" si="111"/>
        <v>16.307500000000001</v>
      </c>
      <c r="H1195" s="199">
        <f t="shared" si="112"/>
        <v>13.766500000000001</v>
      </c>
      <c r="J1195" s="172"/>
      <c r="K1195" s="172"/>
      <c r="L1195" s="172"/>
    </row>
    <row r="1196" spans="1:12" s="173" customFormat="1">
      <c r="A1196" s="71" t="s">
        <v>538</v>
      </c>
      <c r="B1196" s="78" t="s">
        <v>539</v>
      </c>
      <c r="C1196" s="271">
        <f>VLOOKUP($A$8:$A$1487,'[7]MFP''s'!A$8:C$1502,3,FALSE)</f>
        <v>25000</v>
      </c>
      <c r="D1196" s="364">
        <v>13000</v>
      </c>
      <c r="E1196" s="274">
        <f t="shared" si="113"/>
        <v>0.48</v>
      </c>
      <c r="F1196" s="196">
        <f t="shared" si="110"/>
        <v>488.40999999999997</v>
      </c>
      <c r="G1196" s="196">
        <f t="shared" si="111"/>
        <v>385.45</v>
      </c>
      <c r="H1196" s="199">
        <f t="shared" si="112"/>
        <v>325.39</v>
      </c>
      <c r="J1196" s="172"/>
      <c r="K1196" s="172"/>
      <c r="L1196" s="172"/>
    </row>
    <row r="1197" spans="1:12" s="173" customFormat="1">
      <c r="A1197" s="71" t="s">
        <v>540</v>
      </c>
      <c r="B1197" s="78" t="s">
        <v>541</v>
      </c>
      <c r="C1197" s="271">
        <f>VLOOKUP($A$8:$A$1487,'[7]MFP''s'!A$8:C$1502,3,FALSE)</f>
        <v>5200</v>
      </c>
      <c r="D1197" s="364">
        <v>2888.89</v>
      </c>
      <c r="E1197" s="274">
        <f t="shared" si="113"/>
        <v>0.44444423076923079</v>
      </c>
      <c r="F1197" s="196">
        <f t="shared" si="110"/>
        <v>108.53559729999999</v>
      </c>
      <c r="G1197" s="196">
        <f t="shared" si="111"/>
        <v>85.655588499999993</v>
      </c>
      <c r="H1197" s="199">
        <f t="shared" si="112"/>
        <v>72.308916699999997</v>
      </c>
      <c r="J1197" s="172"/>
      <c r="K1197" s="172"/>
      <c r="L1197" s="172"/>
    </row>
    <row r="1198" spans="1:12" s="173" customFormat="1">
      <c r="A1198" s="71" t="s">
        <v>542</v>
      </c>
      <c r="B1198" s="78" t="s">
        <v>543</v>
      </c>
      <c r="C1198" s="271">
        <f>VLOOKUP($A$8:$A$1487,'[7]MFP''s'!A$8:C$1502,3,FALSE)</f>
        <v>5200</v>
      </c>
      <c r="D1198" s="364">
        <v>2888.89</v>
      </c>
      <c r="E1198" s="274">
        <f t="shared" si="113"/>
        <v>0.44444423076923079</v>
      </c>
      <c r="F1198" s="196">
        <f t="shared" si="110"/>
        <v>108.53559729999999</v>
      </c>
      <c r="G1198" s="196">
        <f t="shared" si="111"/>
        <v>85.655588499999993</v>
      </c>
      <c r="H1198" s="199">
        <f t="shared" si="112"/>
        <v>72.308916699999997</v>
      </c>
      <c r="J1198" s="172"/>
      <c r="K1198" s="172"/>
      <c r="L1198" s="172"/>
    </row>
    <row r="1199" spans="1:12" s="173" customFormat="1">
      <c r="A1199" s="71" t="s">
        <v>544</v>
      </c>
      <c r="B1199" s="78" t="s">
        <v>545</v>
      </c>
      <c r="C1199" s="271">
        <f>VLOOKUP($A$8:$A$1487,'[7]MFP''s'!A$8:C$1502,3,FALSE)</f>
        <v>5200</v>
      </c>
      <c r="D1199" s="364">
        <v>2888.89</v>
      </c>
      <c r="E1199" s="274">
        <f t="shared" si="113"/>
        <v>0.44444423076923079</v>
      </c>
      <c r="F1199" s="196">
        <f t="shared" si="110"/>
        <v>108.53559729999999</v>
      </c>
      <c r="G1199" s="196">
        <f t="shared" si="111"/>
        <v>85.655588499999993</v>
      </c>
      <c r="H1199" s="199">
        <f t="shared" si="112"/>
        <v>72.308916699999997</v>
      </c>
      <c r="J1199" s="172"/>
      <c r="K1199" s="172"/>
      <c r="L1199" s="172"/>
    </row>
    <row r="1200" spans="1:12" s="173" customFormat="1">
      <c r="A1200" s="71" t="s">
        <v>546</v>
      </c>
      <c r="B1200" s="78" t="s">
        <v>547</v>
      </c>
      <c r="C1200" s="271">
        <f>VLOOKUP($A$8:$A$1487,'[7]MFP''s'!A$8:C$1502,3,FALSE)</f>
        <v>2395</v>
      </c>
      <c r="D1200" s="364">
        <v>1328.89</v>
      </c>
      <c r="E1200" s="274">
        <f t="shared" si="113"/>
        <v>0.4451398747390396</v>
      </c>
      <c r="F1200" s="196">
        <f t="shared" si="110"/>
        <v>49.926397300000005</v>
      </c>
      <c r="G1200" s="196">
        <f t="shared" si="111"/>
        <v>39.401588500000003</v>
      </c>
      <c r="H1200" s="199">
        <f t="shared" si="112"/>
        <v>33.2621167</v>
      </c>
      <c r="J1200" s="172"/>
      <c r="K1200" s="172"/>
      <c r="L1200" s="172"/>
    </row>
    <row r="1201" spans="1:29" s="173" customFormat="1">
      <c r="A1201" s="71" t="s">
        <v>548</v>
      </c>
      <c r="B1201" s="78" t="s">
        <v>549</v>
      </c>
      <c r="C1201" s="271">
        <f>VLOOKUP($A$8:$A$1487,'[7]MFP''s'!A$8:C$1502,3,FALSE)</f>
        <v>9995</v>
      </c>
      <c r="D1201" s="364">
        <v>5488.89</v>
      </c>
      <c r="E1201" s="274">
        <f t="shared" si="113"/>
        <v>0.45083641820910447</v>
      </c>
      <c r="F1201" s="196">
        <f t="shared" si="110"/>
        <v>206.21759729999999</v>
      </c>
      <c r="G1201" s="196">
        <f t="shared" si="111"/>
        <v>162.7455885</v>
      </c>
      <c r="H1201" s="199">
        <f t="shared" si="112"/>
        <v>137.3869167</v>
      </c>
      <c r="J1201" s="172"/>
      <c r="K1201" s="172"/>
      <c r="L1201" s="172"/>
    </row>
    <row r="1202" spans="1:29" s="173" customFormat="1">
      <c r="A1202" s="71" t="s">
        <v>550</v>
      </c>
      <c r="B1202" s="78" t="s">
        <v>317</v>
      </c>
      <c r="C1202" s="271">
        <f>VLOOKUP($A$8:$A$1487,'[7]MFP''s'!A$8:C$1502,3,FALSE)</f>
        <v>954</v>
      </c>
      <c r="D1202" s="364">
        <v>529</v>
      </c>
      <c r="E1202" s="274">
        <f t="shared" si="113"/>
        <v>0.4454926624737946</v>
      </c>
      <c r="F1202" s="196">
        <f t="shared" si="110"/>
        <v>19.87453</v>
      </c>
      <c r="G1202" s="196">
        <f t="shared" si="111"/>
        <v>15.684849999999999</v>
      </c>
      <c r="H1202" s="199">
        <f t="shared" si="112"/>
        <v>13.240869999999999</v>
      </c>
      <c r="J1202" s="172"/>
      <c r="K1202" s="172"/>
      <c r="L1202" s="172"/>
    </row>
    <row r="1203" spans="1:29" s="173" customFormat="1">
      <c r="A1203" s="169" t="s">
        <v>47</v>
      </c>
      <c r="B1203" s="78"/>
      <c r="C1203" s="271"/>
      <c r="D1203" s="364"/>
      <c r="E1203" s="274"/>
      <c r="F1203" s="196"/>
      <c r="G1203" s="196"/>
      <c r="H1203" s="199"/>
      <c r="J1203" s="172"/>
      <c r="K1203" s="172"/>
      <c r="L1203" s="172"/>
    </row>
    <row r="1204" spans="1:29" s="173" customFormat="1">
      <c r="A1204" s="71" t="s">
        <v>440</v>
      </c>
      <c r="B1204" s="78" t="s">
        <v>441</v>
      </c>
      <c r="C1204" s="271">
        <f>VLOOKUP($A$8:$A$1487,'[7]MFP''s'!A$8:C$1502,3,FALSE)</f>
        <v>350</v>
      </c>
      <c r="D1204" s="364">
        <v>209.81</v>
      </c>
      <c r="E1204" s="274">
        <f t="shared" si="113"/>
        <v>0.40054285714285709</v>
      </c>
      <c r="F1204" s="196">
        <f t="shared" si="110"/>
        <v>7.8825617000000001</v>
      </c>
      <c r="G1204" s="196">
        <f t="shared" si="111"/>
        <v>6.2208664999999996</v>
      </c>
      <c r="H1204" s="199">
        <f t="shared" si="112"/>
        <v>5.2515442999999999</v>
      </c>
      <c r="J1204" s="172"/>
      <c r="K1204" s="172"/>
      <c r="L1204" s="172"/>
    </row>
    <row r="1205" spans="1:29" s="173" customFormat="1">
      <c r="A1205" s="71" t="s">
        <v>442</v>
      </c>
      <c r="B1205" s="78" t="s">
        <v>443</v>
      </c>
      <c r="C1205" s="271">
        <f>VLOOKUP($A$8:$A$1487,'[7]MFP''s'!A$8:C$1502,3,FALSE)</f>
        <v>1059</v>
      </c>
      <c r="D1205" s="364">
        <v>875</v>
      </c>
      <c r="E1205" s="274">
        <f t="shared" si="113"/>
        <v>0.17374881964117095</v>
      </c>
      <c r="F1205" s="196">
        <f t="shared" si="110"/>
        <v>32.873750000000001</v>
      </c>
      <c r="G1205" s="196">
        <f t="shared" si="111"/>
        <v>25.943749999999998</v>
      </c>
      <c r="H1205" s="199">
        <f t="shared" si="112"/>
        <v>21.901250000000001</v>
      </c>
      <c r="J1205" s="172"/>
      <c r="K1205" s="172"/>
      <c r="L1205" s="172"/>
    </row>
    <row r="1206" spans="1:29" s="173" customFormat="1">
      <c r="A1206" s="71" t="s">
        <v>385</v>
      </c>
      <c r="B1206" s="78" t="s">
        <v>386</v>
      </c>
      <c r="C1206" s="271">
        <f>VLOOKUP($A$8:$A$1487,'[7]MFP''s'!A$8:C$1502,3,FALSE)</f>
        <v>275</v>
      </c>
      <c r="D1206" s="364">
        <v>227</v>
      </c>
      <c r="E1206" s="274">
        <f t="shared" si="113"/>
        <v>0.17454545454545456</v>
      </c>
      <c r="F1206" s="196">
        <f t="shared" si="110"/>
        <v>8.5283899999999999</v>
      </c>
      <c r="G1206" s="196">
        <f t="shared" si="111"/>
        <v>6.73055</v>
      </c>
      <c r="H1206" s="199">
        <f t="shared" si="112"/>
        <v>5.6818100000000005</v>
      </c>
      <c r="J1206" s="172"/>
      <c r="K1206" s="172"/>
      <c r="L1206" s="172"/>
    </row>
    <row r="1207" spans="1:29" s="173" customFormat="1">
      <c r="A1207" s="71" t="s">
        <v>458</v>
      </c>
      <c r="B1207" s="78" t="s">
        <v>459</v>
      </c>
      <c r="C1207" s="271">
        <f>VLOOKUP($A$8:$A$1487,'[7]MFP''s'!A$8:C$1502,3,FALSE)</f>
        <v>498</v>
      </c>
      <c r="D1207" s="364">
        <v>261.39999999999998</v>
      </c>
      <c r="E1207" s="274">
        <f t="shared" si="113"/>
        <v>0.47510040160642575</v>
      </c>
      <c r="F1207" s="196">
        <f t="shared" si="110"/>
        <v>9.8207979999999981</v>
      </c>
      <c r="G1207" s="196">
        <f t="shared" si="111"/>
        <v>7.7505099999999993</v>
      </c>
      <c r="H1207" s="199">
        <f t="shared" si="112"/>
        <v>6.5428419999999994</v>
      </c>
      <c r="J1207" s="172"/>
      <c r="K1207" s="172"/>
      <c r="L1207" s="172"/>
    </row>
    <row r="1208" spans="1:29" s="173" customFormat="1">
      <c r="A1208" s="71" t="s">
        <v>551</v>
      </c>
      <c r="B1208" s="78" t="s">
        <v>552</v>
      </c>
      <c r="C1208" s="271">
        <f>VLOOKUP($A$8:$A$1487,'[7]MFP''s'!A$8:C$1502,3,FALSE)</f>
        <v>200</v>
      </c>
      <c r="D1208" s="364">
        <v>150</v>
      </c>
      <c r="E1208" s="274">
        <f t="shared" si="113"/>
        <v>0.25</v>
      </c>
      <c r="F1208" s="196">
        <f t="shared" si="110"/>
        <v>5.6354999999999995</v>
      </c>
      <c r="G1208" s="196">
        <f t="shared" si="111"/>
        <v>4.4474999999999998</v>
      </c>
      <c r="H1208" s="199">
        <f t="shared" si="112"/>
        <v>3.7545000000000002</v>
      </c>
      <c r="J1208" s="172"/>
      <c r="K1208" s="172"/>
      <c r="L1208" s="172"/>
    </row>
    <row r="1209" spans="1:29" s="173" customFormat="1">
      <c r="A1209" s="169" t="s">
        <v>553</v>
      </c>
      <c r="B1209" s="78"/>
      <c r="C1209" s="271"/>
      <c r="D1209" s="364"/>
      <c r="E1209" s="274"/>
      <c r="F1209" s="196"/>
      <c r="G1209" s="196"/>
      <c r="H1209" s="199"/>
      <c r="J1209" s="172"/>
      <c r="K1209" s="172"/>
      <c r="L1209" s="172"/>
    </row>
    <row r="1210" spans="1:29" s="173" customFormat="1">
      <c r="A1210" s="71" t="s">
        <v>554</v>
      </c>
      <c r="B1210" s="78" t="s">
        <v>555</v>
      </c>
      <c r="C1210" s="271">
        <f>VLOOKUP($A$8:$A$1487,'[7]MFP''s'!A$8:C$1502,3,FALSE)</f>
        <v>4633</v>
      </c>
      <c r="D1210" s="364">
        <v>3474.75</v>
      </c>
      <c r="E1210" s="274">
        <f t="shared" si="113"/>
        <v>0.25</v>
      </c>
      <c r="F1210" s="196">
        <f t="shared" si="110"/>
        <v>130.5463575</v>
      </c>
      <c r="G1210" s="196">
        <f t="shared" si="111"/>
        <v>103.0263375</v>
      </c>
      <c r="H1210" s="199">
        <f t="shared" si="112"/>
        <v>86.972992500000004</v>
      </c>
      <c r="J1210" s="172"/>
      <c r="K1210" s="172"/>
      <c r="L1210" s="172"/>
    </row>
    <row r="1211" spans="1:29" s="173" customFormat="1">
      <c r="A1211" s="71" t="s">
        <v>556</v>
      </c>
      <c r="B1211" s="78" t="s">
        <v>557</v>
      </c>
      <c r="C1211" s="271">
        <f>VLOOKUP($A$8:$A$1487,'[7]MFP''s'!A$8:C$1502,3,FALSE)</f>
        <v>650</v>
      </c>
      <c r="D1211" s="364">
        <v>650</v>
      </c>
      <c r="E1211" s="274">
        <f t="shared" si="113"/>
        <v>0</v>
      </c>
      <c r="F1211" s="196">
        <f t="shared" si="110"/>
        <v>24.420500000000001</v>
      </c>
      <c r="G1211" s="196">
        <f t="shared" si="111"/>
        <v>19.272500000000001</v>
      </c>
      <c r="H1211" s="199">
        <f t="shared" si="112"/>
        <v>16.269500000000001</v>
      </c>
      <c r="J1211" s="172"/>
      <c r="K1211" s="172"/>
      <c r="L1211" s="172"/>
    </row>
    <row r="1212" spans="1:29">
      <c r="A1212" s="212"/>
      <c r="B1212" s="213"/>
      <c r="C1212" s="215"/>
      <c r="D1212" s="369"/>
      <c r="E1212" s="215"/>
      <c r="F1212" s="215"/>
      <c r="G1212" s="215"/>
      <c r="H1212" s="216"/>
      <c r="M1212" s="49"/>
      <c r="N1212" s="49"/>
      <c r="O1212" s="49"/>
      <c r="P1212" s="49"/>
      <c r="Q1212" s="49"/>
      <c r="R1212" s="49"/>
      <c r="S1212" s="49"/>
      <c r="T1212" s="49"/>
      <c r="U1212" s="49"/>
      <c r="V1212" s="49"/>
      <c r="W1212" s="49"/>
      <c r="X1212" s="49"/>
      <c r="Y1212" s="49"/>
      <c r="Z1212" s="49"/>
      <c r="AA1212" s="49"/>
      <c r="AB1212" s="49"/>
      <c r="AC1212" s="49"/>
    </row>
    <row r="1213" spans="1:29">
      <c r="A1213" s="224" t="s">
        <v>491</v>
      </c>
      <c r="B1213" s="222" t="s">
        <v>654</v>
      </c>
      <c r="C1213" s="271">
        <f>VLOOKUP($A$8:$A$1487,'[7]MFP''s'!A$8:C$1502,3,FALSE)</f>
        <v>67320</v>
      </c>
      <c r="D1213" s="364">
        <v>32313.599999999999</v>
      </c>
      <c r="E1213" s="274">
        <f t="shared" si="113"/>
        <v>0.52</v>
      </c>
      <c r="F1213" s="196">
        <f t="shared" si="110"/>
        <v>1214.0219519999998</v>
      </c>
      <c r="G1213" s="196">
        <f t="shared" si="111"/>
        <v>958.09823999999992</v>
      </c>
      <c r="H1213" s="199">
        <f t="shared" si="112"/>
        <v>808.80940799999996</v>
      </c>
      <c r="M1213" s="49"/>
      <c r="N1213" s="49"/>
      <c r="O1213" s="49"/>
      <c r="P1213" s="49"/>
      <c r="Q1213" s="49"/>
      <c r="R1213" s="49"/>
      <c r="S1213" s="49"/>
      <c r="T1213" s="49"/>
      <c r="U1213" s="49"/>
      <c r="V1213" s="49"/>
      <c r="W1213" s="49"/>
      <c r="X1213" s="49"/>
      <c r="Y1213" s="49"/>
      <c r="Z1213" s="49"/>
      <c r="AA1213" s="49"/>
      <c r="AB1213" s="49"/>
      <c r="AC1213" s="49"/>
    </row>
    <row r="1214" spans="1:29">
      <c r="A1214" s="71" t="s">
        <v>430</v>
      </c>
      <c r="B1214" s="61" t="s">
        <v>431</v>
      </c>
      <c r="C1214" s="271">
        <f>VLOOKUP($A$8:$A$1487,'[7]MFP''s'!A$8:C$1502,3,FALSE)</f>
        <v>1600</v>
      </c>
      <c r="D1214" s="364">
        <v>1600</v>
      </c>
      <c r="E1214" s="274">
        <f t="shared" si="113"/>
        <v>0</v>
      </c>
      <c r="F1214" s="196">
        <f t="shared" si="110"/>
        <v>60.112000000000002</v>
      </c>
      <c r="G1214" s="196">
        <f t="shared" si="111"/>
        <v>47.44</v>
      </c>
      <c r="H1214" s="199">
        <f t="shared" si="112"/>
        <v>40.048000000000002</v>
      </c>
      <c r="M1214" s="49"/>
      <c r="N1214" s="49"/>
      <c r="O1214" s="49"/>
      <c r="P1214" s="49"/>
      <c r="Q1214" s="49"/>
      <c r="R1214" s="49"/>
      <c r="S1214" s="49"/>
      <c r="T1214" s="49"/>
      <c r="U1214" s="49"/>
      <c r="V1214" s="49"/>
      <c r="W1214" s="49"/>
      <c r="X1214" s="49"/>
      <c r="Y1214" s="49"/>
      <c r="Z1214" s="49"/>
      <c r="AA1214" s="49"/>
      <c r="AB1214" s="49"/>
      <c r="AC1214" s="49"/>
    </row>
    <row r="1215" spans="1:29">
      <c r="A1215" s="71" t="s">
        <v>303</v>
      </c>
      <c r="B1215" s="61" t="s">
        <v>304</v>
      </c>
      <c r="C1215" s="271">
        <f>VLOOKUP($A$8:$A$1487,'[7]MFP''s'!A$8:C$1502,3,FALSE)</f>
        <v>600</v>
      </c>
      <c r="D1215" s="364">
        <v>600</v>
      </c>
      <c r="E1215" s="274">
        <f t="shared" si="113"/>
        <v>0</v>
      </c>
      <c r="F1215" s="196">
        <f t="shared" si="110"/>
        <v>22.541999999999998</v>
      </c>
      <c r="G1215" s="196">
        <f t="shared" si="111"/>
        <v>17.79</v>
      </c>
      <c r="H1215" s="199">
        <f t="shared" si="112"/>
        <v>15.018000000000001</v>
      </c>
      <c r="M1215" s="49"/>
      <c r="N1215" s="49"/>
      <c r="O1215" s="49"/>
      <c r="P1215" s="49"/>
      <c r="Q1215" s="49"/>
      <c r="R1215" s="49"/>
      <c r="S1215" s="49"/>
      <c r="T1215" s="49"/>
      <c r="U1215" s="49"/>
      <c r="V1215" s="49"/>
      <c r="W1215" s="49"/>
      <c r="X1215" s="49"/>
      <c r="Y1215" s="49"/>
      <c r="Z1215" s="49"/>
      <c r="AA1215" s="49"/>
      <c r="AB1215" s="49"/>
      <c r="AC1215" s="49"/>
    </row>
    <row r="1216" spans="1:29">
      <c r="A1216" s="71" t="s">
        <v>305</v>
      </c>
      <c r="B1216" s="61" t="s">
        <v>306</v>
      </c>
      <c r="C1216" s="271">
        <f>VLOOKUP($A$8:$A$1487,'[7]MFP''s'!A$8:C$1502,3,FALSE)</f>
        <v>5000</v>
      </c>
      <c r="D1216" s="364">
        <v>5000</v>
      </c>
      <c r="E1216" s="274">
        <f t="shared" si="113"/>
        <v>0</v>
      </c>
      <c r="F1216" s="196">
        <f t="shared" si="110"/>
        <v>187.85</v>
      </c>
      <c r="G1216" s="196">
        <f t="shared" si="111"/>
        <v>148.25</v>
      </c>
      <c r="H1216" s="199">
        <f t="shared" si="112"/>
        <v>125.15</v>
      </c>
      <c r="M1216" s="49"/>
      <c r="N1216" s="49"/>
      <c r="O1216" s="49"/>
      <c r="P1216" s="49"/>
      <c r="Q1216" s="49"/>
      <c r="R1216" s="49"/>
      <c r="S1216" s="49"/>
      <c r="T1216" s="49"/>
      <c r="U1216" s="49"/>
      <c r="V1216" s="49"/>
      <c r="W1216" s="49"/>
      <c r="X1216" s="49"/>
      <c r="Y1216" s="49"/>
      <c r="Z1216" s="49"/>
      <c r="AA1216" s="49"/>
      <c r="AB1216" s="49"/>
      <c r="AC1216" s="49"/>
    </row>
    <row r="1217" spans="1:29">
      <c r="A1217" s="71" t="s">
        <v>307</v>
      </c>
      <c r="B1217" s="61" t="s">
        <v>308</v>
      </c>
      <c r="C1217" s="271">
        <f>VLOOKUP($A$8:$A$1487,'[7]MFP''s'!A$8:C$1502,3,FALSE)</f>
        <v>8000</v>
      </c>
      <c r="D1217" s="364">
        <v>8000</v>
      </c>
      <c r="E1217" s="274">
        <f t="shared" si="113"/>
        <v>0</v>
      </c>
      <c r="F1217" s="196">
        <f t="shared" si="110"/>
        <v>300.56</v>
      </c>
      <c r="G1217" s="196">
        <f t="shared" si="111"/>
        <v>237.2</v>
      </c>
      <c r="H1217" s="199">
        <f t="shared" si="112"/>
        <v>200.24</v>
      </c>
      <c r="M1217" s="49"/>
      <c r="N1217" s="49"/>
      <c r="O1217" s="49"/>
      <c r="P1217" s="49"/>
      <c r="Q1217" s="49"/>
      <c r="R1217" s="49"/>
      <c r="S1217" s="49"/>
      <c r="T1217" s="49"/>
      <c r="U1217" s="49"/>
      <c r="V1217" s="49"/>
      <c r="W1217" s="49"/>
      <c r="X1217" s="49"/>
      <c r="Y1217" s="49"/>
      <c r="Z1217" s="49"/>
      <c r="AA1217" s="49"/>
      <c r="AB1217" s="49"/>
      <c r="AC1217" s="49"/>
    </row>
    <row r="1218" spans="1:29">
      <c r="A1218" s="71" t="s">
        <v>62</v>
      </c>
      <c r="B1218" s="61" t="s">
        <v>63</v>
      </c>
      <c r="C1218" s="271">
        <f>VLOOKUP($A$8:$A$1487,'[7]MFP''s'!A$8:C$1502,3,FALSE)</f>
        <v>1</v>
      </c>
      <c r="D1218" s="364">
        <v>1</v>
      </c>
      <c r="E1218" s="274">
        <f t="shared" si="113"/>
        <v>0</v>
      </c>
      <c r="F1218" s="196">
        <f t="shared" ref="F1218:F1282" si="114">D1218*$F$1</f>
        <v>3.7569999999999999E-2</v>
      </c>
      <c r="G1218" s="196">
        <f t="shared" si="111"/>
        <v>2.9649999999999999E-2</v>
      </c>
      <c r="H1218" s="199">
        <f t="shared" si="112"/>
        <v>2.503E-2</v>
      </c>
      <c r="M1218" s="49"/>
      <c r="N1218" s="49"/>
      <c r="O1218" s="49"/>
      <c r="P1218" s="49"/>
      <c r="Q1218" s="49"/>
      <c r="R1218" s="49"/>
      <c r="S1218" s="49"/>
      <c r="T1218" s="49"/>
      <c r="U1218" s="49"/>
      <c r="V1218" s="49"/>
      <c r="W1218" s="49"/>
      <c r="X1218" s="49"/>
      <c r="Y1218" s="49"/>
      <c r="Z1218" s="49"/>
      <c r="AA1218" s="49"/>
      <c r="AB1218" s="49"/>
      <c r="AC1218" s="49"/>
    </row>
    <row r="1219" spans="1:29">
      <c r="A1219" s="71" t="s">
        <v>64</v>
      </c>
      <c r="B1219" s="61" t="s">
        <v>65</v>
      </c>
      <c r="C1219" s="271">
        <f>VLOOKUP($A$8:$A$1487,'[7]MFP''s'!A$8:C$1502,3,FALSE)</f>
        <v>1</v>
      </c>
      <c r="D1219" s="364">
        <v>1</v>
      </c>
      <c r="E1219" s="274">
        <f t="shared" si="113"/>
        <v>0</v>
      </c>
      <c r="F1219" s="196">
        <f t="shared" si="114"/>
        <v>3.7569999999999999E-2</v>
      </c>
      <c r="G1219" s="196">
        <f t="shared" si="111"/>
        <v>2.9649999999999999E-2</v>
      </c>
      <c r="H1219" s="199">
        <f t="shared" si="112"/>
        <v>2.503E-2</v>
      </c>
      <c r="M1219" s="49"/>
      <c r="N1219" s="49"/>
      <c r="O1219" s="49"/>
      <c r="P1219" s="49"/>
      <c r="Q1219" s="49"/>
      <c r="R1219" s="49"/>
      <c r="S1219" s="49"/>
      <c r="T1219" s="49"/>
      <c r="U1219" s="49"/>
      <c r="V1219" s="49"/>
      <c r="W1219" s="49"/>
      <c r="X1219" s="49"/>
      <c r="Y1219" s="49"/>
      <c r="Z1219" s="49"/>
      <c r="AA1219" s="49"/>
      <c r="AB1219" s="49"/>
      <c r="AC1219" s="49"/>
    </row>
    <row r="1220" spans="1:29">
      <c r="A1220" s="195" t="s">
        <v>384</v>
      </c>
      <c r="B1220" s="197"/>
      <c r="C1220" s="271"/>
      <c r="D1220" s="357"/>
      <c r="E1220" s="274"/>
      <c r="F1220" s="196"/>
      <c r="G1220" s="196"/>
      <c r="H1220" s="199"/>
      <c r="M1220" s="49"/>
      <c r="N1220" s="49"/>
      <c r="O1220" s="49"/>
      <c r="P1220" s="49"/>
      <c r="Q1220" s="49"/>
      <c r="R1220" s="49"/>
      <c r="S1220" s="49"/>
      <c r="T1220" s="49"/>
      <c r="U1220" s="49"/>
      <c r="V1220" s="49"/>
      <c r="W1220" s="49"/>
      <c r="X1220" s="49"/>
      <c r="Y1220" s="49"/>
      <c r="Z1220" s="49"/>
      <c r="AA1220" s="49"/>
      <c r="AB1220" s="49"/>
      <c r="AC1220" s="49"/>
    </row>
    <row r="1221" spans="1:29">
      <c r="A1221" s="169" t="s">
        <v>75</v>
      </c>
      <c r="B1221" s="61"/>
      <c r="C1221" s="271"/>
      <c r="D1221" s="364"/>
      <c r="E1221" s="274"/>
      <c r="F1221" s="196"/>
      <c r="G1221" s="196"/>
      <c r="H1221" s="199"/>
      <c r="M1221" s="49"/>
      <c r="N1221" s="49"/>
      <c r="O1221" s="49"/>
      <c r="P1221" s="49"/>
      <c r="Q1221" s="49"/>
      <c r="R1221" s="49"/>
      <c r="S1221" s="49"/>
      <c r="T1221" s="49"/>
      <c r="U1221" s="49"/>
      <c r="V1221" s="49"/>
      <c r="W1221" s="49"/>
      <c r="X1221" s="49"/>
      <c r="Y1221" s="49"/>
      <c r="Z1221" s="49"/>
      <c r="AA1221" s="49"/>
      <c r="AB1221" s="49"/>
      <c r="AC1221" s="49"/>
    </row>
    <row r="1222" spans="1:29">
      <c r="A1222" s="71" t="s">
        <v>461</v>
      </c>
      <c r="B1222" s="61" t="s">
        <v>462</v>
      </c>
      <c r="C1222" s="271">
        <f>VLOOKUP($A$8:$A$1487,'[7]MFP''s'!A$8:C$1502,3,FALSE)</f>
        <v>6455</v>
      </c>
      <c r="D1222" s="364">
        <v>3191</v>
      </c>
      <c r="E1222" s="274">
        <f t="shared" si="113"/>
        <v>0.50565453137103022</v>
      </c>
      <c r="F1222" s="196">
        <f t="shared" si="114"/>
        <v>119.88587</v>
      </c>
      <c r="G1222" s="196">
        <f t="shared" si="111"/>
        <v>94.613150000000005</v>
      </c>
      <c r="H1222" s="199">
        <f t="shared" si="112"/>
        <v>79.870729999999995</v>
      </c>
      <c r="M1222" s="49"/>
      <c r="N1222" s="49"/>
      <c r="O1222" s="49"/>
      <c r="P1222" s="49"/>
      <c r="Q1222" s="49"/>
      <c r="R1222" s="49"/>
      <c r="S1222" s="49"/>
      <c r="T1222" s="49"/>
      <c r="U1222" s="49"/>
      <c r="V1222" s="49"/>
      <c r="W1222" s="49"/>
      <c r="X1222" s="49"/>
      <c r="Y1222" s="49"/>
      <c r="Z1222" s="49"/>
      <c r="AA1222" s="49"/>
      <c r="AB1222" s="49"/>
      <c r="AC1222" s="49"/>
    </row>
    <row r="1223" spans="1:29">
      <c r="A1223" s="71" t="s">
        <v>463</v>
      </c>
      <c r="B1223" s="61" t="s">
        <v>464</v>
      </c>
      <c r="C1223" s="271">
        <f>VLOOKUP($A$8:$A$1487,'[7]MFP''s'!A$8:C$1502,3,FALSE)</f>
        <v>2115</v>
      </c>
      <c r="D1223" s="364">
        <v>1172.979</v>
      </c>
      <c r="E1223" s="274">
        <f t="shared" si="113"/>
        <v>0.44540000000000002</v>
      </c>
      <c r="F1223" s="196">
        <f t="shared" si="114"/>
        <v>44.068821030000002</v>
      </c>
      <c r="G1223" s="196">
        <f t="shared" si="111"/>
        <v>34.77882735</v>
      </c>
      <c r="H1223" s="199">
        <f t="shared" si="112"/>
        <v>29.359664370000001</v>
      </c>
      <c r="M1223" s="49"/>
      <c r="N1223" s="49"/>
      <c r="O1223" s="49"/>
      <c r="P1223" s="49"/>
      <c r="Q1223" s="49"/>
      <c r="R1223" s="49"/>
      <c r="S1223" s="49"/>
      <c r="T1223" s="49"/>
      <c r="U1223" s="49"/>
      <c r="V1223" s="49"/>
      <c r="W1223" s="49"/>
      <c r="X1223" s="49"/>
      <c r="Y1223" s="49"/>
      <c r="Z1223" s="49"/>
      <c r="AA1223" s="49"/>
      <c r="AB1223" s="49"/>
      <c r="AC1223" s="49"/>
    </row>
    <row r="1224" spans="1:29">
      <c r="A1224" s="71" t="s">
        <v>432</v>
      </c>
      <c r="B1224" s="61" t="s">
        <v>433</v>
      </c>
      <c r="C1224" s="271">
        <f>VLOOKUP($A$8:$A$1487,'[7]MFP''s'!A$8:C$1502,3,FALSE)</f>
        <v>3562</v>
      </c>
      <c r="D1224" s="364">
        <v>1974</v>
      </c>
      <c r="E1224" s="274">
        <f t="shared" si="113"/>
        <v>0.44581695676586186</v>
      </c>
      <c r="F1224" s="196">
        <f t="shared" si="114"/>
        <v>74.163179999999997</v>
      </c>
      <c r="G1224" s="196">
        <f t="shared" si="111"/>
        <v>58.5291</v>
      </c>
      <c r="H1224" s="199">
        <f t="shared" si="112"/>
        <v>49.409219999999998</v>
      </c>
      <c r="M1224" s="49"/>
      <c r="N1224" s="49"/>
      <c r="O1224" s="49"/>
      <c r="P1224" s="49"/>
      <c r="Q1224" s="49"/>
      <c r="R1224" s="49"/>
      <c r="S1224" s="49"/>
      <c r="T1224" s="49"/>
      <c r="U1224" s="49"/>
      <c r="V1224" s="49"/>
      <c r="W1224" s="49"/>
      <c r="X1224" s="49"/>
      <c r="Y1224" s="49"/>
      <c r="Z1224" s="49"/>
      <c r="AA1224" s="49"/>
      <c r="AB1224" s="49"/>
      <c r="AC1224" s="49"/>
    </row>
    <row r="1225" spans="1:29">
      <c r="A1225" s="71" t="s">
        <v>434</v>
      </c>
      <c r="B1225" s="61" t="s">
        <v>435</v>
      </c>
      <c r="C1225" s="271">
        <f>VLOOKUP($A$8:$A$1487,'[7]MFP''s'!A$8:C$1502,3,FALSE)</f>
        <v>1336</v>
      </c>
      <c r="D1225" s="364">
        <v>741</v>
      </c>
      <c r="E1225" s="274">
        <f t="shared" si="113"/>
        <v>0.44535928143712578</v>
      </c>
      <c r="F1225" s="196">
        <f t="shared" si="114"/>
        <v>27.839369999999999</v>
      </c>
      <c r="G1225" s="196">
        <f t="shared" si="111"/>
        <v>21.970649999999999</v>
      </c>
      <c r="H1225" s="199">
        <f t="shared" si="112"/>
        <v>18.547229999999999</v>
      </c>
      <c r="M1225" s="49"/>
      <c r="N1225" s="49"/>
      <c r="O1225" s="49"/>
      <c r="P1225" s="49"/>
      <c r="Q1225" s="49"/>
      <c r="R1225" s="49"/>
      <c r="S1225" s="49"/>
      <c r="T1225" s="49"/>
      <c r="U1225" s="49"/>
      <c r="V1225" s="49"/>
      <c r="W1225" s="49"/>
      <c r="X1225" s="49"/>
      <c r="Y1225" s="49"/>
      <c r="Z1225" s="49"/>
      <c r="AA1225" s="49"/>
      <c r="AB1225" s="49"/>
      <c r="AC1225" s="49"/>
    </row>
    <row r="1226" spans="1:29">
      <c r="A1226" s="71" t="s">
        <v>465</v>
      </c>
      <c r="B1226" s="61" t="s">
        <v>466</v>
      </c>
      <c r="C1226" s="271">
        <f>VLOOKUP($A$8:$A$1487,'[7]MFP''s'!A$8:C$1502,3,FALSE)</f>
        <v>10720</v>
      </c>
      <c r="D1226" s="364">
        <v>5298.8959999999997</v>
      </c>
      <c r="E1226" s="274">
        <f t="shared" si="113"/>
        <v>0.50570000000000004</v>
      </c>
      <c r="F1226" s="196">
        <f t="shared" si="114"/>
        <v>199.07952272</v>
      </c>
      <c r="G1226" s="196">
        <f t="shared" si="111"/>
        <v>157.11226639999998</v>
      </c>
      <c r="H1226" s="199">
        <f t="shared" si="112"/>
        <v>132.63136688</v>
      </c>
      <c r="M1226" s="49"/>
      <c r="N1226" s="49"/>
      <c r="O1226" s="49"/>
      <c r="P1226" s="49"/>
      <c r="Q1226" s="49"/>
      <c r="R1226" s="49"/>
      <c r="S1226" s="49"/>
      <c r="T1226" s="49"/>
      <c r="U1226" s="49"/>
      <c r="V1226" s="49"/>
      <c r="W1226" s="49"/>
      <c r="X1226" s="49"/>
      <c r="Y1226" s="49"/>
      <c r="Z1226" s="49"/>
      <c r="AA1226" s="49"/>
      <c r="AB1226" s="49"/>
      <c r="AC1226" s="49"/>
    </row>
    <row r="1227" spans="1:29">
      <c r="A1227" s="71" t="s">
        <v>339</v>
      </c>
      <c r="B1227" s="61" t="s">
        <v>340</v>
      </c>
      <c r="C1227" s="271">
        <f>VLOOKUP($A$8:$A$1487,'[7]MFP''s'!A$8:C$1502,3,FALSE)</f>
        <v>2332</v>
      </c>
      <c r="D1227" s="364">
        <v>1293.3271999999999</v>
      </c>
      <c r="E1227" s="274">
        <f t="shared" si="113"/>
        <v>0.44540000000000002</v>
      </c>
      <c r="F1227" s="196">
        <f t="shared" si="114"/>
        <v>48.590302903999998</v>
      </c>
      <c r="G1227" s="196">
        <f t="shared" ref="G1227:G1290" si="115">D1227*$G$1</f>
        <v>38.347151480000001</v>
      </c>
      <c r="H1227" s="199">
        <f t="shared" ref="H1227:H1290" si="116">D1227*$H$1</f>
        <v>32.371979816</v>
      </c>
      <c r="M1227" s="49"/>
      <c r="N1227" s="49"/>
      <c r="O1227" s="49"/>
      <c r="P1227" s="49"/>
      <c r="Q1227" s="49"/>
      <c r="R1227" s="49"/>
      <c r="S1227" s="49"/>
      <c r="T1227" s="49"/>
      <c r="U1227" s="49"/>
      <c r="V1227" s="49"/>
      <c r="W1227" s="49"/>
      <c r="X1227" s="49"/>
      <c r="Y1227" s="49"/>
      <c r="Z1227" s="49"/>
      <c r="AA1227" s="49"/>
      <c r="AB1227" s="49"/>
      <c r="AC1227" s="49"/>
    </row>
    <row r="1228" spans="1:29">
      <c r="A1228" s="71" t="s">
        <v>446</v>
      </c>
      <c r="B1228" s="61" t="s">
        <v>447</v>
      </c>
      <c r="C1228" s="271">
        <f>VLOOKUP($A$8:$A$1487,'[7]MFP''s'!A$8:C$1502,3,FALSE)</f>
        <v>582</v>
      </c>
      <c r="D1228" s="364">
        <v>324</v>
      </c>
      <c r="E1228" s="274">
        <f t="shared" si="113"/>
        <v>0.44329896907216493</v>
      </c>
      <c r="F1228" s="196">
        <f t="shared" si="114"/>
        <v>12.17268</v>
      </c>
      <c r="G1228" s="196">
        <f t="shared" si="115"/>
        <v>9.6066000000000003</v>
      </c>
      <c r="H1228" s="199">
        <f t="shared" si="116"/>
        <v>8.1097199999999994</v>
      </c>
      <c r="M1228" s="49"/>
      <c r="N1228" s="49"/>
      <c r="O1228" s="49"/>
      <c r="P1228" s="49"/>
      <c r="Q1228" s="49"/>
      <c r="R1228" s="49"/>
      <c r="S1228" s="49"/>
      <c r="T1228" s="49"/>
      <c r="U1228" s="49"/>
      <c r="V1228" s="49"/>
      <c r="W1228" s="49"/>
      <c r="X1228" s="49"/>
      <c r="Y1228" s="49"/>
      <c r="Z1228" s="49"/>
      <c r="AA1228" s="49"/>
      <c r="AB1228" s="49"/>
      <c r="AC1228" s="49"/>
    </row>
    <row r="1229" spans="1:29" s="173" customFormat="1">
      <c r="A1229" s="71" t="s">
        <v>510</v>
      </c>
      <c r="B1229" s="78" t="s">
        <v>511</v>
      </c>
      <c r="C1229" s="271">
        <f>VLOOKUP($A$8:$A$1487,'[7]MFP''s'!A$8:C$1502,3,FALSE)</f>
        <v>5000</v>
      </c>
      <c r="D1229" s="364">
        <v>2771</v>
      </c>
      <c r="E1229" s="274">
        <f t="shared" si="113"/>
        <v>0.44579999999999997</v>
      </c>
      <c r="F1229" s="196">
        <f t="shared" si="114"/>
        <v>104.10647</v>
      </c>
      <c r="G1229" s="196">
        <f t="shared" si="115"/>
        <v>82.160150000000002</v>
      </c>
      <c r="H1229" s="199">
        <f t="shared" si="116"/>
        <v>69.358130000000003</v>
      </c>
      <c r="J1229" s="172"/>
      <c r="K1229" s="172"/>
      <c r="L1229" s="172"/>
    </row>
    <row r="1230" spans="1:29" s="173" customFormat="1">
      <c r="A1230" s="169" t="s">
        <v>66</v>
      </c>
      <c r="B1230" s="78"/>
      <c r="C1230" s="271"/>
      <c r="D1230" s="364"/>
      <c r="E1230" s="274"/>
      <c r="F1230" s="196"/>
      <c r="G1230" s="196"/>
      <c r="H1230" s="199"/>
      <c r="J1230" s="172"/>
      <c r="K1230" s="172"/>
      <c r="L1230" s="172"/>
    </row>
    <row r="1231" spans="1:29" s="316" customFormat="1">
      <c r="A1231" s="326" t="s">
        <v>448</v>
      </c>
      <c r="B1231" s="327" t="s">
        <v>449</v>
      </c>
      <c r="C1231" s="312">
        <f>VLOOKUP($A$8:$A$1487,'[7]MFP''s'!A$8:C$1502,3,FALSE)</f>
        <v>2002</v>
      </c>
      <c r="D1231" s="367">
        <v>1111</v>
      </c>
      <c r="E1231" s="313">
        <f>100%-(D1231/C1231)</f>
        <v>0.44505494505494503</v>
      </c>
      <c r="F1231" s="314">
        <f>D1231*$F$1</f>
        <v>41.740270000000002</v>
      </c>
      <c r="G1231" s="314">
        <f>D1231*$G$1</f>
        <v>32.94115</v>
      </c>
      <c r="H1231" s="315">
        <f>D1231*$H$1</f>
        <v>27.808330000000002</v>
      </c>
      <c r="J1231" s="317"/>
      <c r="K1231" s="317"/>
      <c r="L1231" s="317"/>
    </row>
    <row r="1232" spans="1:29" s="173" customFormat="1">
      <c r="A1232" s="71" t="s">
        <v>467</v>
      </c>
      <c r="B1232" s="78" t="s">
        <v>437</v>
      </c>
      <c r="C1232" s="271">
        <f>VLOOKUP($A$8:$A$1487,'[7]MFP''s'!A$8:C$1502,3,FALSE)</f>
        <v>690</v>
      </c>
      <c r="D1232" s="364">
        <v>383</v>
      </c>
      <c r="E1232" s="274">
        <f t="shared" si="113"/>
        <v>0.44492753623188408</v>
      </c>
      <c r="F1232" s="196">
        <f t="shared" si="114"/>
        <v>14.38931</v>
      </c>
      <c r="G1232" s="196">
        <f t="shared" si="115"/>
        <v>11.35595</v>
      </c>
      <c r="H1232" s="199">
        <f t="shared" si="116"/>
        <v>9.5864899999999995</v>
      </c>
      <c r="J1232" s="172"/>
      <c r="K1232" s="172"/>
      <c r="L1232" s="172"/>
    </row>
    <row r="1233" spans="1:12" s="173" customFormat="1">
      <c r="A1233" s="71" t="s">
        <v>450</v>
      </c>
      <c r="B1233" s="78" t="s">
        <v>451</v>
      </c>
      <c r="C1233" s="271">
        <f>VLOOKUP($A$8:$A$1487,'[7]MFP''s'!A$8:C$1502,3,FALSE)</f>
        <v>150</v>
      </c>
      <c r="D1233" s="364">
        <v>84.742021276595764</v>
      </c>
      <c r="E1233" s="274">
        <f t="shared" si="113"/>
        <v>0.43505319148936161</v>
      </c>
      <c r="F1233" s="196">
        <f t="shared" si="114"/>
        <v>3.1837577393617029</v>
      </c>
      <c r="G1233" s="196">
        <f t="shared" si="115"/>
        <v>2.5126009308510642</v>
      </c>
      <c r="H1233" s="199">
        <f t="shared" si="116"/>
        <v>2.1210927925531919</v>
      </c>
      <c r="J1233" s="172"/>
      <c r="K1233" s="172"/>
      <c r="L1233" s="172"/>
    </row>
    <row r="1234" spans="1:12" s="173" customFormat="1">
      <c r="A1234" s="71" t="s">
        <v>452</v>
      </c>
      <c r="B1234" s="78" t="s">
        <v>453</v>
      </c>
      <c r="C1234" s="271">
        <f>VLOOKUP($A$8:$A$1487,'[7]MFP''s'!A$8:C$1502,3,FALSE)</f>
        <v>580</v>
      </c>
      <c r="D1234" s="364">
        <v>294</v>
      </c>
      <c r="E1234" s="274">
        <f t="shared" si="113"/>
        <v>0.49310344827586206</v>
      </c>
      <c r="F1234" s="196">
        <f t="shared" si="114"/>
        <v>11.045579999999999</v>
      </c>
      <c r="G1234" s="196">
        <f t="shared" si="115"/>
        <v>8.7171000000000003</v>
      </c>
      <c r="H1234" s="199">
        <f t="shared" si="116"/>
        <v>7.3588199999999997</v>
      </c>
      <c r="J1234" s="172"/>
      <c r="K1234" s="172"/>
      <c r="L1234" s="172"/>
    </row>
    <row r="1235" spans="1:12" s="173" customFormat="1">
      <c r="A1235" s="71" t="s">
        <v>454</v>
      </c>
      <c r="B1235" s="78" t="s">
        <v>455</v>
      </c>
      <c r="C1235" s="271">
        <f>VLOOKUP($A$8:$A$1487,'[7]MFP''s'!A$8:C$1502,3,FALSE)</f>
        <v>2115</v>
      </c>
      <c r="D1235" s="364">
        <v>1172.979</v>
      </c>
      <c r="E1235" s="274">
        <f t="shared" si="113"/>
        <v>0.44540000000000002</v>
      </c>
      <c r="F1235" s="196">
        <f t="shared" si="114"/>
        <v>44.068821030000002</v>
      </c>
      <c r="G1235" s="196">
        <f t="shared" si="115"/>
        <v>34.77882735</v>
      </c>
      <c r="H1235" s="199">
        <f t="shared" si="116"/>
        <v>29.359664370000001</v>
      </c>
      <c r="J1235" s="172"/>
      <c r="K1235" s="172"/>
      <c r="L1235" s="172"/>
    </row>
    <row r="1236" spans="1:12" s="173" customFormat="1">
      <c r="A1236" s="71" t="s">
        <v>309</v>
      </c>
      <c r="B1236" s="78" t="s">
        <v>310</v>
      </c>
      <c r="C1236" s="271">
        <f>VLOOKUP($A$8:$A$1487,'[7]MFP''s'!A$8:C$1502,3,FALSE)</f>
        <v>5406</v>
      </c>
      <c r="D1236" s="364">
        <v>2996</v>
      </c>
      <c r="E1236" s="274">
        <f t="shared" si="113"/>
        <v>0.44580096189419161</v>
      </c>
      <c r="F1236" s="196">
        <f t="shared" si="114"/>
        <v>112.55972</v>
      </c>
      <c r="G1236" s="196">
        <f t="shared" si="115"/>
        <v>88.831400000000002</v>
      </c>
      <c r="H1236" s="199">
        <f t="shared" si="116"/>
        <v>74.989879999999999</v>
      </c>
      <c r="J1236" s="172"/>
      <c r="K1236" s="172"/>
      <c r="L1236" s="172"/>
    </row>
    <row r="1237" spans="1:12" s="173" customFormat="1">
      <c r="A1237" s="71" t="s">
        <v>438</v>
      </c>
      <c r="B1237" s="78" t="s">
        <v>439</v>
      </c>
      <c r="C1237" s="271">
        <f>VLOOKUP($A$8:$A$1487,'[7]MFP''s'!A$8:C$1502,3,FALSE)</f>
        <v>3173</v>
      </c>
      <c r="D1237" s="364">
        <v>1759</v>
      </c>
      <c r="E1237" s="274">
        <f t="shared" si="113"/>
        <v>0.44563504569807755</v>
      </c>
      <c r="F1237" s="196">
        <f t="shared" si="114"/>
        <v>66.085629999999995</v>
      </c>
      <c r="G1237" s="196">
        <f t="shared" si="115"/>
        <v>52.154350000000001</v>
      </c>
      <c r="H1237" s="199">
        <f t="shared" si="116"/>
        <v>44.027769999999997</v>
      </c>
      <c r="J1237" s="172"/>
      <c r="K1237" s="172"/>
      <c r="L1237" s="172"/>
    </row>
    <row r="1238" spans="1:12" s="173" customFormat="1">
      <c r="A1238" s="71" t="s">
        <v>312</v>
      </c>
      <c r="B1238" s="78" t="s">
        <v>313</v>
      </c>
      <c r="C1238" s="271">
        <f>VLOOKUP($A$8:$A$1487,'[7]MFP''s'!A$8:C$1502,3,FALSE)</f>
        <v>1164</v>
      </c>
      <c r="D1238" s="364">
        <v>645</v>
      </c>
      <c r="E1238" s="274">
        <f t="shared" si="113"/>
        <v>0.44587628865979378</v>
      </c>
      <c r="F1238" s="196">
        <f t="shared" si="114"/>
        <v>24.23265</v>
      </c>
      <c r="G1238" s="196">
        <f t="shared" si="115"/>
        <v>19.12425</v>
      </c>
      <c r="H1238" s="199">
        <f t="shared" si="116"/>
        <v>16.144349999999999</v>
      </c>
      <c r="J1238" s="172"/>
      <c r="K1238" s="172"/>
      <c r="L1238" s="172"/>
    </row>
    <row r="1239" spans="1:12" s="173" customFormat="1">
      <c r="A1239" s="71" t="s">
        <v>314</v>
      </c>
      <c r="B1239" s="78" t="s">
        <v>315</v>
      </c>
      <c r="C1239" s="271">
        <f>VLOOKUP($A$8:$A$1487,'[7]MFP''s'!A$8:C$1502,3,FALSE)</f>
        <v>863</v>
      </c>
      <c r="D1239" s="364">
        <v>479</v>
      </c>
      <c r="E1239" s="274">
        <f t="shared" si="113"/>
        <v>0.4449594438006953</v>
      </c>
      <c r="F1239" s="196">
        <f t="shared" si="114"/>
        <v>17.996030000000001</v>
      </c>
      <c r="G1239" s="196">
        <f t="shared" si="115"/>
        <v>14.202349999999999</v>
      </c>
      <c r="H1239" s="199">
        <f t="shared" si="116"/>
        <v>11.989369999999999</v>
      </c>
      <c r="J1239" s="172"/>
      <c r="K1239" s="172"/>
      <c r="L1239" s="172"/>
    </row>
    <row r="1240" spans="1:12" s="173" customFormat="1">
      <c r="A1240" s="71" t="s">
        <v>468</v>
      </c>
      <c r="B1240" s="78" t="s">
        <v>469</v>
      </c>
      <c r="C1240" s="271">
        <f>VLOOKUP($A$8:$A$1487,'[7]MFP''s'!A$8:C$1502,3,FALSE)</f>
        <v>5205</v>
      </c>
      <c r="D1240" s="364">
        <v>2360</v>
      </c>
      <c r="E1240" s="274">
        <f t="shared" si="113"/>
        <v>0.54658981748318924</v>
      </c>
      <c r="F1240" s="196">
        <f t="shared" si="114"/>
        <v>88.665199999999999</v>
      </c>
      <c r="G1240" s="196">
        <f t="shared" si="115"/>
        <v>69.974000000000004</v>
      </c>
      <c r="H1240" s="199">
        <f t="shared" si="116"/>
        <v>59.070799999999998</v>
      </c>
      <c r="J1240" s="172"/>
      <c r="K1240" s="172"/>
      <c r="L1240" s="172"/>
    </row>
    <row r="1241" spans="1:12" s="173" customFormat="1">
      <c r="A1241" s="71" t="s">
        <v>470</v>
      </c>
      <c r="B1241" s="78" t="s">
        <v>471</v>
      </c>
      <c r="C1241" s="271">
        <f>VLOOKUP($A$8:$A$1487,'[7]MFP''s'!A$8:C$1502,3,FALSE)</f>
        <v>835</v>
      </c>
      <c r="D1241" s="364">
        <v>379</v>
      </c>
      <c r="E1241" s="274">
        <f t="shared" si="113"/>
        <v>0.54610778443113772</v>
      </c>
      <c r="F1241" s="196">
        <f t="shared" si="114"/>
        <v>14.23903</v>
      </c>
      <c r="G1241" s="196">
        <f t="shared" si="115"/>
        <v>11.237349999999999</v>
      </c>
      <c r="H1241" s="199">
        <f t="shared" si="116"/>
        <v>9.4863700000000009</v>
      </c>
      <c r="J1241" s="172"/>
      <c r="K1241" s="172"/>
      <c r="L1241" s="172"/>
    </row>
    <row r="1242" spans="1:12" s="173" customFormat="1">
      <c r="A1242" s="71" t="s">
        <v>220</v>
      </c>
      <c r="B1242" s="78" t="s">
        <v>221</v>
      </c>
      <c r="C1242" s="271">
        <f>VLOOKUP($A$8:$A$1487,'[7]MFP''s'!A$8:C$1502,3,FALSE)</f>
        <v>445</v>
      </c>
      <c r="D1242" s="364">
        <v>202</v>
      </c>
      <c r="E1242" s="274">
        <f t="shared" si="113"/>
        <v>0.54606741573033712</v>
      </c>
      <c r="F1242" s="196">
        <f t="shared" si="114"/>
        <v>7.5891399999999996</v>
      </c>
      <c r="G1242" s="196">
        <f t="shared" si="115"/>
        <v>5.9893000000000001</v>
      </c>
      <c r="H1242" s="199">
        <f t="shared" si="116"/>
        <v>5.0560600000000004</v>
      </c>
      <c r="J1242" s="172"/>
      <c r="K1242" s="172"/>
      <c r="L1242" s="172"/>
    </row>
    <row r="1243" spans="1:12" s="173" customFormat="1">
      <c r="A1243" s="71" t="s">
        <v>214</v>
      </c>
      <c r="B1243" s="78" t="s">
        <v>215</v>
      </c>
      <c r="C1243" s="271">
        <f>VLOOKUP($A$8:$A$1487,'[7]MFP''s'!A$8:C$1502,3,FALSE)</f>
        <v>1977</v>
      </c>
      <c r="D1243" s="364">
        <v>897</v>
      </c>
      <c r="E1243" s="274">
        <f t="shared" si="113"/>
        <v>0.54628224582701068</v>
      </c>
      <c r="F1243" s="196">
        <f t="shared" si="114"/>
        <v>33.700290000000003</v>
      </c>
      <c r="G1243" s="196">
        <f t="shared" si="115"/>
        <v>26.596049999999998</v>
      </c>
      <c r="H1243" s="199">
        <f t="shared" si="116"/>
        <v>22.451910000000002</v>
      </c>
      <c r="J1243" s="172"/>
      <c r="K1243" s="172"/>
      <c r="L1243" s="172"/>
    </row>
    <row r="1244" spans="1:12" s="173" customFormat="1">
      <c r="A1244" s="71" t="s">
        <v>265</v>
      </c>
      <c r="B1244" s="78" t="s">
        <v>266</v>
      </c>
      <c r="C1244" s="271">
        <f>VLOOKUP($A$8:$A$1487,'[7]MFP''s'!A$8:C$1502,3,FALSE)</f>
        <v>18921</v>
      </c>
      <c r="D1244" s="364">
        <v>10485</v>
      </c>
      <c r="E1244" s="274">
        <f t="shared" si="113"/>
        <v>0.44585381322340256</v>
      </c>
      <c r="F1244" s="196">
        <f t="shared" si="114"/>
        <v>393.92144999999999</v>
      </c>
      <c r="G1244" s="196">
        <f t="shared" si="115"/>
        <v>310.88024999999999</v>
      </c>
      <c r="H1244" s="199">
        <f t="shared" si="116"/>
        <v>262.43955</v>
      </c>
      <c r="J1244" s="172"/>
      <c r="K1244" s="172"/>
      <c r="L1244" s="172"/>
    </row>
    <row r="1245" spans="1:12" s="173" customFormat="1">
      <c r="A1245" s="71" t="s">
        <v>269</v>
      </c>
      <c r="B1245" s="78" t="s">
        <v>270</v>
      </c>
      <c r="C1245" s="271">
        <f>VLOOKUP($A$8:$A$1487,'[7]MFP''s'!A$8:C$1502,3,FALSE)</f>
        <v>27825</v>
      </c>
      <c r="D1245" s="364">
        <v>15419</v>
      </c>
      <c r="E1245" s="274">
        <f t="shared" si="113"/>
        <v>0.4458580413297395</v>
      </c>
      <c r="F1245" s="196">
        <f t="shared" si="114"/>
        <v>579.29183</v>
      </c>
      <c r="G1245" s="196">
        <f t="shared" si="115"/>
        <v>457.17334999999997</v>
      </c>
      <c r="H1245" s="199">
        <f t="shared" si="116"/>
        <v>385.93756999999999</v>
      </c>
      <c r="J1245" s="172"/>
      <c r="K1245" s="172"/>
      <c r="L1245" s="172"/>
    </row>
    <row r="1246" spans="1:12" s="173" customFormat="1">
      <c r="A1246" s="71" t="s">
        <v>267</v>
      </c>
      <c r="B1246" s="78" t="s">
        <v>268</v>
      </c>
      <c r="C1246" s="271">
        <f>VLOOKUP($A$8:$A$1487,'[7]MFP''s'!A$8:C$1502,3,FALSE)</f>
        <v>18365</v>
      </c>
      <c r="D1246" s="364">
        <v>10177</v>
      </c>
      <c r="E1246" s="274">
        <f t="shared" si="113"/>
        <v>0.44584808058807512</v>
      </c>
      <c r="F1246" s="196">
        <f t="shared" si="114"/>
        <v>382.34989000000002</v>
      </c>
      <c r="G1246" s="196">
        <f t="shared" si="115"/>
        <v>301.74804999999998</v>
      </c>
      <c r="H1246" s="199">
        <f t="shared" si="116"/>
        <v>254.73031</v>
      </c>
      <c r="J1246" s="172"/>
      <c r="K1246" s="172"/>
      <c r="L1246" s="172"/>
    </row>
    <row r="1247" spans="1:12" s="173" customFormat="1">
      <c r="A1247" s="71" t="s">
        <v>273</v>
      </c>
      <c r="B1247" s="78" t="s">
        <v>274</v>
      </c>
      <c r="C1247" s="271">
        <f>VLOOKUP($A$8:$A$1487,'[7]MFP''s'!A$8:C$1502,3,FALSE)</f>
        <v>890</v>
      </c>
      <c r="D1247" s="364">
        <v>494</v>
      </c>
      <c r="E1247" s="274">
        <f t="shared" si="113"/>
        <v>0.44494382022471912</v>
      </c>
      <c r="F1247" s="196">
        <f t="shared" si="114"/>
        <v>18.55958</v>
      </c>
      <c r="G1247" s="196">
        <f t="shared" si="115"/>
        <v>14.6471</v>
      </c>
      <c r="H1247" s="199">
        <f t="shared" si="116"/>
        <v>12.36482</v>
      </c>
      <c r="J1247" s="172"/>
      <c r="K1247" s="172"/>
      <c r="L1247" s="172"/>
    </row>
    <row r="1248" spans="1:12" s="173" customFormat="1">
      <c r="A1248" s="71" t="s">
        <v>311</v>
      </c>
      <c r="B1248" s="78" t="s">
        <v>272</v>
      </c>
      <c r="C1248" s="271">
        <f>VLOOKUP($A$8:$A$1487,'[7]MFP''s'!A$8:C$1502,3,FALSE)</f>
        <v>44838</v>
      </c>
      <c r="D1248" s="364">
        <v>25750</v>
      </c>
      <c r="E1248" s="274">
        <f t="shared" si="113"/>
        <v>0.42571033498371913</v>
      </c>
      <c r="F1248" s="196">
        <f t="shared" si="114"/>
        <v>967.42750000000001</v>
      </c>
      <c r="G1248" s="196">
        <f t="shared" si="115"/>
        <v>763.48749999999995</v>
      </c>
      <c r="H1248" s="199">
        <f t="shared" si="116"/>
        <v>644.52250000000004</v>
      </c>
      <c r="J1248" s="172"/>
      <c r="K1248" s="172"/>
      <c r="L1248" s="172"/>
    </row>
    <row r="1249" spans="1:12" s="173" customFormat="1">
      <c r="A1249" s="71" t="s">
        <v>236</v>
      </c>
      <c r="B1249" s="78" t="s">
        <v>237</v>
      </c>
      <c r="C1249" s="271">
        <f>VLOOKUP($A$8:$A$1487,'[7]MFP''s'!A$8:C$1502,3,FALSE)</f>
        <v>18232</v>
      </c>
      <c r="D1249" s="364">
        <v>8266</v>
      </c>
      <c r="E1249" s="274">
        <f t="shared" si="113"/>
        <v>0.54662132514260642</v>
      </c>
      <c r="F1249" s="196">
        <f t="shared" si="114"/>
        <v>310.55361999999997</v>
      </c>
      <c r="G1249" s="196">
        <f t="shared" si="115"/>
        <v>245.08689999999999</v>
      </c>
      <c r="H1249" s="199">
        <f t="shared" si="116"/>
        <v>206.89797999999999</v>
      </c>
      <c r="J1249" s="172"/>
      <c r="K1249" s="172"/>
      <c r="L1249" s="172"/>
    </row>
    <row r="1250" spans="1:12" s="173" customFormat="1">
      <c r="A1250" s="71" t="s">
        <v>281</v>
      </c>
      <c r="B1250" s="78" t="s">
        <v>282</v>
      </c>
      <c r="C1250" s="271">
        <f>VLOOKUP($A$8:$A$1487,'[7]MFP''s'!A$8:C$1502,3,FALSE)</f>
        <v>2980</v>
      </c>
      <c r="D1250" s="364">
        <v>1652</v>
      </c>
      <c r="E1250" s="274">
        <f t="shared" si="113"/>
        <v>0.44563758389261743</v>
      </c>
      <c r="F1250" s="196">
        <f t="shared" si="114"/>
        <v>62.065640000000002</v>
      </c>
      <c r="G1250" s="196">
        <f t="shared" si="115"/>
        <v>48.9818</v>
      </c>
      <c r="H1250" s="199">
        <f t="shared" si="116"/>
        <v>41.349559999999997</v>
      </c>
      <c r="J1250" s="172"/>
      <c r="K1250" s="172"/>
      <c r="L1250" s="172"/>
    </row>
    <row r="1251" spans="1:12" s="173" customFormat="1">
      <c r="A1251" s="71" t="s">
        <v>472</v>
      </c>
      <c r="B1251" s="78" t="s">
        <v>227</v>
      </c>
      <c r="C1251" s="271">
        <f>VLOOKUP($A$8:$A$1487,'[7]MFP''s'!A$8:C$1502,3,FALSE)</f>
        <v>29000</v>
      </c>
      <c r="D1251" s="364">
        <v>13148</v>
      </c>
      <c r="E1251" s="274">
        <f t="shared" si="113"/>
        <v>0.54662068965517241</v>
      </c>
      <c r="F1251" s="196">
        <f t="shared" si="114"/>
        <v>493.97035999999997</v>
      </c>
      <c r="G1251" s="196">
        <f t="shared" si="115"/>
        <v>389.83819999999997</v>
      </c>
      <c r="H1251" s="199">
        <f t="shared" si="116"/>
        <v>329.09444000000002</v>
      </c>
      <c r="J1251" s="172"/>
      <c r="K1251" s="172"/>
      <c r="L1251" s="172"/>
    </row>
    <row r="1252" spans="1:12" s="173" customFormat="1">
      <c r="A1252" s="71" t="s">
        <v>507</v>
      </c>
      <c r="B1252" s="78" t="s">
        <v>276</v>
      </c>
      <c r="C1252" s="271">
        <f>VLOOKUP($A$8:$A$1487,'[7]MFP''s'!A$8:C$1502,3,FALSE)</f>
        <v>6360</v>
      </c>
      <c r="D1252" s="364">
        <v>3525</v>
      </c>
      <c r="E1252" s="274">
        <f t="shared" si="113"/>
        <v>0.44575471698113212</v>
      </c>
      <c r="F1252" s="196">
        <f t="shared" si="114"/>
        <v>132.43424999999999</v>
      </c>
      <c r="G1252" s="196">
        <f t="shared" si="115"/>
        <v>104.51625</v>
      </c>
      <c r="H1252" s="199">
        <f t="shared" si="116"/>
        <v>88.23075</v>
      </c>
      <c r="J1252" s="172"/>
      <c r="K1252" s="172"/>
      <c r="L1252" s="172"/>
    </row>
    <row r="1253" spans="1:12" s="173" customFormat="1">
      <c r="A1253" s="71" t="s">
        <v>277</v>
      </c>
      <c r="B1253" s="78" t="s">
        <v>278</v>
      </c>
      <c r="C1253" s="271">
        <f>VLOOKUP($A$8:$A$1487,'[7]MFP''s'!A$8:C$1502,3,FALSE)</f>
        <v>11660</v>
      </c>
      <c r="D1253" s="364">
        <v>6462</v>
      </c>
      <c r="E1253" s="274">
        <f t="shared" si="113"/>
        <v>0.44579759862778734</v>
      </c>
      <c r="F1253" s="196">
        <f t="shared" si="114"/>
        <v>242.77733999999998</v>
      </c>
      <c r="G1253" s="196">
        <f t="shared" si="115"/>
        <v>191.59829999999999</v>
      </c>
      <c r="H1253" s="199">
        <f t="shared" si="116"/>
        <v>161.74386000000001</v>
      </c>
      <c r="J1253" s="172"/>
      <c r="K1253" s="172"/>
      <c r="L1253" s="172"/>
    </row>
    <row r="1254" spans="1:12" s="173" customFormat="1">
      <c r="A1254" s="71" t="s">
        <v>238</v>
      </c>
      <c r="B1254" s="78" t="s">
        <v>239</v>
      </c>
      <c r="C1254" s="271">
        <f>VLOOKUP($A$8:$A$1487,'[7]MFP''s'!A$8:C$1502,3,FALSE)</f>
        <v>1484</v>
      </c>
      <c r="D1254" s="364">
        <v>673</v>
      </c>
      <c r="E1254" s="274">
        <f t="shared" ref="E1254:E1318" si="117">100%-(D1254/C1254)</f>
        <v>0.54649595687331542</v>
      </c>
      <c r="F1254" s="196">
        <f t="shared" si="114"/>
        <v>25.284610000000001</v>
      </c>
      <c r="G1254" s="196">
        <f t="shared" si="115"/>
        <v>19.954449999999998</v>
      </c>
      <c r="H1254" s="199">
        <f t="shared" si="116"/>
        <v>16.845189999999999</v>
      </c>
      <c r="J1254" s="172"/>
      <c r="K1254" s="172"/>
      <c r="L1254" s="172"/>
    </row>
    <row r="1255" spans="1:12" s="173" customFormat="1">
      <c r="A1255" s="71" t="s">
        <v>240</v>
      </c>
      <c r="B1255" s="78" t="s">
        <v>241</v>
      </c>
      <c r="C1255" s="271">
        <f>VLOOKUP($A$8:$A$1487,'[7]MFP''s'!A$8:C$1502,3,FALSE)</f>
        <v>1484</v>
      </c>
      <c r="D1255" s="364">
        <v>673</v>
      </c>
      <c r="E1255" s="274">
        <f t="shared" si="117"/>
        <v>0.54649595687331542</v>
      </c>
      <c r="F1255" s="196">
        <f t="shared" si="114"/>
        <v>25.284610000000001</v>
      </c>
      <c r="G1255" s="196">
        <f t="shared" si="115"/>
        <v>19.954449999999998</v>
      </c>
      <c r="H1255" s="199">
        <f t="shared" si="116"/>
        <v>16.845189999999999</v>
      </c>
      <c r="J1255" s="172"/>
      <c r="K1255" s="172"/>
      <c r="L1255" s="172"/>
    </row>
    <row r="1256" spans="1:12" s="173" customFormat="1">
      <c r="A1256" s="71" t="s">
        <v>242</v>
      </c>
      <c r="B1256" s="78" t="s">
        <v>243</v>
      </c>
      <c r="C1256" s="271">
        <f>VLOOKUP($A$8:$A$1487,'[7]MFP''s'!A$8:C$1502,3,FALSE)</f>
        <v>1484</v>
      </c>
      <c r="D1256" s="364">
        <v>673</v>
      </c>
      <c r="E1256" s="274">
        <f t="shared" si="117"/>
        <v>0.54649595687331542</v>
      </c>
      <c r="F1256" s="196">
        <f t="shared" si="114"/>
        <v>25.284610000000001</v>
      </c>
      <c r="G1256" s="196">
        <f t="shared" si="115"/>
        <v>19.954449999999998</v>
      </c>
      <c r="H1256" s="199">
        <f t="shared" si="116"/>
        <v>16.845189999999999</v>
      </c>
      <c r="J1256" s="172"/>
      <c r="K1256" s="172"/>
      <c r="L1256" s="172"/>
    </row>
    <row r="1257" spans="1:12" s="173" customFormat="1">
      <c r="A1257" s="71" t="s">
        <v>244</v>
      </c>
      <c r="B1257" s="78" t="s">
        <v>245</v>
      </c>
      <c r="C1257" s="271">
        <f>VLOOKUP($A$8:$A$1487,'[7]MFP''s'!A$8:C$1502,3,FALSE)</f>
        <v>1484</v>
      </c>
      <c r="D1257" s="364">
        <v>673</v>
      </c>
      <c r="E1257" s="274">
        <f t="shared" si="117"/>
        <v>0.54649595687331542</v>
      </c>
      <c r="F1257" s="196">
        <f t="shared" si="114"/>
        <v>25.284610000000001</v>
      </c>
      <c r="G1257" s="196">
        <f t="shared" si="115"/>
        <v>19.954449999999998</v>
      </c>
      <c r="H1257" s="199">
        <f t="shared" si="116"/>
        <v>16.845189999999999</v>
      </c>
      <c r="J1257" s="172"/>
      <c r="K1257" s="172"/>
      <c r="L1257" s="172"/>
    </row>
    <row r="1258" spans="1:12" s="173" customFormat="1">
      <c r="A1258" s="71" t="s">
        <v>246</v>
      </c>
      <c r="B1258" s="78" t="s">
        <v>247</v>
      </c>
      <c r="C1258" s="271">
        <f>VLOOKUP($A$8:$A$1487,'[7]MFP''s'!A$8:C$1502,3,FALSE)</f>
        <v>1484</v>
      </c>
      <c r="D1258" s="364">
        <v>673</v>
      </c>
      <c r="E1258" s="274">
        <f t="shared" si="117"/>
        <v>0.54649595687331542</v>
      </c>
      <c r="F1258" s="196">
        <f t="shared" si="114"/>
        <v>25.284610000000001</v>
      </c>
      <c r="G1258" s="196">
        <f t="shared" si="115"/>
        <v>19.954449999999998</v>
      </c>
      <c r="H1258" s="199">
        <f t="shared" si="116"/>
        <v>16.845189999999999</v>
      </c>
      <c r="J1258" s="172"/>
      <c r="K1258" s="172"/>
      <c r="L1258" s="172"/>
    </row>
    <row r="1259" spans="1:12" s="173" customFormat="1">
      <c r="A1259" s="71" t="s">
        <v>248</v>
      </c>
      <c r="B1259" s="78" t="s">
        <v>249</v>
      </c>
      <c r="C1259" s="271">
        <f>VLOOKUP($A$8:$A$1487,'[7]MFP''s'!A$8:C$1502,3,FALSE)</f>
        <v>1484</v>
      </c>
      <c r="D1259" s="364">
        <v>673</v>
      </c>
      <c r="E1259" s="274">
        <f t="shared" si="117"/>
        <v>0.54649595687331542</v>
      </c>
      <c r="F1259" s="196">
        <f t="shared" si="114"/>
        <v>25.284610000000001</v>
      </c>
      <c r="G1259" s="196">
        <f t="shared" si="115"/>
        <v>19.954449999999998</v>
      </c>
      <c r="H1259" s="199">
        <f t="shared" si="116"/>
        <v>16.845189999999999</v>
      </c>
      <c r="J1259" s="172"/>
      <c r="K1259" s="172"/>
      <c r="L1259" s="172"/>
    </row>
    <row r="1260" spans="1:12" s="173" customFormat="1">
      <c r="A1260" s="71" t="s">
        <v>250</v>
      </c>
      <c r="B1260" s="78" t="s">
        <v>251</v>
      </c>
      <c r="C1260" s="271">
        <f>VLOOKUP($A$8:$A$1487,'[7]MFP''s'!A$8:C$1502,3,FALSE)</f>
        <v>1484</v>
      </c>
      <c r="D1260" s="364">
        <v>673</v>
      </c>
      <c r="E1260" s="274">
        <f t="shared" si="117"/>
        <v>0.54649595687331542</v>
      </c>
      <c r="F1260" s="196">
        <f t="shared" si="114"/>
        <v>25.284610000000001</v>
      </c>
      <c r="G1260" s="196">
        <f t="shared" si="115"/>
        <v>19.954449999999998</v>
      </c>
      <c r="H1260" s="199">
        <f t="shared" si="116"/>
        <v>16.845189999999999</v>
      </c>
      <c r="J1260" s="172"/>
      <c r="K1260" s="172"/>
      <c r="L1260" s="172"/>
    </row>
    <row r="1261" spans="1:12" s="173" customFormat="1">
      <c r="A1261" s="71" t="s">
        <v>473</v>
      </c>
      <c r="B1261" s="78" t="s">
        <v>474</v>
      </c>
      <c r="C1261" s="271">
        <f>VLOOKUP($A$8:$A$1487,'[7]MFP''s'!A$8:C$1502,3,FALSE)</f>
        <v>2124</v>
      </c>
      <c r="D1261" s="364">
        <v>963.23</v>
      </c>
      <c r="E1261" s="274">
        <f t="shared" si="117"/>
        <v>0.54650188323917137</v>
      </c>
      <c r="F1261" s="196">
        <f t="shared" si="114"/>
        <v>36.188551099999998</v>
      </c>
      <c r="G1261" s="196">
        <f t="shared" si="115"/>
        <v>28.559769500000002</v>
      </c>
      <c r="H1261" s="199">
        <f t="shared" si="116"/>
        <v>24.109646900000001</v>
      </c>
      <c r="J1261" s="172"/>
      <c r="K1261" s="172"/>
      <c r="L1261" s="172"/>
    </row>
    <row r="1262" spans="1:12" s="173" customFormat="1">
      <c r="A1262" s="71" t="s">
        <v>475</v>
      </c>
      <c r="B1262" s="78" t="s">
        <v>476</v>
      </c>
      <c r="C1262" s="271">
        <f>VLOOKUP($A$8:$A$1487,'[7]MFP''s'!A$8:C$1502,3,FALSE)</f>
        <v>4265</v>
      </c>
      <c r="D1262" s="364">
        <v>1934.18</v>
      </c>
      <c r="E1262" s="274">
        <f t="shared" si="117"/>
        <v>0.54649941383352862</v>
      </c>
      <c r="F1262" s="196">
        <f t="shared" si="114"/>
        <v>72.667142600000005</v>
      </c>
      <c r="G1262" s="196">
        <f t="shared" si="115"/>
        <v>57.348436999999997</v>
      </c>
      <c r="H1262" s="199">
        <f t="shared" si="116"/>
        <v>48.4125254</v>
      </c>
      <c r="J1262" s="172"/>
      <c r="K1262" s="172"/>
      <c r="L1262" s="172"/>
    </row>
    <row r="1263" spans="1:12" s="173" customFormat="1">
      <c r="A1263" s="71" t="s">
        <v>508</v>
      </c>
      <c r="B1263" s="78" t="s">
        <v>477</v>
      </c>
      <c r="C1263" s="271">
        <f>VLOOKUP($A$8:$A$1487,'[7]MFP''s'!A$8:C$1502,3,FALSE)</f>
        <v>2015</v>
      </c>
      <c r="D1263" s="364">
        <v>1648</v>
      </c>
      <c r="E1263" s="274">
        <f t="shared" si="117"/>
        <v>0.18213399503722083</v>
      </c>
      <c r="F1263" s="196">
        <f t="shared" si="114"/>
        <v>61.91536</v>
      </c>
      <c r="G1263" s="196">
        <f t="shared" si="115"/>
        <v>48.863199999999999</v>
      </c>
      <c r="H1263" s="199">
        <f t="shared" si="116"/>
        <v>41.24944</v>
      </c>
      <c r="J1263" s="172"/>
      <c r="K1263" s="172"/>
      <c r="L1263" s="172"/>
    </row>
    <row r="1264" spans="1:12" s="173" customFormat="1" ht="30">
      <c r="A1264" s="71" t="s">
        <v>228</v>
      </c>
      <c r="B1264" s="78" t="s">
        <v>229</v>
      </c>
      <c r="C1264" s="271">
        <f>VLOOKUP($A$8:$A$1487,'[7]MFP''s'!A$8:C$1502,3,FALSE)</f>
        <v>600</v>
      </c>
      <c r="D1264" s="364">
        <v>273</v>
      </c>
      <c r="E1264" s="274">
        <f t="shared" si="117"/>
        <v>0.54499999999999993</v>
      </c>
      <c r="F1264" s="196">
        <f t="shared" si="114"/>
        <v>10.25661</v>
      </c>
      <c r="G1264" s="196">
        <f t="shared" si="115"/>
        <v>8.0944500000000001</v>
      </c>
      <c r="H1264" s="199">
        <f t="shared" si="116"/>
        <v>6.8331900000000001</v>
      </c>
      <c r="J1264" s="172"/>
      <c r="K1264" s="172"/>
      <c r="L1264" s="172"/>
    </row>
    <row r="1265" spans="1:12" s="173" customFormat="1" ht="30">
      <c r="A1265" s="71" t="s">
        <v>230</v>
      </c>
      <c r="B1265" s="78" t="s">
        <v>231</v>
      </c>
      <c r="C1265" s="271">
        <f>VLOOKUP($A$8:$A$1487,'[7]MFP''s'!A$8:C$1502,3,FALSE)</f>
        <v>600</v>
      </c>
      <c r="D1265" s="364">
        <v>273</v>
      </c>
      <c r="E1265" s="274">
        <f t="shared" si="117"/>
        <v>0.54499999999999993</v>
      </c>
      <c r="F1265" s="196">
        <f t="shared" si="114"/>
        <v>10.25661</v>
      </c>
      <c r="G1265" s="196">
        <f t="shared" si="115"/>
        <v>8.0944500000000001</v>
      </c>
      <c r="H1265" s="199">
        <f t="shared" si="116"/>
        <v>6.8331900000000001</v>
      </c>
      <c r="J1265" s="172"/>
      <c r="K1265" s="172"/>
      <c r="L1265" s="172"/>
    </row>
    <row r="1266" spans="1:12" s="173" customFormat="1" ht="30">
      <c r="A1266" s="71" t="s">
        <v>232</v>
      </c>
      <c r="B1266" s="78" t="s">
        <v>233</v>
      </c>
      <c r="C1266" s="271">
        <f>VLOOKUP($A$8:$A$1487,'[7]MFP''s'!A$8:C$1502,3,FALSE)</f>
        <v>600</v>
      </c>
      <c r="D1266" s="364">
        <v>273</v>
      </c>
      <c r="E1266" s="274">
        <f t="shared" si="117"/>
        <v>0.54499999999999993</v>
      </c>
      <c r="F1266" s="196">
        <f t="shared" si="114"/>
        <v>10.25661</v>
      </c>
      <c r="G1266" s="196">
        <f t="shared" si="115"/>
        <v>8.0944500000000001</v>
      </c>
      <c r="H1266" s="199">
        <f t="shared" si="116"/>
        <v>6.8331900000000001</v>
      </c>
      <c r="J1266" s="172"/>
      <c r="K1266" s="172"/>
      <c r="L1266" s="172"/>
    </row>
    <row r="1267" spans="1:12" s="173" customFormat="1">
      <c r="A1267" s="71" t="s">
        <v>234</v>
      </c>
      <c r="B1267" s="78" t="s">
        <v>235</v>
      </c>
      <c r="C1267" s="271">
        <f>VLOOKUP($A$8:$A$1487,'[7]MFP''s'!A$8:C$1502,3,FALSE)</f>
        <v>600</v>
      </c>
      <c r="D1267" s="364">
        <v>273</v>
      </c>
      <c r="E1267" s="274">
        <f t="shared" si="117"/>
        <v>0.54499999999999993</v>
      </c>
      <c r="F1267" s="196">
        <f t="shared" si="114"/>
        <v>10.25661</v>
      </c>
      <c r="G1267" s="196">
        <f t="shared" si="115"/>
        <v>8.0944500000000001</v>
      </c>
      <c r="H1267" s="199">
        <f t="shared" si="116"/>
        <v>6.8331900000000001</v>
      </c>
      <c r="J1267" s="172"/>
      <c r="K1267" s="172"/>
      <c r="L1267" s="172"/>
    </row>
    <row r="1268" spans="1:12" s="173" customFormat="1">
      <c r="A1268" s="169" t="s">
        <v>283</v>
      </c>
      <c r="B1268" s="78"/>
      <c r="C1268" s="271"/>
      <c r="D1268" s="364"/>
      <c r="E1268" s="274"/>
      <c r="F1268" s="196">
        <f t="shared" si="114"/>
        <v>0</v>
      </c>
      <c r="G1268" s="196">
        <f t="shared" si="115"/>
        <v>0</v>
      </c>
      <c r="H1268" s="199">
        <f t="shared" si="116"/>
        <v>0</v>
      </c>
      <c r="J1268" s="172"/>
      <c r="K1268" s="172"/>
      <c r="L1268" s="172"/>
    </row>
    <row r="1269" spans="1:12" s="173" customFormat="1">
      <c r="A1269" s="71" t="s">
        <v>478</v>
      </c>
      <c r="B1269" s="78" t="s">
        <v>479</v>
      </c>
      <c r="C1269" s="271">
        <f>VLOOKUP($A$8:$A$1487,'[7]MFP''s'!A$8:C$1502,3,FALSE)</f>
        <v>1200</v>
      </c>
      <c r="D1269" s="364">
        <v>753.12</v>
      </c>
      <c r="E1269" s="274">
        <f t="shared" si="117"/>
        <v>0.37239999999999995</v>
      </c>
      <c r="F1269" s="196">
        <f t="shared" si="114"/>
        <v>28.294718400000001</v>
      </c>
      <c r="G1269" s="196">
        <f t="shared" si="115"/>
        <v>22.330007999999999</v>
      </c>
      <c r="H1269" s="199">
        <f t="shared" si="116"/>
        <v>18.8505936</v>
      </c>
      <c r="J1269" s="172"/>
      <c r="K1269" s="172"/>
      <c r="L1269" s="172"/>
    </row>
    <row r="1270" spans="1:12" s="173" customFormat="1">
      <c r="A1270" s="169" t="s">
        <v>285</v>
      </c>
      <c r="B1270" s="78"/>
      <c r="C1270" s="271"/>
      <c r="D1270" s="364"/>
      <c r="E1270" s="274"/>
      <c r="F1270" s="196"/>
      <c r="G1270" s="196"/>
      <c r="H1270" s="199"/>
      <c r="J1270" s="172"/>
      <c r="K1270" s="172"/>
      <c r="L1270" s="172"/>
    </row>
    <row r="1271" spans="1:12" s="173" customFormat="1">
      <c r="A1271" s="71" t="s">
        <v>480</v>
      </c>
      <c r="B1271" s="78" t="s">
        <v>481</v>
      </c>
      <c r="C1271" s="271">
        <f>VLOOKUP($A$8:$A$1487,'[7]MFP''s'!A$8:C$1502,3,FALSE)</f>
        <v>9000</v>
      </c>
      <c r="D1271" s="364">
        <v>4950</v>
      </c>
      <c r="E1271" s="274">
        <f t="shared" si="117"/>
        <v>0.44999999999999996</v>
      </c>
      <c r="F1271" s="196">
        <f t="shared" si="114"/>
        <v>185.97149999999999</v>
      </c>
      <c r="G1271" s="196">
        <f t="shared" si="115"/>
        <v>146.76749999999998</v>
      </c>
      <c r="H1271" s="199">
        <f t="shared" si="116"/>
        <v>123.8985</v>
      </c>
      <c r="J1271" s="172"/>
      <c r="K1271" s="172"/>
      <c r="L1271" s="172"/>
    </row>
    <row r="1272" spans="1:12" s="173" customFormat="1">
      <c r="A1272" s="71" t="s">
        <v>482</v>
      </c>
      <c r="B1272" s="78" t="s">
        <v>483</v>
      </c>
      <c r="C1272" s="271">
        <f>VLOOKUP($A$8:$A$1487,'[7]MFP''s'!A$8:C$1502,3,FALSE)</f>
        <v>30492</v>
      </c>
      <c r="D1272" s="364">
        <v>16770.600000000002</v>
      </c>
      <c r="E1272" s="274">
        <f t="shared" si="117"/>
        <v>0.44999999999999996</v>
      </c>
      <c r="F1272" s="196">
        <f t="shared" si="114"/>
        <v>630.07144200000005</v>
      </c>
      <c r="G1272" s="196">
        <f t="shared" si="115"/>
        <v>497.24829000000005</v>
      </c>
      <c r="H1272" s="199">
        <f t="shared" si="116"/>
        <v>419.76811800000007</v>
      </c>
      <c r="J1272" s="172"/>
      <c r="K1272" s="172"/>
      <c r="L1272" s="172"/>
    </row>
    <row r="1273" spans="1:12" s="173" customFormat="1">
      <c r="A1273" s="71" t="s">
        <v>512</v>
      </c>
      <c r="B1273" s="78" t="s">
        <v>513</v>
      </c>
      <c r="C1273" s="271">
        <f>VLOOKUP($A$8:$A$1487,'[7]MFP''s'!A$8:C$1502,3,FALSE)</f>
        <v>5300</v>
      </c>
      <c r="D1273" s="364">
        <v>3088.86</v>
      </c>
      <c r="E1273" s="274">
        <f t="shared" si="117"/>
        <v>0.41719622641509435</v>
      </c>
      <c r="F1273" s="196">
        <f t="shared" si="114"/>
        <v>116.0484702</v>
      </c>
      <c r="G1273" s="196">
        <f t="shared" si="115"/>
        <v>91.584699000000001</v>
      </c>
      <c r="H1273" s="199">
        <f t="shared" si="116"/>
        <v>77.314165799999998</v>
      </c>
      <c r="J1273" s="172"/>
      <c r="K1273" s="172"/>
      <c r="L1273" s="172"/>
    </row>
    <row r="1274" spans="1:12" s="173" customFormat="1">
      <c r="A1274" s="71" t="s">
        <v>514</v>
      </c>
      <c r="B1274" s="78" t="s">
        <v>515</v>
      </c>
      <c r="C1274" s="271">
        <f>VLOOKUP($A$8:$A$1487,'[7]MFP''s'!A$8:C$1502,3,FALSE)</f>
        <v>2500</v>
      </c>
      <c r="D1274" s="364">
        <v>1388.89</v>
      </c>
      <c r="E1274" s="274">
        <f t="shared" si="117"/>
        <v>0.44444399999999995</v>
      </c>
      <c r="F1274" s="196">
        <f t="shared" si="114"/>
        <v>52.180597300000002</v>
      </c>
      <c r="G1274" s="196">
        <f t="shared" si="115"/>
        <v>41.180588499999999</v>
      </c>
      <c r="H1274" s="199">
        <f t="shared" si="116"/>
        <v>34.763916700000003</v>
      </c>
      <c r="J1274" s="172"/>
      <c r="K1274" s="172"/>
      <c r="L1274" s="172"/>
    </row>
    <row r="1275" spans="1:12" s="173" customFormat="1">
      <c r="A1275" s="71" t="s">
        <v>516</v>
      </c>
      <c r="B1275" s="78" t="s">
        <v>517</v>
      </c>
      <c r="C1275" s="271">
        <f>VLOOKUP($A$8:$A$1487,'[7]MFP''s'!A$8:C$1502,3,FALSE)</f>
        <v>1100</v>
      </c>
      <c r="D1275" s="364">
        <v>629.44000000000005</v>
      </c>
      <c r="E1275" s="274">
        <f t="shared" si="117"/>
        <v>0.42778181818181815</v>
      </c>
      <c r="F1275" s="196">
        <f t="shared" si="114"/>
        <v>23.648060800000003</v>
      </c>
      <c r="G1275" s="196">
        <f t="shared" si="115"/>
        <v>18.662896</v>
      </c>
      <c r="H1275" s="199">
        <f t="shared" si="116"/>
        <v>15.754883200000002</v>
      </c>
      <c r="J1275" s="172"/>
      <c r="K1275" s="172"/>
      <c r="L1275" s="172"/>
    </row>
    <row r="1276" spans="1:12" s="173" customFormat="1">
      <c r="A1276" s="71" t="s">
        <v>518</v>
      </c>
      <c r="B1276" s="78" t="s">
        <v>519</v>
      </c>
      <c r="C1276" s="271">
        <f>VLOOKUP($A$8:$A$1487,'[7]MFP''s'!A$8:C$1502,3,FALSE)</f>
        <v>3000</v>
      </c>
      <c r="D1276" s="364">
        <v>1773.89</v>
      </c>
      <c r="E1276" s="274">
        <f t="shared" si="117"/>
        <v>0.40870333333333331</v>
      </c>
      <c r="F1276" s="196">
        <f t="shared" si="114"/>
        <v>66.645047300000002</v>
      </c>
      <c r="G1276" s="196">
        <f t="shared" si="115"/>
        <v>52.595838499999999</v>
      </c>
      <c r="H1276" s="199">
        <f t="shared" si="116"/>
        <v>44.400466700000003</v>
      </c>
      <c r="J1276" s="172"/>
      <c r="K1276" s="172"/>
      <c r="L1276" s="172"/>
    </row>
    <row r="1277" spans="1:12" s="173" customFormat="1">
      <c r="A1277" s="71" t="s">
        <v>520</v>
      </c>
      <c r="B1277" s="78" t="s">
        <v>521</v>
      </c>
      <c r="C1277" s="271">
        <f>VLOOKUP($A$8:$A$1487,'[7]MFP''s'!A$8:C$1502,3,FALSE)</f>
        <v>3500</v>
      </c>
      <c r="D1277" s="364">
        <v>2625</v>
      </c>
      <c r="E1277" s="274">
        <f t="shared" si="117"/>
        <v>0.25</v>
      </c>
      <c r="F1277" s="196">
        <f t="shared" si="114"/>
        <v>98.621250000000003</v>
      </c>
      <c r="G1277" s="196">
        <f t="shared" si="115"/>
        <v>77.831249999999997</v>
      </c>
      <c r="H1277" s="199">
        <f t="shared" si="116"/>
        <v>65.703749999999999</v>
      </c>
      <c r="J1277" s="172"/>
      <c r="K1277" s="172"/>
      <c r="L1277" s="172"/>
    </row>
    <row r="1278" spans="1:12" s="173" customFormat="1">
      <c r="A1278" s="71" t="s">
        <v>522</v>
      </c>
      <c r="B1278" s="78" t="s">
        <v>523</v>
      </c>
      <c r="C1278" s="271">
        <f>VLOOKUP($A$8:$A$1487,'[7]MFP''s'!A$8:C$1502,3,FALSE)</f>
        <v>995</v>
      </c>
      <c r="D1278" s="364">
        <v>471.92850000000004</v>
      </c>
      <c r="E1278" s="274">
        <f t="shared" si="117"/>
        <v>0.52569999999999995</v>
      </c>
      <c r="F1278" s="196">
        <f t="shared" si="114"/>
        <v>17.730353745000002</v>
      </c>
      <c r="G1278" s="196">
        <f t="shared" si="115"/>
        <v>13.992680025</v>
      </c>
      <c r="H1278" s="199">
        <f t="shared" si="116"/>
        <v>11.812370355000001</v>
      </c>
      <c r="J1278" s="172"/>
      <c r="K1278" s="172"/>
      <c r="L1278" s="172"/>
    </row>
    <row r="1279" spans="1:12" s="173" customFormat="1">
      <c r="A1279" s="71" t="s">
        <v>524</v>
      </c>
      <c r="B1279" s="78" t="s">
        <v>525</v>
      </c>
      <c r="C1279" s="271">
        <f>VLOOKUP($A$8:$A$1487,'[7]MFP''s'!A$8:C$1502,3,FALSE)</f>
        <v>995</v>
      </c>
      <c r="D1279" s="364">
        <v>471.92850000000004</v>
      </c>
      <c r="E1279" s="274">
        <f t="shared" si="117"/>
        <v>0.52569999999999995</v>
      </c>
      <c r="F1279" s="196">
        <f t="shared" si="114"/>
        <v>17.730353745000002</v>
      </c>
      <c r="G1279" s="196">
        <f t="shared" si="115"/>
        <v>13.992680025</v>
      </c>
      <c r="H1279" s="199">
        <f t="shared" si="116"/>
        <v>11.812370355000001</v>
      </c>
      <c r="J1279" s="172"/>
      <c r="K1279" s="172"/>
      <c r="L1279" s="172"/>
    </row>
    <row r="1280" spans="1:12" s="173" customFormat="1">
      <c r="A1280" s="71" t="s">
        <v>526</v>
      </c>
      <c r="B1280" s="78" t="s">
        <v>527</v>
      </c>
      <c r="C1280" s="271">
        <f>VLOOKUP($A$8:$A$1487,'[7]MFP''s'!A$8:C$1502,3,FALSE)</f>
        <v>995</v>
      </c>
      <c r="D1280" s="364">
        <v>471.92850000000004</v>
      </c>
      <c r="E1280" s="274">
        <f t="shared" si="117"/>
        <v>0.52569999999999995</v>
      </c>
      <c r="F1280" s="196">
        <f t="shared" si="114"/>
        <v>17.730353745000002</v>
      </c>
      <c r="G1280" s="196">
        <f t="shared" si="115"/>
        <v>13.992680025</v>
      </c>
      <c r="H1280" s="199">
        <f t="shared" si="116"/>
        <v>11.812370355000001</v>
      </c>
      <c r="J1280" s="172"/>
      <c r="K1280" s="172"/>
      <c r="L1280" s="172"/>
    </row>
    <row r="1281" spans="1:12" s="173" customFormat="1">
      <c r="A1281" s="71" t="s">
        <v>528</v>
      </c>
      <c r="B1281" s="78" t="s">
        <v>529</v>
      </c>
      <c r="C1281" s="271">
        <f>VLOOKUP($A$8:$A$1487,'[7]MFP''s'!A$8:C$1502,3,FALSE)</f>
        <v>7000</v>
      </c>
      <c r="D1281" s="364">
        <v>5250</v>
      </c>
      <c r="E1281" s="274">
        <f t="shared" si="117"/>
        <v>0.25</v>
      </c>
      <c r="F1281" s="196">
        <f t="shared" si="114"/>
        <v>197.24250000000001</v>
      </c>
      <c r="G1281" s="196">
        <f t="shared" si="115"/>
        <v>155.66249999999999</v>
      </c>
      <c r="H1281" s="199">
        <f t="shared" si="116"/>
        <v>131.4075</v>
      </c>
      <c r="J1281" s="172"/>
      <c r="K1281" s="172"/>
      <c r="L1281" s="172"/>
    </row>
    <row r="1282" spans="1:12" s="173" customFormat="1">
      <c r="A1282" s="71" t="s">
        <v>530</v>
      </c>
      <c r="B1282" s="78" t="s">
        <v>531</v>
      </c>
      <c r="C1282" s="271">
        <f>VLOOKUP($A$8:$A$1487,'[7]MFP''s'!A$8:C$1502,3,FALSE)</f>
        <v>1200</v>
      </c>
      <c r="D1282" s="364">
        <v>900</v>
      </c>
      <c r="E1282" s="274">
        <f t="shared" si="117"/>
        <v>0.25</v>
      </c>
      <c r="F1282" s="196">
        <f t="shared" si="114"/>
        <v>33.813000000000002</v>
      </c>
      <c r="G1282" s="196">
        <f t="shared" si="115"/>
        <v>26.684999999999999</v>
      </c>
      <c r="H1282" s="199">
        <f t="shared" si="116"/>
        <v>22.527000000000001</v>
      </c>
      <c r="J1282" s="172"/>
      <c r="K1282" s="172"/>
      <c r="L1282" s="172"/>
    </row>
    <row r="1283" spans="1:12" s="173" customFormat="1" ht="30">
      <c r="A1283" s="71" t="s">
        <v>532</v>
      </c>
      <c r="B1283" s="78" t="s">
        <v>533</v>
      </c>
      <c r="C1283" s="271">
        <f>VLOOKUP($A$8:$A$1487,'[7]MFP''s'!A$8:C$1502,3,FALSE)</f>
        <v>2670</v>
      </c>
      <c r="D1283" s="364">
        <v>2002.5</v>
      </c>
      <c r="E1283" s="274">
        <f t="shared" si="117"/>
        <v>0.25</v>
      </c>
      <c r="F1283" s="196">
        <f t="shared" ref="F1283:F1345" si="118">D1283*$F$1</f>
        <v>75.233924999999999</v>
      </c>
      <c r="G1283" s="196">
        <f t="shared" si="115"/>
        <v>59.374124999999999</v>
      </c>
      <c r="H1283" s="199">
        <f t="shared" si="116"/>
        <v>50.122574999999998</v>
      </c>
      <c r="J1283" s="172"/>
      <c r="K1283" s="172"/>
      <c r="L1283" s="172"/>
    </row>
    <row r="1284" spans="1:12" s="173" customFormat="1" ht="30">
      <c r="A1284" s="71" t="s">
        <v>534</v>
      </c>
      <c r="B1284" s="78" t="s">
        <v>535</v>
      </c>
      <c r="C1284" s="271">
        <f>VLOOKUP($A$8:$A$1487,'[7]MFP''s'!A$8:C$1502,3,FALSE)</f>
        <v>11625</v>
      </c>
      <c r="D1284" s="364">
        <v>8718.75</v>
      </c>
      <c r="E1284" s="274">
        <f t="shared" si="117"/>
        <v>0.25</v>
      </c>
      <c r="F1284" s="196">
        <f t="shared" si="118"/>
        <v>327.56343750000002</v>
      </c>
      <c r="G1284" s="196">
        <f t="shared" si="115"/>
        <v>258.51093750000001</v>
      </c>
      <c r="H1284" s="199">
        <f t="shared" si="116"/>
        <v>218.2303125</v>
      </c>
      <c r="J1284" s="172"/>
      <c r="K1284" s="172"/>
      <c r="L1284" s="172"/>
    </row>
    <row r="1285" spans="1:12" s="173" customFormat="1">
      <c r="A1285" s="71" t="s">
        <v>536</v>
      </c>
      <c r="B1285" s="78" t="s">
        <v>537</v>
      </c>
      <c r="C1285" s="271">
        <f>VLOOKUP($A$8:$A$1487,'[7]MFP''s'!A$8:C$1502,3,FALSE)</f>
        <v>700</v>
      </c>
      <c r="D1285" s="364">
        <v>525</v>
      </c>
      <c r="E1285" s="274">
        <f t="shared" si="117"/>
        <v>0.25</v>
      </c>
      <c r="F1285" s="196">
        <f t="shared" si="118"/>
        <v>19.724249999999998</v>
      </c>
      <c r="G1285" s="196">
        <f t="shared" si="115"/>
        <v>15.56625</v>
      </c>
      <c r="H1285" s="199">
        <f t="shared" si="116"/>
        <v>13.140750000000001</v>
      </c>
      <c r="J1285" s="172"/>
      <c r="K1285" s="172"/>
      <c r="L1285" s="172"/>
    </row>
    <row r="1286" spans="1:12" s="173" customFormat="1">
      <c r="A1286" s="71" t="s">
        <v>484</v>
      </c>
      <c r="B1286" s="78" t="s">
        <v>485</v>
      </c>
      <c r="C1286" s="271">
        <f>VLOOKUP($A$8:$A$1487,'[7]MFP''s'!A$8:C$1502,3,FALSE)</f>
        <v>5040</v>
      </c>
      <c r="D1286" s="364">
        <v>2772</v>
      </c>
      <c r="E1286" s="274">
        <f t="shared" si="117"/>
        <v>0.44999999999999996</v>
      </c>
      <c r="F1286" s="196">
        <f t="shared" si="118"/>
        <v>104.14404</v>
      </c>
      <c r="G1286" s="196">
        <f t="shared" si="115"/>
        <v>82.189799999999991</v>
      </c>
      <c r="H1286" s="199">
        <f t="shared" si="116"/>
        <v>69.383160000000004</v>
      </c>
      <c r="J1286" s="172"/>
      <c r="K1286" s="172"/>
      <c r="L1286" s="172"/>
    </row>
    <row r="1287" spans="1:12" s="173" customFormat="1">
      <c r="A1287" s="71" t="s">
        <v>509</v>
      </c>
      <c r="B1287" s="78" t="s">
        <v>486</v>
      </c>
      <c r="C1287" s="271">
        <f>VLOOKUP($A$8:$A$1487,'[7]MFP''s'!A$8:C$1502,3,FALSE)</f>
        <v>6400</v>
      </c>
      <c r="D1287" s="364">
        <v>3520.0000000000005</v>
      </c>
      <c r="E1287" s="274">
        <f t="shared" si="117"/>
        <v>0.44999999999999996</v>
      </c>
      <c r="F1287" s="196">
        <f t="shared" si="118"/>
        <v>132.24640000000002</v>
      </c>
      <c r="G1287" s="196">
        <f t="shared" si="115"/>
        <v>104.36800000000001</v>
      </c>
      <c r="H1287" s="199">
        <f t="shared" si="116"/>
        <v>88.10560000000001</v>
      </c>
      <c r="J1287" s="172"/>
      <c r="K1287" s="172"/>
      <c r="L1287" s="172"/>
    </row>
    <row r="1288" spans="1:12" s="173" customFormat="1">
      <c r="A1288" s="71" t="s">
        <v>456</v>
      </c>
      <c r="B1288" s="78" t="s">
        <v>457</v>
      </c>
      <c r="C1288" s="271">
        <f>VLOOKUP($A$8:$A$1487,'[7]MFP''s'!A$8:C$1502,3,FALSE)</f>
        <v>1000</v>
      </c>
      <c r="D1288" s="364">
        <v>555.1</v>
      </c>
      <c r="E1288" s="274">
        <f t="shared" si="117"/>
        <v>0.44489999999999996</v>
      </c>
      <c r="F1288" s="196">
        <f t="shared" si="118"/>
        <v>20.855107</v>
      </c>
      <c r="G1288" s="196">
        <f t="shared" si="115"/>
        <v>16.458715000000002</v>
      </c>
      <c r="H1288" s="199">
        <f t="shared" si="116"/>
        <v>13.894153000000001</v>
      </c>
      <c r="J1288" s="172"/>
      <c r="K1288" s="172"/>
      <c r="L1288" s="172"/>
    </row>
    <row r="1289" spans="1:12" s="173" customFormat="1">
      <c r="A1289" s="71" t="s">
        <v>487</v>
      </c>
      <c r="B1289" s="78" t="s">
        <v>488</v>
      </c>
      <c r="C1289" s="271">
        <f>VLOOKUP($A$8:$A$1487,'[7]MFP''s'!A$8:C$1502,3,FALSE)</f>
        <v>2100</v>
      </c>
      <c r="D1289" s="364">
        <v>1155</v>
      </c>
      <c r="E1289" s="274">
        <f t="shared" si="117"/>
        <v>0.44999999999999996</v>
      </c>
      <c r="F1289" s="196">
        <f t="shared" si="118"/>
        <v>43.393349999999998</v>
      </c>
      <c r="G1289" s="196">
        <f t="shared" si="115"/>
        <v>34.245750000000001</v>
      </c>
      <c r="H1289" s="199">
        <f t="shared" si="116"/>
        <v>28.909649999999999</v>
      </c>
      <c r="J1289" s="172"/>
      <c r="K1289" s="172"/>
      <c r="L1289" s="172"/>
    </row>
    <row r="1290" spans="1:12" s="173" customFormat="1">
      <c r="A1290" s="71" t="s">
        <v>489</v>
      </c>
      <c r="B1290" s="78" t="s">
        <v>490</v>
      </c>
      <c r="C1290" s="271">
        <f>VLOOKUP($A$8:$A$1487,'[7]MFP''s'!A$8:C$1502,3,FALSE)</f>
        <v>1000</v>
      </c>
      <c r="D1290" s="364">
        <v>550</v>
      </c>
      <c r="E1290" s="274">
        <f t="shared" si="117"/>
        <v>0.44999999999999996</v>
      </c>
      <c r="F1290" s="196">
        <f t="shared" si="118"/>
        <v>20.663499999999999</v>
      </c>
      <c r="G1290" s="196">
        <f t="shared" si="115"/>
        <v>16.307500000000001</v>
      </c>
      <c r="H1290" s="199">
        <f t="shared" si="116"/>
        <v>13.766500000000001</v>
      </c>
      <c r="J1290" s="172"/>
      <c r="K1290" s="172"/>
      <c r="L1290" s="172"/>
    </row>
    <row r="1291" spans="1:12" s="173" customFormat="1">
      <c r="A1291" s="71" t="s">
        <v>538</v>
      </c>
      <c r="B1291" s="78" t="s">
        <v>539</v>
      </c>
      <c r="C1291" s="271">
        <f>VLOOKUP($A$8:$A$1487,'[7]MFP''s'!A$8:C$1502,3,FALSE)</f>
        <v>25000</v>
      </c>
      <c r="D1291" s="364">
        <v>13000</v>
      </c>
      <c r="E1291" s="274">
        <f t="shared" si="117"/>
        <v>0.48</v>
      </c>
      <c r="F1291" s="196">
        <f t="shared" si="118"/>
        <v>488.40999999999997</v>
      </c>
      <c r="G1291" s="196">
        <f t="shared" ref="G1291:G1352" si="119">D1291*$G$1</f>
        <v>385.45</v>
      </c>
      <c r="H1291" s="199">
        <f t="shared" ref="H1291:H1352" si="120">D1291*$H$1</f>
        <v>325.39</v>
      </c>
      <c r="J1291" s="172"/>
      <c r="K1291" s="172"/>
      <c r="L1291" s="172"/>
    </row>
    <row r="1292" spans="1:12" s="173" customFormat="1">
      <c r="A1292" s="71" t="s">
        <v>540</v>
      </c>
      <c r="B1292" s="78" t="s">
        <v>541</v>
      </c>
      <c r="C1292" s="271">
        <f>VLOOKUP($A$8:$A$1487,'[7]MFP''s'!A$8:C$1502,3,FALSE)</f>
        <v>5200</v>
      </c>
      <c r="D1292" s="364">
        <v>2888.89</v>
      </c>
      <c r="E1292" s="274">
        <f t="shared" si="117"/>
        <v>0.44444423076923079</v>
      </c>
      <c r="F1292" s="196">
        <f t="shared" si="118"/>
        <v>108.53559729999999</v>
      </c>
      <c r="G1292" s="196">
        <f t="shared" si="119"/>
        <v>85.655588499999993</v>
      </c>
      <c r="H1292" s="199">
        <f t="shared" si="120"/>
        <v>72.308916699999997</v>
      </c>
      <c r="J1292" s="172"/>
      <c r="K1292" s="172"/>
      <c r="L1292" s="172"/>
    </row>
    <row r="1293" spans="1:12" s="173" customFormat="1">
      <c r="A1293" s="71" t="s">
        <v>542</v>
      </c>
      <c r="B1293" s="78" t="s">
        <v>543</v>
      </c>
      <c r="C1293" s="271">
        <f>VLOOKUP($A$8:$A$1487,'[7]MFP''s'!A$8:C$1502,3,FALSE)</f>
        <v>5200</v>
      </c>
      <c r="D1293" s="364">
        <v>2888.89</v>
      </c>
      <c r="E1293" s="274">
        <f t="shared" si="117"/>
        <v>0.44444423076923079</v>
      </c>
      <c r="F1293" s="196">
        <f t="shared" si="118"/>
        <v>108.53559729999999</v>
      </c>
      <c r="G1293" s="196">
        <f t="shared" si="119"/>
        <v>85.655588499999993</v>
      </c>
      <c r="H1293" s="199">
        <f t="shared" si="120"/>
        <v>72.308916699999997</v>
      </c>
      <c r="J1293" s="172"/>
      <c r="K1293" s="172"/>
      <c r="L1293" s="172"/>
    </row>
    <row r="1294" spans="1:12" s="173" customFormat="1">
      <c r="A1294" s="71" t="s">
        <v>544</v>
      </c>
      <c r="B1294" s="78" t="s">
        <v>545</v>
      </c>
      <c r="C1294" s="271">
        <f>VLOOKUP($A$8:$A$1487,'[7]MFP''s'!A$8:C$1502,3,FALSE)</f>
        <v>5200</v>
      </c>
      <c r="D1294" s="364">
        <v>2888.89</v>
      </c>
      <c r="E1294" s="274">
        <f t="shared" si="117"/>
        <v>0.44444423076923079</v>
      </c>
      <c r="F1294" s="196">
        <f t="shared" si="118"/>
        <v>108.53559729999999</v>
      </c>
      <c r="G1294" s="196">
        <f t="shared" si="119"/>
        <v>85.655588499999993</v>
      </c>
      <c r="H1294" s="199">
        <f t="shared" si="120"/>
        <v>72.308916699999997</v>
      </c>
      <c r="J1294" s="172"/>
      <c r="K1294" s="172"/>
      <c r="L1294" s="172"/>
    </row>
    <row r="1295" spans="1:12" s="173" customFormat="1">
      <c r="A1295" s="71" t="s">
        <v>546</v>
      </c>
      <c r="B1295" s="78" t="s">
        <v>547</v>
      </c>
      <c r="C1295" s="271">
        <f>VLOOKUP($A$8:$A$1487,'[7]MFP''s'!A$8:C$1502,3,FALSE)</f>
        <v>2395</v>
      </c>
      <c r="D1295" s="364">
        <v>1328.89</v>
      </c>
      <c r="E1295" s="274">
        <f t="shared" si="117"/>
        <v>0.4451398747390396</v>
      </c>
      <c r="F1295" s="196">
        <f t="shared" si="118"/>
        <v>49.926397300000005</v>
      </c>
      <c r="G1295" s="196">
        <f t="shared" si="119"/>
        <v>39.401588500000003</v>
      </c>
      <c r="H1295" s="199">
        <f t="shared" si="120"/>
        <v>33.2621167</v>
      </c>
      <c r="J1295" s="172"/>
      <c r="K1295" s="172"/>
      <c r="L1295" s="172"/>
    </row>
    <row r="1296" spans="1:12" s="173" customFormat="1">
      <c r="A1296" s="71" t="s">
        <v>548</v>
      </c>
      <c r="B1296" s="78" t="s">
        <v>549</v>
      </c>
      <c r="C1296" s="271">
        <f>VLOOKUP($A$8:$A$1487,'[7]MFP''s'!A$8:C$1502,3,FALSE)</f>
        <v>9995</v>
      </c>
      <c r="D1296" s="364">
        <v>5488.89</v>
      </c>
      <c r="E1296" s="274">
        <f t="shared" si="117"/>
        <v>0.45083641820910447</v>
      </c>
      <c r="F1296" s="196">
        <f t="shared" si="118"/>
        <v>206.21759729999999</v>
      </c>
      <c r="G1296" s="196">
        <f t="shared" si="119"/>
        <v>162.7455885</v>
      </c>
      <c r="H1296" s="199">
        <f t="shared" si="120"/>
        <v>137.3869167</v>
      </c>
      <c r="J1296" s="172"/>
      <c r="K1296" s="172"/>
      <c r="L1296" s="172"/>
    </row>
    <row r="1297" spans="1:29" s="173" customFormat="1">
      <c r="A1297" s="71" t="s">
        <v>550</v>
      </c>
      <c r="B1297" s="78" t="s">
        <v>317</v>
      </c>
      <c r="C1297" s="271">
        <f>VLOOKUP($A$8:$A$1487,'[7]MFP''s'!A$8:C$1502,3,FALSE)</f>
        <v>954</v>
      </c>
      <c r="D1297" s="364">
        <v>529</v>
      </c>
      <c r="E1297" s="274">
        <f t="shared" si="117"/>
        <v>0.4454926624737946</v>
      </c>
      <c r="F1297" s="196">
        <f t="shared" si="118"/>
        <v>19.87453</v>
      </c>
      <c r="G1297" s="196">
        <f t="shared" si="119"/>
        <v>15.684849999999999</v>
      </c>
      <c r="H1297" s="199">
        <f t="shared" si="120"/>
        <v>13.240869999999999</v>
      </c>
      <c r="I1297" s="174"/>
      <c r="J1297" s="172"/>
      <c r="K1297" s="172"/>
      <c r="L1297" s="172"/>
    </row>
    <row r="1298" spans="1:29" s="173" customFormat="1">
      <c r="A1298" s="169" t="s">
        <v>47</v>
      </c>
      <c r="B1298" s="78"/>
      <c r="C1298" s="271"/>
      <c r="D1298" s="364"/>
      <c r="E1298" s="274"/>
      <c r="F1298" s="196"/>
      <c r="G1298" s="196"/>
      <c r="H1298" s="199"/>
      <c r="J1298" s="172"/>
      <c r="K1298" s="172"/>
      <c r="L1298" s="172"/>
    </row>
    <row r="1299" spans="1:29" s="173" customFormat="1">
      <c r="A1299" s="71" t="s">
        <v>440</v>
      </c>
      <c r="B1299" s="78" t="s">
        <v>441</v>
      </c>
      <c r="C1299" s="271">
        <f>VLOOKUP($A$8:$A$1487,'[7]MFP''s'!A$8:C$1502,3,FALSE)</f>
        <v>350</v>
      </c>
      <c r="D1299" s="364">
        <v>209.81</v>
      </c>
      <c r="E1299" s="274">
        <f t="shared" si="117"/>
        <v>0.40054285714285709</v>
      </c>
      <c r="F1299" s="196">
        <f t="shared" si="118"/>
        <v>7.8825617000000001</v>
      </c>
      <c r="G1299" s="196">
        <f t="shared" si="119"/>
        <v>6.2208664999999996</v>
      </c>
      <c r="H1299" s="199">
        <f t="shared" si="120"/>
        <v>5.2515442999999999</v>
      </c>
      <c r="J1299" s="172"/>
      <c r="K1299" s="172"/>
      <c r="L1299" s="172"/>
    </row>
    <row r="1300" spans="1:29" s="173" customFormat="1">
      <c r="A1300" s="71" t="s">
        <v>442</v>
      </c>
      <c r="B1300" s="78" t="s">
        <v>443</v>
      </c>
      <c r="C1300" s="271">
        <f>VLOOKUP($A$8:$A$1487,'[7]MFP''s'!A$8:C$1502,3,FALSE)</f>
        <v>1059</v>
      </c>
      <c r="D1300" s="364">
        <v>875</v>
      </c>
      <c r="E1300" s="274">
        <f t="shared" si="117"/>
        <v>0.17374881964117095</v>
      </c>
      <c r="F1300" s="196">
        <f t="shared" si="118"/>
        <v>32.873750000000001</v>
      </c>
      <c r="G1300" s="196">
        <f t="shared" si="119"/>
        <v>25.943749999999998</v>
      </c>
      <c r="H1300" s="199">
        <f t="shared" si="120"/>
        <v>21.901250000000001</v>
      </c>
      <c r="J1300" s="172"/>
      <c r="K1300" s="172"/>
      <c r="L1300" s="172"/>
    </row>
    <row r="1301" spans="1:29" s="173" customFormat="1">
      <c r="A1301" s="71" t="s">
        <v>385</v>
      </c>
      <c r="B1301" s="78" t="s">
        <v>386</v>
      </c>
      <c r="C1301" s="271">
        <f>VLOOKUP($A$8:$A$1487,'[7]MFP''s'!A$8:C$1502,3,FALSE)</f>
        <v>275</v>
      </c>
      <c r="D1301" s="364">
        <v>227</v>
      </c>
      <c r="E1301" s="274">
        <f t="shared" si="117"/>
        <v>0.17454545454545456</v>
      </c>
      <c r="F1301" s="196">
        <f t="shared" si="118"/>
        <v>8.5283899999999999</v>
      </c>
      <c r="G1301" s="196">
        <f t="shared" si="119"/>
        <v>6.73055</v>
      </c>
      <c r="H1301" s="199">
        <f t="shared" si="120"/>
        <v>5.6818100000000005</v>
      </c>
      <c r="J1301" s="172"/>
      <c r="K1301" s="172"/>
      <c r="L1301" s="172"/>
    </row>
    <row r="1302" spans="1:29" s="173" customFormat="1">
      <c r="A1302" s="71" t="s">
        <v>458</v>
      </c>
      <c r="B1302" s="78" t="s">
        <v>459</v>
      </c>
      <c r="C1302" s="271">
        <f>VLOOKUP($A$8:$A$1487,'[7]MFP''s'!A$8:C$1502,3,FALSE)</f>
        <v>498</v>
      </c>
      <c r="D1302" s="364">
        <v>261.39999999999998</v>
      </c>
      <c r="E1302" s="274">
        <f t="shared" si="117"/>
        <v>0.47510040160642575</v>
      </c>
      <c r="F1302" s="196">
        <f t="shared" si="118"/>
        <v>9.8207979999999981</v>
      </c>
      <c r="G1302" s="196">
        <f t="shared" si="119"/>
        <v>7.7505099999999993</v>
      </c>
      <c r="H1302" s="199">
        <f t="shared" si="120"/>
        <v>6.5428419999999994</v>
      </c>
      <c r="J1302" s="172"/>
      <c r="K1302" s="172"/>
      <c r="L1302" s="172"/>
    </row>
    <row r="1303" spans="1:29" s="173" customFormat="1">
      <c r="A1303" s="71" t="s">
        <v>551</v>
      </c>
      <c r="B1303" s="78" t="s">
        <v>552</v>
      </c>
      <c r="C1303" s="271">
        <f>VLOOKUP($A$8:$A$1487,'[7]MFP''s'!A$8:C$1502,3,FALSE)</f>
        <v>200</v>
      </c>
      <c r="D1303" s="364">
        <v>150</v>
      </c>
      <c r="E1303" s="274">
        <f t="shared" si="117"/>
        <v>0.25</v>
      </c>
      <c r="F1303" s="196">
        <f t="shared" si="118"/>
        <v>5.6354999999999995</v>
      </c>
      <c r="G1303" s="196">
        <f t="shared" si="119"/>
        <v>4.4474999999999998</v>
      </c>
      <c r="H1303" s="199">
        <f t="shared" si="120"/>
        <v>3.7545000000000002</v>
      </c>
      <c r="J1303" s="172"/>
      <c r="K1303" s="172"/>
      <c r="L1303" s="172"/>
    </row>
    <row r="1304" spans="1:29" s="173" customFormat="1">
      <c r="A1304" s="169" t="s">
        <v>553</v>
      </c>
      <c r="B1304" s="78"/>
      <c r="C1304" s="271"/>
      <c r="D1304" s="364"/>
      <c r="E1304" s="274"/>
      <c r="F1304" s="196"/>
      <c r="G1304" s="196"/>
      <c r="H1304" s="199"/>
      <c r="J1304" s="172"/>
      <c r="K1304" s="172"/>
      <c r="L1304" s="172"/>
    </row>
    <row r="1305" spans="1:29" s="173" customFormat="1">
      <c r="A1305" s="71" t="s">
        <v>554</v>
      </c>
      <c r="B1305" s="78" t="s">
        <v>555</v>
      </c>
      <c r="C1305" s="271">
        <f>VLOOKUP($A$8:$A$1487,'[7]MFP''s'!A$8:C$1502,3,FALSE)</f>
        <v>4633</v>
      </c>
      <c r="D1305" s="364">
        <v>3474.75</v>
      </c>
      <c r="E1305" s="274">
        <f t="shared" si="117"/>
        <v>0.25</v>
      </c>
      <c r="F1305" s="196">
        <f t="shared" si="118"/>
        <v>130.5463575</v>
      </c>
      <c r="G1305" s="196">
        <f t="shared" si="119"/>
        <v>103.0263375</v>
      </c>
      <c r="H1305" s="199">
        <f t="shared" si="120"/>
        <v>86.972992500000004</v>
      </c>
      <c r="J1305" s="172"/>
      <c r="K1305" s="172"/>
      <c r="L1305" s="172"/>
    </row>
    <row r="1306" spans="1:29" s="173" customFormat="1">
      <c r="A1306" s="71" t="s">
        <v>556</v>
      </c>
      <c r="B1306" s="78" t="s">
        <v>557</v>
      </c>
      <c r="C1306" s="271">
        <f>VLOOKUP($A$8:$A$1487,'[7]MFP''s'!A$8:C$1502,3,FALSE)</f>
        <v>650</v>
      </c>
      <c r="D1306" s="364">
        <v>650</v>
      </c>
      <c r="E1306" s="274">
        <f t="shared" si="117"/>
        <v>0</v>
      </c>
      <c r="F1306" s="196">
        <f t="shared" si="118"/>
        <v>24.420500000000001</v>
      </c>
      <c r="G1306" s="196">
        <f t="shared" si="119"/>
        <v>19.272500000000001</v>
      </c>
      <c r="H1306" s="199">
        <f t="shared" si="120"/>
        <v>16.269500000000001</v>
      </c>
      <c r="J1306" s="172"/>
      <c r="K1306" s="172"/>
      <c r="L1306" s="172"/>
    </row>
    <row r="1307" spans="1:29">
      <c r="A1307" s="212"/>
      <c r="B1307" s="213"/>
      <c r="C1307" s="215"/>
      <c r="D1307" s="369"/>
      <c r="E1307" s="215"/>
      <c r="F1307" s="215"/>
      <c r="G1307" s="215"/>
      <c r="H1307" s="216"/>
      <c r="M1307" s="49"/>
      <c r="N1307" s="49"/>
      <c r="O1307" s="49"/>
      <c r="P1307" s="49"/>
      <c r="Q1307" s="49"/>
      <c r="R1307" s="49"/>
      <c r="S1307" s="49"/>
      <c r="T1307" s="49"/>
      <c r="U1307" s="49"/>
      <c r="V1307" s="49"/>
      <c r="W1307" s="49"/>
      <c r="X1307" s="49"/>
      <c r="Y1307" s="49"/>
      <c r="Z1307" s="49"/>
      <c r="AA1307" s="49"/>
      <c r="AB1307" s="49"/>
      <c r="AC1307" s="49"/>
    </row>
    <row r="1308" spans="1:29" s="173" customFormat="1">
      <c r="A1308" s="220" t="s">
        <v>559</v>
      </c>
      <c r="B1308" s="221" t="s">
        <v>655</v>
      </c>
      <c r="C1308" s="271">
        <f>VLOOKUP($A$8:$A$1487,'[7]MFP''s'!A$8:C$1502,3,FALSE)</f>
        <v>130253</v>
      </c>
      <c r="D1308" s="364">
        <v>72177.14124001452</v>
      </c>
      <c r="E1308" s="274">
        <f t="shared" si="117"/>
        <v>0.44586964415395791</v>
      </c>
      <c r="F1308" s="196">
        <f t="shared" si="118"/>
        <v>2711.6951963873453</v>
      </c>
      <c r="G1308" s="196">
        <f t="shared" si="119"/>
        <v>2140.0522377664306</v>
      </c>
      <c r="H1308" s="199">
        <f t="shared" si="120"/>
        <v>1806.5938452375635</v>
      </c>
      <c r="J1308" s="172"/>
      <c r="K1308" s="172"/>
      <c r="L1308" s="172"/>
    </row>
    <row r="1309" spans="1:29" s="173" customFormat="1">
      <c r="A1309" s="63" t="s">
        <v>337</v>
      </c>
      <c r="B1309" s="78" t="s">
        <v>338</v>
      </c>
      <c r="C1309" s="271">
        <f>VLOOKUP($A$8:$A$1487,'[7]MFP''s'!A$8:C$1502,3,FALSE)</f>
        <v>2400</v>
      </c>
      <c r="D1309" s="364">
        <v>2400</v>
      </c>
      <c r="E1309" s="274">
        <f t="shared" si="117"/>
        <v>0</v>
      </c>
      <c r="F1309" s="196">
        <f t="shared" si="118"/>
        <v>90.167999999999992</v>
      </c>
      <c r="G1309" s="196">
        <f t="shared" si="119"/>
        <v>71.16</v>
      </c>
      <c r="H1309" s="199">
        <f t="shared" si="120"/>
        <v>60.072000000000003</v>
      </c>
      <c r="J1309" s="172"/>
      <c r="K1309" s="172"/>
      <c r="L1309" s="172"/>
    </row>
    <row r="1310" spans="1:29" s="173" customFormat="1">
      <c r="A1310" s="63" t="s">
        <v>303</v>
      </c>
      <c r="B1310" s="78" t="s">
        <v>304</v>
      </c>
      <c r="C1310" s="271">
        <f>VLOOKUP($A$8:$A$1487,'[7]MFP''s'!A$8:C$1502,3,FALSE)</f>
        <v>600</v>
      </c>
      <c r="D1310" s="364">
        <v>600</v>
      </c>
      <c r="E1310" s="274">
        <f t="shared" si="117"/>
        <v>0</v>
      </c>
      <c r="F1310" s="196">
        <f t="shared" si="118"/>
        <v>22.541999999999998</v>
      </c>
      <c r="G1310" s="196">
        <f t="shared" si="119"/>
        <v>17.79</v>
      </c>
      <c r="H1310" s="199">
        <f t="shared" si="120"/>
        <v>15.018000000000001</v>
      </c>
      <c r="J1310" s="172"/>
      <c r="K1310" s="172"/>
      <c r="L1310" s="172"/>
    </row>
    <row r="1311" spans="1:29" s="173" customFormat="1">
      <c r="A1311" s="63" t="s">
        <v>305</v>
      </c>
      <c r="B1311" s="78" t="s">
        <v>306</v>
      </c>
      <c r="C1311" s="271">
        <f>VLOOKUP($A$8:$A$1487,'[7]MFP''s'!A$8:C$1502,3,FALSE)</f>
        <v>5000</v>
      </c>
      <c r="D1311" s="364">
        <v>5000</v>
      </c>
      <c r="E1311" s="274">
        <f t="shared" si="117"/>
        <v>0</v>
      </c>
      <c r="F1311" s="196">
        <f t="shared" si="118"/>
        <v>187.85</v>
      </c>
      <c r="G1311" s="196">
        <f t="shared" si="119"/>
        <v>148.25</v>
      </c>
      <c r="H1311" s="199">
        <f t="shared" si="120"/>
        <v>125.15</v>
      </c>
      <c r="J1311" s="172"/>
      <c r="K1311" s="172"/>
      <c r="L1311" s="172"/>
    </row>
    <row r="1312" spans="1:29" s="173" customFormat="1">
      <c r="A1312" s="62" t="s">
        <v>307</v>
      </c>
      <c r="B1312" s="78" t="s">
        <v>308</v>
      </c>
      <c r="C1312" s="271">
        <f>VLOOKUP($A$8:$A$1487,'[7]MFP''s'!A$8:C$1502,3,FALSE)</f>
        <v>8000</v>
      </c>
      <c r="D1312" s="364">
        <v>8000</v>
      </c>
      <c r="E1312" s="274">
        <f t="shared" si="117"/>
        <v>0</v>
      </c>
      <c r="F1312" s="196">
        <f t="shared" si="118"/>
        <v>300.56</v>
      </c>
      <c r="G1312" s="196">
        <f t="shared" si="119"/>
        <v>237.2</v>
      </c>
      <c r="H1312" s="199">
        <f t="shared" si="120"/>
        <v>200.24</v>
      </c>
      <c r="J1312" s="172"/>
      <c r="K1312" s="172"/>
      <c r="L1312" s="172"/>
    </row>
    <row r="1313" spans="1:29" s="173" customFormat="1">
      <c r="A1313" s="62" t="s">
        <v>62</v>
      </c>
      <c r="B1313" s="78" t="s">
        <v>63</v>
      </c>
      <c r="C1313" s="271">
        <f>VLOOKUP($A$8:$A$1487,'[7]MFP''s'!A$8:C$1502,3,FALSE)</f>
        <v>1</v>
      </c>
      <c r="D1313" s="364">
        <v>1</v>
      </c>
      <c r="E1313" s="274">
        <f t="shared" si="117"/>
        <v>0</v>
      </c>
      <c r="F1313" s="196">
        <f t="shared" si="118"/>
        <v>3.7569999999999999E-2</v>
      </c>
      <c r="G1313" s="196">
        <f t="shared" si="119"/>
        <v>2.9649999999999999E-2</v>
      </c>
      <c r="H1313" s="199">
        <f t="shared" si="120"/>
        <v>2.503E-2</v>
      </c>
      <c r="J1313" s="172"/>
      <c r="K1313" s="172"/>
      <c r="L1313" s="172"/>
    </row>
    <row r="1314" spans="1:29" s="173" customFormat="1">
      <c r="A1314" s="63" t="s">
        <v>64</v>
      </c>
      <c r="B1314" s="78" t="s">
        <v>65</v>
      </c>
      <c r="C1314" s="271">
        <f>VLOOKUP($A$8:$A$1487,'[7]MFP''s'!A$8:C$1502,3,FALSE)</f>
        <v>1</v>
      </c>
      <c r="D1314" s="364">
        <v>1</v>
      </c>
      <c r="E1314" s="274">
        <f t="shared" si="117"/>
        <v>0</v>
      </c>
      <c r="F1314" s="196">
        <f t="shared" si="118"/>
        <v>3.7569999999999999E-2</v>
      </c>
      <c r="G1314" s="196">
        <f t="shared" si="119"/>
        <v>2.9649999999999999E-2</v>
      </c>
      <c r="H1314" s="199">
        <f t="shared" si="120"/>
        <v>2.503E-2</v>
      </c>
      <c r="J1314" s="172"/>
      <c r="K1314" s="172"/>
      <c r="L1314" s="172"/>
    </row>
    <row r="1315" spans="1:29">
      <c r="A1315" s="195" t="s">
        <v>384</v>
      </c>
      <c r="B1315" s="197"/>
      <c r="C1315" s="271"/>
      <c r="D1315" s="357"/>
      <c r="E1315" s="274"/>
      <c r="F1315" s="196"/>
      <c r="G1315" s="196"/>
      <c r="H1315" s="199"/>
      <c r="M1315" s="49"/>
      <c r="N1315" s="49"/>
      <c r="O1315" s="49"/>
      <c r="P1315" s="49"/>
      <c r="Q1315" s="49"/>
      <c r="R1315" s="49"/>
      <c r="S1315" s="49"/>
      <c r="T1315" s="49"/>
      <c r="U1315" s="49"/>
      <c r="V1315" s="49"/>
      <c r="W1315" s="49"/>
      <c r="X1315" s="49"/>
      <c r="Y1315" s="49"/>
      <c r="Z1315" s="49"/>
      <c r="AA1315" s="49"/>
      <c r="AB1315" s="49"/>
      <c r="AC1315" s="49"/>
    </row>
    <row r="1316" spans="1:29" s="173" customFormat="1">
      <c r="A1316" s="60" t="s">
        <v>75</v>
      </c>
      <c r="B1316" s="193"/>
      <c r="C1316" s="271"/>
      <c r="D1316" s="364"/>
      <c r="E1316" s="274"/>
      <c r="F1316" s="196"/>
      <c r="G1316" s="196"/>
      <c r="H1316" s="199"/>
      <c r="J1316" s="172"/>
      <c r="K1316" s="172"/>
      <c r="L1316" s="172"/>
    </row>
    <row r="1317" spans="1:29" s="316" customFormat="1">
      <c r="A1317" s="323" t="s">
        <v>562</v>
      </c>
      <c r="B1317" s="328" t="s">
        <v>692</v>
      </c>
      <c r="C1317" s="312">
        <f>VLOOKUP($A$8:$A$1487,'[7]MFP''s'!A$8:C$1502,3,FALSE)</f>
        <v>18000</v>
      </c>
      <c r="D1317" s="367">
        <v>9360</v>
      </c>
      <c r="E1317" s="313">
        <f>100%-(D1317/C1317)</f>
        <v>0.48</v>
      </c>
      <c r="F1317" s="314">
        <f>D1317*$F$1</f>
        <v>351.65519999999998</v>
      </c>
      <c r="G1317" s="314">
        <f>D1317*$G$1</f>
        <v>277.524</v>
      </c>
      <c r="H1317" s="315">
        <f>D1317*$H$1</f>
        <v>234.2808</v>
      </c>
      <c r="J1317" s="317"/>
      <c r="K1317" s="317"/>
      <c r="L1317" s="317"/>
    </row>
    <row r="1318" spans="1:29" s="173" customFormat="1">
      <c r="A1318" s="62" t="s">
        <v>465</v>
      </c>
      <c r="B1318" s="78" t="s">
        <v>466</v>
      </c>
      <c r="C1318" s="271">
        <f>VLOOKUP($A$8:$A$1487,'[7]MFP''s'!A$8:C$1502,3,FALSE)</f>
        <v>10720</v>
      </c>
      <c r="D1318" s="364">
        <v>5298.8959999999997</v>
      </c>
      <c r="E1318" s="274">
        <f t="shared" si="117"/>
        <v>0.50570000000000004</v>
      </c>
      <c r="F1318" s="196">
        <f t="shared" si="118"/>
        <v>199.07952272</v>
      </c>
      <c r="G1318" s="196">
        <f t="shared" si="119"/>
        <v>157.11226639999998</v>
      </c>
      <c r="H1318" s="199">
        <f t="shared" si="120"/>
        <v>132.63136688</v>
      </c>
      <c r="J1318" s="172"/>
      <c r="K1318" s="172"/>
      <c r="L1318" s="172"/>
    </row>
    <row r="1319" spans="1:29" s="173" customFormat="1">
      <c r="A1319" s="62" t="s">
        <v>339</v>
      </c>
      <c r="B1319" s="78" t="s">
        <v>563</v>
      </c>
      <c r="C1319" s="271">
        <f>VLOOKUP($A$8:$A$1487,'[7]MFP''s'!A$8:C$1502,3,FALSE)</f>
        <v>2332</v>
      </c>
      <c r="D1319" s="364">
        <v>1293.3271999999999</v>
      </c>
      <c r="E1319" s="274">
        <f t="shared" ref="E1319:E1381" si="121">100%-(D1319/C1319)</f>
        <v>0.44540000000000002</v>
      </c>
      <c r="F1319" s="196">
        <f t="shared" si="118"/>
        <v>48.590302903999998</v>
      </c>
      <c r="G1319" s="196">
        <f t="shared" si="119"/>
        <v>38.347151480000001</v>
      </c>
      <c r="H1319" s="199">
        <f t="shared" si="120"/>
        <v>32.371979816</v>
      </c>
      <c r="J1319" s="172"/>
      <c r="K1319" s="172"/>
      <c r="L1319" s="172"/>
    </row>
    <row r="1320" spans="1:29" s="173" customFormat="1">
      <c r="A1320" s="62" t="s">
        <v>564</v>
      </c>
      <c r="B1320" s="78" t="s">
        <v>565</v>
      </c>
      <c r="C1320" s="271">
        <f>VLOOKUP($A$8:$A$1487,'[7]MFP''s'!A$8:C$1502,3,FALSE)</f>
        <v>700</v>
      </c>
      <c r="D1320" s="364">
        <v>387.91946308724835</v>
      </c>
      <c r="E1320" s="274">
        <f t="shared" si="121"/>
        <v>0.44582933844678807</v>
      </c>
      <c r="F1320" s="196">
        <f t="shared" si="118"/>
        <v>14.574134228187921</v>
      </c>
      <c r="G1320" s="196">
        <f t="shared" si="119"/>
        <v>11.501812080536913</v>
      </c>
      <c r="H1320" s="199">
        <f t="shared" si="120"/>
        <v>9.7096241610738261</v>
      </c>
      <c r="J1320" s="172"/>
      <c r="K1320" s="172"/>
      <c r="L1320" s="172"/>
    </row>
    <row r="1321" spans="1:29" s="173" customFormat="1">
      <c r="A1321" s="60" t="s">
        <v>66</v>
      </c>
      <c r="B1321" s="193"/>
      <c r="C1321" s="271"/>
      <c r="D1321" s="364"/>
      <c r="E1321" s="274"/>
      <c r="F1321" s="196"/>
      <c r="G1321" s="196"/>
      <c r="H1321" s="199"/>
      <c r="J1321" s="172"/>
      <c r="K1321" s="172"/>
      <c r="L1321" s="172"/>
    </row>
    <row r="1322" spans="1:29" s="173" customFormat="1">
      <c r="A1322" s="63" t="s">
        <v>341</v>
      </c>
      <c r="B1322" s="78" t="s">
        <v>566</v>
      </c>
      <c r="C1322" s="271">
        <f>VLOOKUP($A$8:$A$1487,'[7]MFP''s'!A$8:C$1502,3,FALSE)</f>
        <v>10600</v>
      </c>
      <c r="D1322" s="364">
        <v>5874.52</v>
      </c>
      <c r="E1322" s="274">
        <f t="shared" si="121"/>
        <v>0.44579999999999997</v>
      </c>
      <c r="F1322" s="196">
        <f t="shared" si="118"/>
        <v>220.7057164</v>
      </c>
      <c r="G1322" s="196">
        <f t="shared" si="119"/>
        <v>174.179518</v>
      </c>
      <c r="H1322" s="199">
        <f t="shared" si="120"/>
        <v>147.03923560000001</v>
      </c>
      <c r="J1322" s="172"/>
      <c r="K1322" s="172"/>
      <c r="L1322" s="172"/>
    </row>
    <row r="1323" spans="1:29" s="173" customFormat="1">
      <c r="A1323" s="63" t="s">
        <v>567</v>
      </c>
      <c r="B1323" s="78" t="s">
        <v>568</v>
      </c>
      <c r="C1323" s="271">
        <f>VLOOKUP($A$8:$A$1487,'[7]MFP''s'!A$8:C$1502,3,FALSE)</f>
        <v>8800</v>
      </c>
      <c r="D1323" s="364">
        <v>4612.08</v>
      </c>
      <c r="E1323" s="274">
        <f t="shared" si="121"/>
        <v>0.47589999999999999</v>
      </c>
      <c r="F1323" s="196">
        <f t="shared" si="118"/>
        <v>173.2758456</v>
      </c>
      <c r="G1323" s="196">
        <f t="shared" si="119"/>
        <v>136.74817199999998</v>
      </c>
      <c r="H1323" s="199">
        <f t="shared" si="120"/>
        <v>115.4403624</v>
      </c>
      <c r="J1323" s="172"/>
      <c r="K1323" s="172"/>
      <c r="L1323" s="172"/>
    </row>
    <row r="1324" spans="1:29" s="173" customFormat="1">
      <c r="A1324" s="63" t="s">
        <v>468</v>
      </c>
      <c r="B1324" s="78" t="s">
        <v>469</v>
      </c>
      <c r="C1324" s="271">
        <f>VLOOKUP($A$8:$A$1487,'[7]MFP''s'!A$8:C$1502,3,FALSE)</f>
        <v>5205</v>
      </c>
      <c r="D1324" s="364">
        <v>2360</v>
      </c>
      <c r="E1324" s="274">
        <f t="shared" si="121"/>
        <v>0.54658981748318924</v>
      </c>
      <c r="F1324" s="196">
        <f t="shared" si="118"/>
        <v>88.665199999999999</v>
      </c>
      <c r="G1324" s="196">
        <f t="shared" si="119"/>
        <v>69.974000000000004</v>
      </c>
      <c r="H1324" s="199">
        <f t="shared" si="120"/>
        <v>59.070799999999998</v>
      </c>
      <c r="J1324" s="172"/>
      <c r="K1324" s="172"/>
      <c r="L1324" s="172"/>
    </row>
    <row r="1325" spans="1:29" s="173" customFormat="1">
      <c r="A1325" s="63" t="s">
        <v>470</v>
      </c>
      <c r="B1325" s="78" t="s">
        <v>471</v>
      </c>
      <c r="C1325" s="271">
        <f>VLOOKUP($A$8:$A$1487,'[7]MFP''s'!A$8:C$1502,3,FALSE)</f>
        <v>835</v>
      </c>
      <c r="D1325" s="364">
        <v>379</v>
      </c>
      <c r="E1325" s="274">
        <f t="shared" si="121"/>
        <v>0.54610778443113772</v>
      </c>
      <c r="F1325" s="196">
        <f t="shared" si="118"/>
        <v>14.23903</v>
      </c>
      <c r="G1325" s="196">
        <f t="shared" si="119"/>
        <v>11.237349999999999</v>
      </c>
      <c r="H1325" s="199">
        <f t="shared" si="120"/>
        <v>9.4863700000000009</v>
      </c>
      <c r="J1325" s="172"/>
      <c r="K1325" s="172"/>
      <c r="L1325" s="172"/>
    </row>
    <row r="1326" spans="1:29" s="173" customFormat="1">
      <c r="A1326" s="63" t="s">
        <v>220</v>
      </c>
      <c r="B1326" s="78" t="s">
        <v>221</v>
      </c>
      <c r="C1326" s="271">
        <f>VLOOKUP($A$8:$A$1487,'[7]MFP''s'!A$8:C$1502,3,FALSE)</f>
        <v>445</v>
      </c>
      <c r="D1326" s="364">
        <v>202</v>
      </c>
      <c r="E1326" s="274">
        <f t="shared" si="121"/>
        <v>0.54606741573033712</v>
      </c>
      <c r="F1326" s="196">
        <f t="shared" si="118"/>
        <v>7.5891399999999996</v>
      </c>
      <c r="G1326" s="196">
        <f t="shared" si="119"/>
        <v>5.9893000000000001</v>
      </c>
      <c r="H1326" s="199">
        <f t="shared" si="120"/>
        <v>5.0560600000000004</v>
      </c>
      <c r="J1326" s="172"/>
      <c r="K1326" s="172"/>
      <c r="L1326" s="172"/>
    </row>
    <row r="1327" spans="1:29" s="173" customFormat="1">
      <c r="A1327" s="63" t="s">
        <v>214</v>
      </c>
      <c r="B1327" s="78" t="s">
        <v>215</v>
      </c>
      <c r="C1327" s="271">
        <f>VLOOKUP($A$8:$A$1487,'[7]MFP''s'!A$8:C$1502,3,FALSE)</f>
        <v>1977</v>
      </c>
      <c r="D1327" s="364">
        <v>897</v>
      </c>
      <c r="E1327" s="274">
        <f t="shared" si="121"/>
        <v>0.54628224582701068</v>
      </c>
      <c r="F1327" s="196">
        <f t="shared" si="118"/>
        <v>33.700290000000003</v>
      </c>
      <c r="G1327" s="196">
        <f t="shared" si="119"/>
        <v>26.596049999999998</v>
      </c>
      <c r="H1327" s="199">
        <f t="shared" si="120"/>
        <v>22.451910000000002</v>
      </c>
      <c r="J1327" s="172"/>
      <c r="K1327" s="172"/>
      <c r="L1327" s="172"/>
    </row>
    <row r="1328" spans="1:29" s="173" customFormat="1">
      <c r="A1328" s="63" t="s">
        <v>265</v>
      </c>
      <c r="B1328" s="78" t="s">
        <v>266</v>
      </c>
      <c r="C1328" s="271">
        <f>VLOOKUP($A$8:$A$1487,'[7]MFP''s'!A$8:C$1502,3,FALSE)</f>
        <v>18921</v>
      </c>
      <c r="D1328" s="364">
        <v>10485</v>
      </c>
      <c r="E1328" s="274">
        <f t="shared" si="121"/>
        <v>0.44585381322340256</v>
      </c>
      <c r="F1328" s="196">
        <f t="shared" si="118"/>
        <v>393.92144999999999</v>
      </c>
      <c r="G1328" s="196">
        <f t="shared" si="119"/>
        <v>310.88024999999999</v>
      </c>
      <c r="H1328" s="199">
        <f t="shared" si="120"/>
        <v>262.43955</v>
      </c>
      <c r="J1328" s="172"/>
      <c r="K1328" s="172"/>
      <c r="L1328" s="172"/>
    </row>
    <row r="1329" spans="1:29" s="173" customFormat="1">
      <c r="A1329" s="63" t="s">
        <v>269</v>
      </c>
      <c r="B1329" s="78" t="s">
        <v>270</v>
      </c>
      <c r="C1329" s="271">
        <f>VLOOKUP($A$8:$A$1487,'[7]MFP''s'!A$8:C$1502,3,FALSE)</f>
        <v>27825</v>
      </c>
      <c r="D1329" s="364">
        <v>15419</v>
      </c>
      <c r="E1329" s="274">
        <f t="shared" si="121"/>
        <v>0.4458580413297395</v>
      </c>
      <c r="F1329" s="196">
        <f t="shared" si="118"/>
        <v>579.29183</v>
      </c>
      <c r="G1329" s="196">
        <f t="shared" si="119"/>
        <v>457.17334999999997</v>
      </c>
      <c r="H1329" s="199">
        <f t="shared" si="120"/>
        <v>385.93756999999999</v>
      </c>
      <c r="J1329" s="172"/>
      <c r="K1329" s="172"/>
      <c r="L1329" s="172"/>
    </row>
    <row r="1330" spans="1:29" s="173" customFormat="1">
      <c r="A1330" s="63" t="s">
        <v>569</v>
      </c>
      <c r="B1330" s="78" t="s">
        <v>570</v>
      </c>
      <c r="C1330" s="271">
        <f>VLOOKUP($A$8:$A$1487,'[7]MFP''s'!A$8:C$1502,3,FALSE)</f>
        <v>19058</v>
      </c>
      <c r="D1330" s="364">
        <v>10561.943600000001</v>
      </c>
      <c r="E1330" s="274">
        <f t="shared" si="121"/>
        <v>0.44579999999999997</v>
      </c>
      <c r="F1330" s="196">
        <f t="shared" si="118"/>
        <v>396.81222105199998</v>
      </c>
      <c r="G1330" s="196">
        <f t="shared" si="119"/>
        <v>313.16162774000003</v>
      </c>
      <c r="H1330" s="199">
        <f t="shared" si="120"/>
        <v>264.365448308</v>
      </c>
      <c r="J1330" s="172"/>
      <c r="K1330" s="172"/>
      <c r="L1330" s="172"/>
    </row>
    <row r="1331" spans="1:29" s="173" customFormat="1">
      <c r="A1331" s="63" t="s">
        <v>311</v>
      </c>
      <c r="B1331" s="78" t="s">
        <v>272</v>
      </c>
      <c r="C1331" s="271">
        <f>VLOOKUP($A$8:$A$1487,'[7]MFP''s'!A$8:C$1502,3,FALSE)</f>
        <v>44838</v>
      </c>
      <c r="D1331" s="364">
        <v>25750</v>
      </c>
      <c r="E1331" s="274">
        <f t="shared" si="121"/>
        <v>0.42571033498371913</v>
      </c>
      <c r="F1331" s="196">
        <f t="shared" si="118"/>
        <v>967.42750000000001</v>
      </c>
      <c r="G1331" s="196">
        <f t="shared" si="119"/>
        <v>763.48749999999995</v>
      </c>
      <c r="H1331" s="199">
        <f t="shared" si="120"/>
        <v>644.52250000000004</v>
      </c>
      <c r="J1331" s="172"/>
      <c r="K1331" s="172"/>
      <c r="L1331" s="172"/>
    </row>
    <row r="1332" spans="1:29" s="173" customFormat="1">
      <c r="A1332" s="63" t="s">
        <v>236</v>
      </c>
      <c r="B1332" s="78" t="s">
        <v>237</v>
      </c>
      <c r="C1332" s="271">
        <f>VLOOKUP($A$8:$A$1487,'[7]MFP''s'!A$8:C$1502,3,FALSE)</f>
        <v>18232</v>
      </c>
      <c r="D1332" s="364">
        <v>8266</v>
      </c>
      <c r="E1332" s="274">
        <f t="shared" si="121"/>
        <v>0.54662132514260642</v>
      </c>
      <c r="F1332" s="196">
        <f t="shared" si="118"/>
        <v>310.55361999999997</v>
      </c>
      <c r="G1332" s="196">
        <f t="shared" si="119"/>
        <v>245.08689999999999</v>
      </c>
      <c r="H1332" s="199">
        <f t="shared" si="120"/>
        <v>206.89797999999999</v>
      </c>
      <c r="J1332" s="172"/>
      <c r="K1332" s="172"/>
      <c r="L1332" s="172"/>
    </row>
    <row r="1333" spans="1:29" s="173" customFormat="1">
      <c r="A1333" s="63" t="s">
        <v>472</v>
      </c>
      <c r="B1333" s="78" t="s">
        <v>227</v>
      </c>
      <c r="C1333" s="271">
        <f>VLOOKUP($A$8:$A$1487,'[7]MFP''s'!A$8:C$1502,3,FALSE)</f>
        <v>29000</v>
      </c>
      <c r="D1333" s="364">
        <v>13148</v>
      </c>
      <c r="E1333" s="274">
        <f t="shared" si="121"/>
        <v>0.54662068965517241</v>
      </c>
      <c r="F1333" s="196">
        <f t="shared" si="118"/>
        <v>493.97035999999997</v>
      </c>
      <c r="G1333" s="196">
        <f t="shared" si="119"/>
        <v>389.83819999999997</v>
      </c>
      <c r="H1333" s="199">
        <f t="shared" si="120"/>
        <v>329.09444000000002</v>
      </c>
      <c r="J1333" s="172"/>
      <c r="K1333" s="172"/>
      <c r="L1333" s="172"/>
    </row>
    <row r="1334" spans="1:29" s="173" customFormat="1" ht="30">
      <c r="A1334" s="63" t="s">
        <v>228</v>
      </c>
      <c r="B1334" s="78" t="s">
        <v>229</v>
      </c>
      <c r="C1334" s="271">
        <f>VLOOKUP($A$8:$A$1487,'[7]MFP''s'!A$8:C$1502,3,FALSE)</f>
        <v>600</v>
      </c>
      <c r="D1334" s="364">
        <v>273</v>
      </c>
      <c r="E1334" s="274">
        <f t="shared" si="121"/>
        <v>0.54499999999999993</v>
      </c>
      <c r="F1334" s="196">
        <f t="shared" si="118"/>
        <v>10.25661</v>
      </c>
      <c r="G1334" s="196">
        <f t="shared" si="119"/>
        <v>8.0944500000000001</v>
      </c>
      <c r="H1334" s="199">
        <f t="shared" si="120"/>
        <v>6.8331900000000001</v>
      </c>
      <c r="J1334" s="172"/>
      <c r="K1334" s="172"/>
      <c r="L1334" s="172"/>
    </row>
    <row r="1335" spans="1:29" s="173" customFormat="1" ht="30">
      <c r="A1335" s="63" t="s">
        <v>230</v>
      </c>
      <c r="B1335" s="78" t="s">
        <v>231</v>
      </c>
      <c r="C1335" s="271">
        <f>VLOOKUP($A$8:$A$1487,'[7]MFP''s'!A$8:C$1502,3,FALSE)</f>
        <v>600</v>
      </c>
      <c r="D1335" s="364">
        <v>273</v>
      </c>
      <c r="E1335" s="274">
        <f t="shared" si="121"/>
        <v>0.54499999999999993</v>
      </c>
      <c r="F1335" s="196">
        <f t="shared" si="118"/>
        <v>10.25661</v>
      </c>
      <c r="G1335" s="196">
        <f t="shared" si="119"/>
        <v>8.0944500000000001</v>
      </c>
      <c r="H1335" s="199">
        <f t="shared" si="120"/>
        <v>6.8331900000000001</v>
      </c>
      <c r="J1335" s="172"/>
      <c r="K1335" s="172"/>
      <c r="L1335" s="172"/>
    </row>
    <row r="1336" spans="1:29" s="173" customFormat="1" ht="30">
      <c r="A1336" s="63" t="s">
        <v>232</v>
      </c>
      <c r="B1336" s="78" t="s">
        <v>233</v>
      </c>
      <c r="C1336" s="271">
        <f>VLOOKUP($A$8:$A$1487,'[7]MFP''s'!A$8:C$1502,3,FALSE)</f>
        <v>600</v>
      </c>
      <c r="D1336" s="364">
        <v>273</v>
      </c>
      <c r="E1336" s="274">
        <f t="shared" si="121"/>
        <v>0.54499999999999993</v>
      </c>
      <c r="F1336" s="196">
        <f t="shared" si="118"/>
        <v>10.25661</v>
      </c>
      <c r="G1336" s="196">
        <f t="shared" si="119"/>
        <v>8.0944500000000001</v>
      </c>
      <c r="H1336" s="199">
        <f t="shared" si="120"/>
        <v>6.8331900000000001</v>
      </c>
      <c r="J1336" s="172"/>
      <c r="K1336" s="172"/>
      <c r="L1336" s="172"/>
    </row>
    <row r="1337" spans="1:29" s="173" customFormat="1">
      <c r="A1337" s="63" t="s">
        <v>234</v>
      </c>
      <c r="B1337" s="78" t="s">
        <v>235</v>
      </c>
      <c r="C1337" s="271">
        <f>VLOOKUP($A$8:$A$1487,'[7]MFP''s'!A$8:C$1502,3,FALSE)</f>
        <v>600</v>
      </c>
      <c r="D1337" s="364">
        <v>273</v>
      </c>
      <c r="E1337" s="274">
        <f t="shared" si="121"/>
        <v>0.54499999999999993</v>
      </c>
      <c r="F1337" s="196">
        <f t="shared" si="118"/>
        <v>10.25661</v>
      </c>
      <c r="G1337" s="196">
        <f t="shared" si="119"/>
        <v>8.0944500000000001</v>
      </c>
      <c r="H1337" s="199">
        <f t="shared" si="120"/>
        <v>6.8331900000000001</v>
      </c>
      <c r="J1337" s="172"/>
      <c r="K1337" s="172"/>
      <c r="L1337" s="172"/>
    </row>
    <row r="1338" spans="1:29" s="173" customFormat="1">
      <c r="A1338" s="63" t="s">
        <v>281</v>
      </c>
      <c r="B1338" s="78" t="s">
        <v>282</v>
      </c>
      <c r="C1338" s="271">
        <f>VLOOKUP($A$8:$A$1487,'[7]MFP''s'!A$8:C$1502,3,FALSE)</f>
        <v>2980</v>
      </c>
      <c r="D1338" s="364">
        <v>1652</v>
      </c>
      <c r="E1338" s="274">
        <f t="shared" si="121"/>
        <v>0.44563758389261743</v>
      </c>
      <c r="F1338" s="196">
        <f t="shared" si="118"/>
        <v>62.065640000000002</v>
      </c>
      <c r="G1338" s="196">
        <f t="shared" si="119"/>
        <v>48.9818</v>
      </c>
      <c r="H1338" s="199">
        <f t="shared" si="120"/>
        <v>41.349559999999997</v>
      </c>
      <c r="J1338" s="172"/>
      <c r="K1338" s="172"/>
      <c r="L1338" s="172"/>
    </row>
    <row r="1339" spans="1:29" s="173" customFormat="1">
      <c r="A1339" s="63" t="s">
        <v>571</v>
      </c>
      <c r="B1339" s="78" t="s">
        <v>274</v>
      </c>
      <c r="C1339" s="271">
        <f>VLOOKUP($A$8:$A$1487,'[7]MFP''s'!A$8:C$1502,3,FALSE)</f>
        <v>890</v>
      </c>
      <c r="D1339" s="364">
        <v>494</v>
      </c>
      <c r="E1339" s="274">
        <f t="shared" si="121"/>
        <v>0.44494382022471912</v>
      </c>
      <c r="F1339" s="196">
        <f t="shared" si="118"/>
        <v>18.55958</v>
      </c>
      <c r="G1339" s="196">
        <f t="shared" si="119"/>
        <v>14.6471</v>
      </c>
      <c r="H1339" s="199">
        <f t="shared" si="120"/>
        <v>12.36482</v>
      </c>
      <c r="J1339" s="172"/>
      <c r="K1339" s="172"/>
      <c r="L1339" s="172"/>
    </row>
    <row r="1340" spans="1:29">
      <c r="A1340" s="63" t="s">
        <v>238</v>
      </c>
      <c r="B1340" s="61" t="s">
        <v>239</v>
      </c>
      <c r="C1340" s="271">
        <f>VLOOKUP($A$8:$A$1487,'[7]MFP''s'!A$8:C$1502,3,FALSE)</f>
        <v>1484</v>
      </c>
      <c r="D1340" s="364">
        <v>673</v>
      </c>
      <c r="E1340" s="274">
        <f t="shared" si="121"/>
        <v>0.54649595687331542</v>
      </c>
      <c r="F1340" s="196">
        <f t="shared" si="118"/>
        <v>25.284610000000001</v>
      </c>
      <c r="G1340" s="196">
        <f t="shared" si="119"/>
        <v>19.954449999999998</v>
      </c>
      <c r="H1340" s="199">
        <f t="shared" si="120"/>
        <v>16.845189999999999</v>
      </c>
      <c r="M1340" s="49"/>
      <c r="N1340" s="49"/>
      <c r="O1340" s="49"/>
      <c r="P1340" s="49"/>
      <c r="Q1340" s="49"/>
      <c r="R1340" s="49"/>
      <c r="S1340" s="49"/>
      <c r="T1340" s="49"/>
      <c r="U1340" s="49"/>
      <c r="V1340" s="49"/>
      <c r="W1340" s="49"/>
      <c r="X1340" s="49"/>
      <c r="Y1340" s="49"/>
      <c r="Z1340" s="49"/>
      <c r="AA1340" s="49"/>
      <c r="AB1340" s="49"/>
      <c r="AC1340" s="49"/>
    </row>
    <row r="1341" spans="1:29">
      <c r="A1341" s="63" t="s">
        <v>240</v>
      </c>
      <c r="B1341" s="61" t="s">
        <v>241</v>
      </c>
      <c r="C1341" s="271">
        <f>VLOOKUP($A$8:$A$1487,'[7]MFP''s'!A$8:C$1502,3,FALSE)</f>
        <v>1484</v>
      </c>
      <c r="D1341" s="364">
        <v>673</v>
      </c>
      <c r="E1341" s="274">
        <f t="shared" si="121"/>
        <v>0.54649595687331542</v>
      </c>
      <c r="F1341" s="196">
        <f t="shared" si="118"/>
        <v>25.284610000000001</v>
      </c>
      <c r="G1341" s="196">
        <f t="shared" si="119"/>
        <v>19.954449999999998</v>
      </c>
      <c r="H1341" s="199">
        <f t="shared" si="120"/>
        <v>16.845189999999999</v>
      </c>
      <c r="M1341" s="49"/>
      <c r="N1341" s="49"/>
      <c r="O1341" s="49"/>
      <c r="P1341" s="49"/>
      <c r="Q1341" s="49"/>
      <c r="R1341" s="49"/>
      <c r="S1341" s="49"/>
      <c r="T1341" s="49"/>
      <c r="U1341" s="49"/>
      <c r="V1341" s="49"/>
      <c r="W1341" s="49"/>
      <c r="X1341" s="49"/>
      <c r="Y1341" s="49"/>
      <c r="Z1341" s="49"/>
      <c r="AA1341" s="49"/>
      <c r="AB1341" s="49"/>
      <c r="AC1341" s="49"/>
    </row>
    <row r="1342" spans="1:29">
      <c r="A1342" s="63" t="s">
        <v>242</v>
      </c>
      <c r="B1342" s="61" t="s">
        <v>243</v>
      </c>
      <c r="C1342" s="271">
        <f>VLOOKUP($A$8:$A$1487,'[7]MFP''s'!A$8:C$1502,3,FALSE)</f>
        <v>1484</v>
      </c>
      <c r="D1342" s="364">
        <v>673</v>
      </c>
      <c r="E1342" s="274">
        <f t="shared" si="121"/>
        <v>0.54649595687331542</v>
      </c>
      <c r="F1342" s="196">
        <f t="shared" si="118"/>
        <v>25.284610000000001</v>
      </c>
      <c r="G1342" s="196">
        <f t="shared" si="119"/>
        <v>19.954449999999998</v>
      </c>
      <c r="H1342" s="199">
        <f t="shared" si="120"/>
        <v>16.845189999999999</v>
      </c>
      <c r="M1342" s="49"/>
      <c r="N1342" s="49"/>
      <c r="O1342" s="49"/>
      <c r="P1342" s="49"/>
      <c r="Q1342" s="49"/>
      <c r="R1342" s="49"/>
      <c r="S1342" s="49"/>
      <c r="T1342" s="49"/>
      <c r="U1342" s="49"/>
      <c r="V1342" s="49"/>
      <c r="W1342" s="49"/>
      <c r="X1342" s="49"/>
      <c r="Y1342" s="49"/>
      <c r="Z1342" s="49"/>
      <c r="AA1342" s="49"/>
      <c r="AB1342" s="49"/>
      <c r="AC1342" s="49"/>
    </row>
    <row r="1343" spans="1:29">
      <c r="A1343" s="63" t="s">
        <v>244</v>
      </c>
      <c r="B1343" s="61" t="s">
        <v>245</v>
      </c>
      <c r="C1343" s="271">
        <f>VLOOKUP($A$8:$A$1487,'[7]MFP''s'!A$8:C$1502,3,FALSE)</f>
        <v>1484</v>
      </c>
      <c r="D1343" s="364">
        <v>673</v>
      </c>
      <c r="E1343" s="274">
        <f t="shared" si="121"/>
        <v>0.54649595687331542</v>
      </c>
      <c r="F1343" s="196">
        <f t="shared" si="118"/>
        <v>25.284610000000001</v>
      </c>
      <c r="G1343" s="196">
        <f t="shared" si="119"/>
        <v>19.954449999999998</v>
      </c>
      <c r="H1343" s="199">
        <f t="shared" si="120"/>
        <v>16.845189999999999</v>
      </c>
      <c r="M1343" s="49"/>
      <c r="N1343" s="49"/>
      <c r="O1343" s="49"/>
      <c r="P1343" s="49"/>
      <c r="Q1343" s="49"/>
      <c r="R1343" s="49"/>
      <c r="S1343" s="49"/>
      <c r="T1343" s="49"/>
      <c r="U1343" s="49"/>
      <c r="V1343" s="49"/>
      <c r="W1343" s="49"/>
      <c r="X1343" s="49"/>
      <c r="Y1343" s="49"/>
      <c r="Z1343" s="49"/>
      <c r="AA1343" s="49"/>
      <c r="AB1343" s="49"/>
      <c r="AC1343" s="49"/>
    </row>
    <row r="1344" spans="1:29">
      <c r="A1344" s="63" t="s">
        <v>246</v>
      </c>
      <c r="B1344" s="61" t="s">
        <v>247</v>
      </c>
      <c r="C1344" s="271">
        <f>VLOOKUP($A$8:$A$1487,'[7]MFP''s'!A$8:C$1502,3,FALSE)</f>
        <v>1484</v>
      </c>
      <c r="D1344" s="364">
        <v>673</v>
      </c>
      <c r="E1344" s="274">
        <f t="shared" si="121"/>
        <v>0.54649595687331542</v>
      </c>
      <c r="F1344" s="196">
        <f t="shared" si="118"/>
        <v>25.284610000000001</v>
      </c>
      <c r="G1344" s="196">
        <f t="shared" si="119"/>
        <v>19.954449999999998</v>
      </c>
      <c r="H1344" s="199">
        <f t="shared" si="120"/>
        <v>16.845189999999999</v>
      </c>
      <c r="M1344" s="49"/>
      <c r="N1344" s="49"/>
      <c r="O1344" s="49"/>
      <c r="P1344" s="49"/>
      <c r="Q1344" s="49"/>
      <c r="R1344" s="49"/>
      <c r="S1344" s="49"/>
      <c r="T1344" s="49"/>
      <c r="U1344" s="49"/>
      <c r="V1344" s="49"/>
      <c r="W1344" s="49"/>
      <c r="X1344" s="49"/>
      <c r="Y1344" s="49"/>
      <c r="Z1344" s="49"/>
      <c r="AA1344" s="49"/>
      <c r="AB1344" s="49"/>
      <c r="AC1344" s="49"/>
    </row>
    <row r="1345" spans="1:29">
      <c r="A1345" s="63" t="s">
        <v>248</v>
      </c>
      <c r="B1345" s="61" t="s">
        <v>249</v>
      </c>
      <c r="C1345" s="271">
        <f>VLOOKUP($A$8:$A$1487,'[7]MFP''s'!A$8:C$1502,3,FALSE)</f>
        <v>1484</v>
      </c>
      <c r="D1345" s="364">
        <v>673</v>
      </c>
      <c r="E1345" s="274">
        <f t="shared" si="121"/>
        <v>0.54649595687331542</v>
      </c>
      <c r="F1345" s="196">
        <f t="shared" si="118"/>
        <v>25.284610000000001</v>
      </c>
      <c r="G1345" s="196">
        <f t="shared" si="119"/>
        <v>19.954449999999998</v>
      </c>
      <c r="H1345" s="199">
        <f t="shared" si="120"/>
        <v>16.845189999999999</v>
      </c>
      <c r="M1345" s="49"/>
      <c r="N1345" s="49"/>
      <c r="O1345" s="49"/>
      <c r="P1345" s="49"/>
      <c r="Q1345" s="49"/>
      <c r="R1345" s="49"/>
      <c r="S1345" s="49"/>
      <c r="T1345" s="49"/>
      <c r="U1345" s="49"/>
      <c r="V1345" s="49"/>
      <c r="W1345" s="49"/>
      <c r="X1345" s="49"/>
      <c r="Y1345" s="49"/>
      <c r="Z1345" s="49"/>
      <c r="AA1345" s="49"/>
      <c r="AB1345" s="49"/>
      <c r="AC1345" s="49"/>
    </row>
    <row r="1346" spans="1:29">
      <c r="A1346" s="63" t="s">
        <v>250</v>
      </c>
      <c r="B1346" s="61" t="s">
        <v>251</v>
      </c>
      <c r="C1346" s="271">
        <f>VLOOKUP($A$8:$A$1487,'[7]MFP''s'!A$8:C$1502,3,FALSE)</f>
        <v>1484</v>
      </c>
      <c r="D1346" s="364">
        <v>673</v>
      </c>
      <c r="E1346" s="274">
        <f t="shared" si="121"/>
        <v>0.54649595687331542</v>
      </c>
      <c r="F1346" s="196">
        <f t="shared" ref="F1346:F1410" si="122">D1346*$F$1</f>
        <v>25.284610000000001</v>
      </c>
      <c r="G1346" s="196">
        <f t="shared" si="119"/>
        <v>19.954449999999998</v>
      </c>
      <c r="H1346" s="199">
        <f t="shared" si="120"/>
        <v>16.845189999999999</v>
      </c>
      <c r="M1346" s="49"/>
      <c r="N1346" s="49"/>
      <c r="O1346" s="49"/>
      <c r="P1346" s="49"/>
      <c r="Q1346" s="49"/>
      <c r="R1346" s="49"/>
      <c r="S1346" s="49"/>
      <c r="T1346" s="49"/>
      <c r="U1346" s="49"/>
      <c r="V1346" s="49"/>
      <c r="W1346" s="49"/>
      <c r="X1346" s="49"/>
      <c r="Y1346" s="49"/>
      <c r="Z1346" s="49"/>
      <c r="AA1346" s="49"/>
      <c r="AB1346" s="49"/>
      <c r="AC1346" s="49"/>
    </row>
    <row r="1347" spans="1:29">
      <c r="A1347" s="63" t="s">
        <v>508</v>
      </c>
      <c r="B1347" s="61" t="s">
        <v>572</v>
      </c>
      <c r="C1347" s="271">
        <f>VLOOKUP($A$8:$A$1487,'[7]MFP''s'!A$8:C$1502,3,FALSE)</f>
        <v>2015</v>
      </c>
      <c r="D1347" s="364">
        <v>1648</v>
      </c>
      <c r="E1347" s="274">
        <f t="shared" si="121"/>
        <v>0.18213399503722083</v>
      </c>
      <c r="F1347" s="196">
        <f t="shared" si="122"/>
        <v>61.91536</v>
      </c>
      <c r="G1347" s="196">
        <f t="shared" si="119"/>
        <v>48.863199999999999</v>
      </c>
      <c r="H1347" s="199">
        <f t="shared" si="120"/>
        <v>41.24944</v>
      </c>
      <c r="M1347" s="49"/>
      <c r="N1347" s="49"/>
      <c r="O1347" s="49"/>
      <c r="P1347" s="49"/>
      <c r="Q1347" s="49"/>
      <c r="R1347" s="49"/>
      <c r="S1347" s="49"/>
      <c r="T1347" s="49"/>
      <c r="U1347" s="49"/>
      <c r="V1347" s="49"/>
      <c r="W1347" s="49"/>
      <c r="X1347" s="49"/>
      <c r="Y1347" s="49"/>
      <c r="Z1347" s="49"/>
      <c r="AA1347" s="49"/>
      <c r="AB1347" s="49"/>
      <c r="AC1347" s="49"/>
    </row>
    <row r="1348" spans="1:29">
      <c r="A1348" s="63" t="s">
        <v>475</v>
      </c>
      <c r="B1348" s="61" t="s">
        <v>476</v>
      </c>
      <c r="C1348" s="271">
        <f>VLOOKUP($A$8:$A$1487,'[7]MFP''s'!A$8:C$1502,3,FALSE)</f>
        <v>4265</v>
      </c>
      <c r="D1348" s="364">
        <v>1934.18</v>
      </c>
      <c r="E1348" s="274">
        <f t="shared" si="121"/>
        <v>0.54649941383352862</v>
      </c>
      <c r="F1348" s="196">
        <f t="shared" si="122"/>
        <v>72.667142600000005</v>
      </c>
      <c r="G1348" s="196">
        <f t="shared" si="119"/>
        <v>57.348436999999997</v>
      </c>
      <c r="H1348" s="199">
        <f t="shared" si="120"/>
        <v>48.4125254</v>
      </c>
      <c r="M1348" s="49"/>
      <c r="N1348" s="49"/>
      <c r="O1348" s="49"/>
      <c r="P1348" s="49"/>
      <c r="Q1348" s="49"/>
      <c r="R1348" s="49"/>
      <c r="S1348" s="49"/>
      <c r="T1348" s="49"/>
      <c r="U1348" s="49"/>
      <c r="V1348" s="49"/>
      <c r="W1348" s="49"/>
      <c r="X1348" s="49"/>
      <c r="Y1348" s="49"/>
      <c r="Z1348" s="49"/>
      <c r="AA1348" s="49"/>
      <c r="AB1348" s="49"/>
      <c r="AC1348" s="49"/>
    </row>
    <row r="1349" spans="1:29" s="173" customFormat="1">
      <c r="A1349" s="63" t="s">
        <v>573</v>
      </c>
      <c r="B1349" s="78" t="s">
        <v>574</v>
      </c>
      <c r="C1349" s="271">
        <f>VLOOKUP($A$8:$A$1487,'[7]MFP''s'!A$8:C$1502,3,FALSE)</f>
        <v>530</v>
      </c>
      <c r="D1349" s="364">
        <v>268.65699999999998</v>
      </c>
      <c r="E1349" s="274">
        <f t="shared" si="121"/>
        <v>0.49309999999999998</v>
      </c>
      <c r="F1349" s="196">
        <f t="shared" si="122"/>
        <v>10.093443489999999</v>
      </c>
      <c r="G1349" s="196">
        <f t="shared" si="119"/>
        <v>7.9656800499999996</v>
      </c>
      <c r="H1349" s="199">
        <f t="shared" si="120"/>
        <v>6.7244847099999996</v>
      </c>
      <c r="J1349" s="172"/>
      <c r="K1349" s="172"/>
      <c r="L1349" s="172"/>
    </row>
    <row r="1350" spans="1:29" s="173" customFormat="1">
      <c r="A1350" s="63" t="s">
        <v>224</v>
      </c>
      <c r="B1350" s="78" t="s">
        <v>225</v>
      </c>
      <c r="C1350" s="271">
        <f>VLOOKUP($A$8:$A$1487,'[7]MFP''s'!A$8:C$1502,3,FALSE)</f>
        <v>1113</v>
      </c>
      <c r="D1350" s="364">
        <v>505</v>
      </c>
      <c r="E1350" s="274">
        <f t="shared" si="121"/>
        <v>0.54627133872416889</v>
      </c>
      <c r="F1350" s="196">
        <f t="shared" si="122"/>
        <v>18.972850000000001</v>
      </c>
      <c r="G1350" s="196">
        <f t="shared" si="119"/>
        <v>14.97325</v>
      </c>
      <c r="H1350" s="199">
        <f t="shared" si="120"/>
        <v>12.64015</v>
      </c>
      <c r="J1350" s="172"/>
      <c r="K1350" s="172"/>
      <c r="L1350" s="172"/>
    </row>
    <row r="1351" spans="1:29" s="173" customFormat="1">
      <c r="A1351" s="60" t="s">
        <v>283</v>
      </c>
      <c r="B1351" s="193"/>
      <c r="C1351" s="271"/>
      <c r="D1351" s="364"/>
      <c r="E1351" s="274"/>
      <c r="F1351" s="196"/>
      <c r="G1351" s="196"/>
      <c r="H1351" s="199"/>
      <c r="J1351" s="172"/>
      <c r="K1351" s="172"/>
      <c r="L1351" s="172"/>
    </row>
    <row r="1352" spans="1:29" s="173" customFormat="1" ht="30">
      <c r="A1352" s="63" t="s">
        <v>575</v>
      </c>
      <c r="B1352" s="77" t="s">
        <v>576</v>
      </c>
      <c r="C1352" s="271">
        <f>VLOOKUP($A$8:$A$1487,'[7]MFP''s'!A$8:C$1502,3,FALSE)</f>
        <v>3540</v>
      </c>
      <c r="D1352" s="364">
        <v>1947.0000000000002</v>
      </c>
      <c r="E1352" s="274">
        <f t="shared" si="121"/>
        <v>0.44999999999999996</v>
      </c>
      <c r="F1352" s="196">
        <f t="shared" si="122"/>
        <v>73.148790000000005</v>
      </c>
      <c r="G1352" s="196">
        <f t="shared" si="119"/>
        <v>57.728550000000006</v>
      </c>
      <c r="H1352" s="199">
        <f t="shared" si="120"/>
        <v>48.733410000000006</v>
      </c>
      <c r="J1352" s="172"/>
      <c r="K1352" s="172"/>
      <c r="L1352" s="172"/>
    </row>
    <row r="1353" spans="1:29" s="173" customFormat="1">
      <c r="A1353" s="60" t="s">
        <v>316</v>
      </c>
      <c r="B1353" s="193"/>
      <c r="C1353" s="271"/>
      <c r="D1353" s="364"/>
      <c r="E1353" s="274"/>
      <c r="F1353" s="196"/>
      <c r="G1353" s="196"/>
      <c r="H1353" s="199"/>
      <c r="J1353" s="172"/>
      <c r="K1353" s="172"/>
      <c r="L1353" s="172"/>
    </row>
    <row r="1354" spans="1:29" s="173" customFormat="1">
      <c r="A1354" s="63" t="s">
        <v>577</v>
      </c>
      <c r="B1354" s="78" t="s">
        <v>578</v>
      </c>
      <c r="C1354" s="271">
        <f>VLOOKUP($A$8:$A$1487,'[7]MFP''s'!A$8:C$1502,3,FALSE)</f>
        <v>55600</v>
      </c>
      <c r="D1354" s="364">
        <v>26326.600000000002</v>
      </c>
      <c r="E1354" s="274">
        <f t="shared" si="121"/>
        <v>0.52649999999999997</v>
      </c>
      <c r="F1354" s="196">
        <f t="shared" si="122"/>
        <v>989.09036200000003</v>
      </c>
      <c r="G1354" s="196">
        <f t="shared" ref="G1354:G1418" si="123">D1354*$G$1</f>
        <v>780.58369000000005</v>
      </c>
      <c r="H1354" s="199">
        <f t="shared" ref="H1354:H1418" si="124">D1354*$H$1</f>
        <v>658.9547980000001</v>
      </c>
      <c r="J1354" s="172"/>
      <c r="K1354" s="172"/>
      <c r="L1354" s="172"/>
    </row>
    <row r="1355" spans="1:29" s="173" customFormat="1">
      <c r="A1355" s="63" t="s">
        <v>579</v>
      </c>
      <c r="B1355" s="78" t="s">
        <v>580</v>
      </c>
      <c r="C1355" s="271">
        <f>VLOOKUP($A$8:$A$1487,'[7]MFP''s'!A$8:C$1502,3,FALSE)</f>
        <v>13000</v>
      </c>
      <c r="D1355" s="364">
        <v>7150.0000000000009</v>
      </c>
      <c r="E1355" s="274">
        <f t="shared" si="121"/>
        <v>0.44999999999999996</v>
      </c>
      <c r="F1355" s="196">
        <f t="shared" si="122"/>
        <v>268.62550000000005</v>
      </c>
      <c r="G1355" s="196">
        <f t="shared" si="123"/>
        <v>211.99750000000003</v>
      </c>
      <c r="H1355" s="199">
        <f t="shared" si="124"/>
        <v>178.96450000000002</v>
      </c>
      <c r="J1355" s="172"/>
      <c r="K1355" s="172"/>
      <c r="L1355" s="172"/>
    </row>
    <row r="1356" spans="1:29" s="173" customFormat="1">
      <c r="A1356" s="63" t="s">
        <v>482</v>
      </c>
      <c r="B1356" s="78" t="s">
        <v>483</v>
      </c>
      <c r="C1356" s="271">
        <f>VLOOKUP($A$8:$A$1487,'[7]MFP''s'!A$8:C$1502,3,FALSE)</f>
        <v>30492</v>
      </c>
      <c r="D1356" s="364">
        <v>16770.600000000002</v>
      </c>
      <c r="E1356" s="274">
        <f t="shared" si="121"/>
        <v>0.44999999999999996</v>
      </c>
      <c r="F1356" s="196">
        <f t="shared" si="122"/>
        <v>630.07144200000005</v>
      </c>
      <c r="G1356" s="196">
        <f t="shared" si="123"/>
        <v>497.24829000000005</v>
      </c>
      <c r="H1356" s="199">
        <f t="shared" si="124"/>
        <v>419.76811800000007</v>
      </c>
      <c r="J1356" s="172"/>
      <c r="K1356" s="172"/>
      <c r="L1356" s="172"/>
    </row>
    <row r="1357" spans="1:29" s="173" customFormat="1">
      <c r="A1357" s="63" t="s">
        <v>514</v>
      </c>
      <c r="B1357" s="78" t="s">
        <v>515</v>
      </c>
      <c r="C1357" s="271">
        <f>VLOOKUP($A$8:$A$1487,'[7]MFP''s'!A$8:C$1502,3,FALSE)</f>
        <v>2500</v>
      </c>
      <c r="D1357" s="364">
        <v>1388.89</v>
      </c>
      <c r="E1357" s="274">
        <f t="shared" si="121"/>
        <v>0.44444399999999995</v>
      </c>
      <c r="F1357" s="196">
        <f t="shared" si="122"/>
        <v>52.180597300000002</v>
      </c>
      <c r="G1357" s="196">
        <f t="shared" si="123"/>
        <v>41.180588499999999</v>
      </c>
      <c r="H1357" s="199">
        <f t="shared" si="124"/>
        <v>34.763916700000003</v>
      </c>
      <c r="J1357" s="172"/>
      <c r="K1357" s="172"/>
      <c r="L1357" s="172"/>
    </row>
    <row r="1358" spans="1:29" s="173" customFormat="1">
      <c r="A1358" s="63" t="s">
        <v>516</v>
      </c>
      <c r="B1358" s="78" t="s">
        <v>517</v>
      </c>
      <c r="C1358" s="271">
        <f>VLOOKUP($A$8:$A$1487,'[7]MFP''s'!A$8:C$1502,3,FALSE)</f>
        <v>1100</v>
      </c>
      <c r="D1358" s="364">
        <v>629.44000000000005</v>
      </c>
      <c r="E1358" s="274">
        <f t="shared" si="121"/>
        <v>0.42778181818181815</v>
      </c>
      <c r="F1358" s="196">
        <f t="shared" si="122"/>
        <v>23.648060800000003</v>
      </c>
      <c r="G1358" s="196">
        <f t="shared" si="123"/>
        <v>18.662896</v>
      </c>
      <c r="H1358" s="199">
        <f t="shared" si="124"/>
        <v>15.754883200000002</v>
      </c>
      <c r="J1358" s="172"/>
      <c r="K1358" s="172"/>
      <c r="L1358" s="172"/>
    </row>
    <row r="1359" spans="1:29" s="173" customFormat="1">
      <c r="A1359" s="63" t="s">
        <v>518</v>
      </c>
      <c r="B1359" s="78" t="s">
        <v>519</v>
      </c>
      <c r="C1359" s="271">
        <f>VLOOKUP($A$8:$A$1487,'[7]MFP''s'!A$8:C$1502,3,FALSE)</f>
        <v>3000</v>
      </c>
      <c r="D1359" s="364">
        <v>1773.89</v>
      </c>
      <c r="E1359" s="274">
        <f t="shared" si="121"/>
        <v>0.40870333333333331</v>
      </c>
      <c r="F1359" s="196">
        <f t="shared" si="122"/>
        <v>66.645047300000002</v>
      </c>
      <c r="G1359" s="196">
        <f t="shared" si="123"/>
        <v>52.595838499999999</v>
      </c>
      <c r="H1359" s="199">
        <f t="shared" si="124"/>
        <v>44.400466700000003</v>
      </c>
      <c r="J1359" s="172"/>
      <c r="K1359" s="172"/>
      <c r="L1359" s="172"/>
    </row>
    <row r="1360" spans="1:29" s="173" customFormat="1">
      <c r="A1360" s="63" t="s">
        <v>520</v>
      </c>
      <c r="B1360" s="78" t="s">
        <v>521</v>
      </c>
      <c r="C1360" s="271">
        <f>VLOOKUP($A$8:$A$1487,'[7]MFP''s'!A$8:C$1502,3,FALSE)</f>
        <v>3500</v>
      </c>
      <c r="D1360" s="364">
        <v>2625</v>
      </c>
      <c r="E1360" s="274">
        <f t="shared" si="121"/>
        <v>0.25</v>
      </c>
      <c r="F1360" s="196">
        <f t="shared" si="122"/>
        <v>98.621250000000003</v>
      </c>
      <c r="G1360" s="196">
        <f t="shared" si="123"/>
        <v>77.831249999999997</v>
      </c>
      <c r="H1360" s="199">
        <f t="shared" si="124"/>
        <v>65.703749999999999</v>
      </c>
      <c r="J1360" s="172"/>
      <c r="K1360" s="172"/>
      <c r="L1360" s="172"/>
    </row>
    <row r="1361" spans="1:29">
      <c r="A1361" s="63" t="s">
        <v>528</v>
      </c>
      <c r="B1361" s="61" t="s">
        <v>529</v>
      </c>
      <c r="C1361" s="271">
        <f>VLOOKUP($A$8:$A$1487,'[7]MFP''s'!A$8:C$1502,3,FALSE)</f>
        <v>7000</v>
      </c>
      <c r="D1361" s="364">
        <v>5250</v>
      </c>
      <c r="E1361" s="274">
        <f t="shared" si="121"/>
        <v>0.25</v>
      </c>
      <c r="F1361" s="196">
        <f t="shared" si="122"/>
        <v>197.24250000000001</v>
      </c>
      <c r="G1361" s="196">
        <f t="shared" si="123"/>
        <v>155.66249999999999</v>
      </c>
      <c r="H1361" s="199">
        <f t="shared" si="124"/>
        <v>131.4075</v>
      </c>
      <c r="M1361" s="49"/>
      <c r="N1361" s="49"/>
      <c r="O1361" s="49"/>
      <c r="P1361" s="49"/>
      <c r="Q1361" s="49"/>
      <c r="R1361" s="49"/>
      <c r="S1361" s="49"/>
      <c r="T1361" s="49"/>
      <c r="U1361" s="49"/>
      <c r="V1361" s="49"/>
      <c r="W1361" s="49"/>
      <c r="X1361" s="49"/>
      <c r="Y1361" s="49"/>
      <c r="Z1361" s="49"/>
      <c r="AA1361" s="49"/>
      <c r="AB1361" s="49"/>
      <c r="AC1361" s="49"/>
    </row>
    <row r="1362" spans="1:29">
      <c r="A1362" s="63" t="s">
        <v>530</v>
      </c>
      <c r="B1362" s="61" t="s">
        <v>531</v>
      </c>
      <c r="C1362" s="271">
        <f>VLOOKUP($A$8:$A$1487,'[7]MFP''s'!A$8:C$1502,3,FALSE)</f>
        <v>1200</v>
      </c>
      <c r="D1362" s="364">
        <v>900</v>
      </c>
      <c r="E1362" s="274">
        <f t="shared" si="121"/>
        <v>0.25</v>
      </c>
      <c r="F1362" s="196">
        <f t="shared" si="122"/>
        <v>33.813000000000002</v>
      </c>
      <c r="G1362" s="196">
        <f t="shared" si="123"/>
        <v>26.684999999999999</v>
      </c>
      <c r="H1362" s="199">
        <f t="shared" si="124"/>
        <v>22.527000000000001</v>
      </c>
      <c r="M1362" s="49"/>
      <c r="N1362" s="49"/>
      <c r="O1362" s="49"/>
      <c r="P1362" s="49"/>
      <c r="Q1362" s="49"/>
      <c r="R1362" s="49"/>
      <c r="S1362" s="49"/>
      <c r="T1362" s="49"/>
      <c r="U1362" s="49"/>
      <c r="V1362" s="49"/>
      <c r="W1362" s="49"/>
      <c r="X1362" s="49"/>
      <c r="Y1362" s="49"/>
      <c r="Z1362" s="49"/>
      <c r="AA1362" s="49"/>
      <c r="AB1362" s="49"/>
      <c r="AC1362" s="49"/>
    </row>
    <row r="1363" spans="1:29" ht="30">
      <c r="A1363" s="63" t="s">
        <v>532</v>
      </c>
      <c r="B1363" s="61" t="s">
        <v>533</v>
      </c>
      <c r="C1363" s="271">
        <f>VLOOKUP($A$8:$A$1487,'[7]MFP''s'!A$8:C$1502,3,FALSE)</f>
        <v>2670</v>
      </c>
      <c r="D1363" s="364">
        <v>2002.5</v>
      </c>
      <c r="E1363" s="274">
        <f t="shared" si="121"/>
        <v>0.25</v>
      </c>
      <c r="F1363" s="196">
        <f t="shared" si="122"/>
        <v>75.233924999999999</v>
      </c>
      <c r="G1363" s="196">
        <f t="shared" si="123"/>
        <v>59.374124999999999</v>
      </c>
      <c r="H1363" s="199">
        <f t="shared" si="124"/>
        <v>50.122574999999998</v>
      </c>
      <c r="M1363" s="49"/>
      <c r="N1363" s="49"/>
      <c r="O1363" s="49"/>
      <c r="P1363" s="49"/>
      <c r="Q1363" s="49"/>
      <c r="R1363" s="49"/>
      <c r="S1363" s="49"/>
      <c r="T1363" s="49"/>
      <c r="U1363" s="49"/>
      <c r="V1363" s="49"/>
      <c r="W1363" s="49"/>
      <c r="X1363" s="49"/>
      <c r="Y1363" s="49"/>
      <c r="Z1363" s="49"/>
      <c r="AA1363" s="49"/>
      <c r="AB1363" s="49"/>
      <c r="AC1363" s="49"/>
    </row>
    <row r="1364" spans="1:29" ht="30">
      <c r="A1364" s="63" t="s">
        <v>534</v>
      </c>
      <c r="B1364" s="61" t="s">
        <v>535</v>
      </c>
      <c r="C1364" s="271">
        <f>VLOOKUP($A$8:$A$1487,'[7]MFP''s'!A$8:C$1502,3,FALSE)</f>
        <v>11625</v>
      </c>
      <c r="D1364" s="364">
        <v>8718.75</v>
      </c>
      <c r="E1364" s="274">
        <f t="shared" si="121"/>
        <v>0.25</v>
      </c>
      <c r="F1364" s="196">
        <f t="shared" si="122"/>
        <v>327.56343750000002</v>
      </c>
      <c r="G1364" s="196">
        <f t="shared" si="123"/>
        <v>258.51093750000001</v>
      </c>
      <c r="H1364" s="199">
        <f t="shared" si="124"/>
        <v>218.2303125</v>
      </c>
      <c r="M1364" s="49"/>
      <c r="N1364" s="49"/>
      <c r="O1364" s="49"/>
      <c r="P1364" s="49"/>
      <c r="Q1364" s="49"/>
      <c r="R1364" s="49"/>
      <c r="S1364" s="49"/>
      <c r="T1364" s="49"/>
      <c r="U1364" s="49"/>
      <c r="V1364" s="49"/>
      <c r="W1364" s="49"/>
      <c r="X1364" s="49"/>
      <c r="Y1364" s="49"/>
      <c r="Z1364" s="49"/>
      <c r="AA1364" s="49"/>
      <c r="AB1364" s="49"/>
      <c r="AC1364" s="49"/>
    </row>
    <row r="1365" spans="1:29">
      <c r="A1365" s="63" t="s">
        <v>536</v>
      </c>
      <c r="B1365" s="74" t="s">
        <v>537</v>
      </c>
      <c r="C1365" s="271">
        <f>VLOOKUP($A$8:$A$1487,'[7]MFP''s'!A$8:C$1502,3,FALSE)</f>
        <v>700</v>
      </c>
      <c r="D1365" s="364">
        <v>525</v>
      </c>
      <c r="E1365" s="274">
        <f t="shared" si="121"/>
        <v>0.25</v>
      </c>
      <c r="F1365" s="196">
        <f t="shared" si="122"/>
        <v>19.724249999999998</v>
      </c>
      <c r="G1365" s="196">
        <f t="shared" si="123"/>
        <v>15.56625</v>
      </c>
      <c r="H1365" s="199">
        <f t="shared" si="124"/>
        <v>13.140750000000001</v>
      </c>
      <c r="M1365" s="49"/>
      <c r="N1365" s="49"/>
      <c r="O1365" s="49"/>
      <c r="P1365" s="49"/>
      <c r="Q1365" s="49"/>
      <c r="R1365" s="49"/>
      <c r="S1365" s="49"/>
      <c r="T1365" s="49"/>
      <c r="U1365" s="49"/>
      <c r="V1365" s="49"/>
      <c r="W1365" s="49"/>
      <c r="X1365" s="49"/>
      <c r="Y1365" s="49"/>
      <c r="Z1365" s="49"/>
      <c r="AA1365" s="49"/>
      <c r="AB1365" s="49"/>
      <c r="AC1365" s="49"/>
    </row>
    <row r="1366" spans="1:29">
      <c r="A1366" s="63" t="s">
        <v>456</v>
      </c>
      <c r="B1366" s="61" t="s">
        <v>457</v>
      </c>
      <c r="C1366" s="271">
        <f>VLOOKUP($A$8:$A$1487,'[7]MFP''s'!A$8:C$1502,3,FALSE)</f>
        <v>1000</v>
      </c>
      <c r="D1366" s="364">
        <v>555.1</v>
      </c>
      <c r="E1366" s="274">
        <f t="shared" si="121"/>
        <v>0.44489999999999996</v>
      </c>
      <c r="F1366" s="196">
        <f t="shared" si="122"/>
        <v>20.855107</v>
      </c>
      <c r="G1366" s="196">
        <f t="shared" si="123"/>
        <v>16.458715000000002</v>
      </c>
      <c r="H1366" s="199">
        <f t="shared" si="124"/>
        <v>13.894153000000001</v>
      </c>
      <c r="M1366" s="49"/>
      <c r="N1366" s="49"/>
      <c r="O1366" s="49"/>
      <c r="P1366" s="49"/>
      <c r="Q1366" s="49"/>
      <c r="R1366" s="49"/>
      <c r="S1366" s="49"/>
      <c r="T1366" s="49"/>
      <c r="U1366" s="49"/>
      <c r="V1366" s="49"/>
      <c r="W1366" s="49"/>
      <c r="X1366" s="49"/>
      <c r="Y1366" s="49"/>
      <c r="Z1366" s="49"/>
      <c r="AA1366" s="49"/>
      <c r="AB1366" s="49"/>
      <c r="AC1366" s="49"/>
    </row>
    <row r="1367" spans="1:29">
      <c r="A1367" s="63" t="s">
        <v>489</v>
      </c>
      <c r="B1367" s="61" t="s">
        <v>490</v>
      </c>
      <c r="C1367" s="271">
        <f>VLOOKUP($A$8:$A$1487,'[7]MFP''s'!A$8:C$1502,3,FALSE)</f>
        <v>1000</v>
      </c>
      <c r="D1367" s="364">
        <v>550</v>
      </c>
      <c r="E1367" s="274">
        <f t="shared" si="121"/>
        <v>0.44999999999999996</v>
      </c>
      <c r="F1367" s="196">
        <f t="shared" si="122"/>
        <v>20.663499999999999</v>
      </c>
      <c r="G1367" s="196">
        <f t="shared" si="123"/>
        <v>16.307500000000001</v>
      </c>
      <c r="H1367" s="199">
        <f t="shared" si="124"/>
        <v>13.766500000000001</v>
      </c>
      <c r="M1367" s="49"/>
      <c r="N1367" s="49"/>
      <c r="O1367" s="49"/>
      <c r="P1367" s="49"/>
      <c r="Q1367" s="49"/>
      <c r="R1367" s="49"/>
      <c r="S1367" s="49"/>
      <c r="T1367" s="49"/>
      <c r="U1367" s="49"/>
      <c r="V1367" s="49"/>
      <c r="W1367" s="49"/>
      <c r="X1367" s="49"/>
      <c r="Y1367" s="49"/>
      <c r="Z1367" s="49"/>
      <c r="AA1367" s="49"/>
      <c r="AB1367" s="49"/>
      <c r="AC1367" s="49"/>
    </row>
    <row r="1368" spans="1:29">
      <c r="A1368" s="63" t="s">
        <v>540</v>
      </c>
      <c r="B1368" s="61" t="s">
        <v>541</v>
      </c>
      <c r="C1368" s="271">
        <f>VLOOKUP($A$8:$A$1487,'[7]MFP''s'!A$8:C$1502,3,FALSE)</f>
        <v>5200</v>
      </c>
      <c r="D1368" s="364">
        <v>2888.89</v>
      </c>
      <c r="E1368" s="274">
        <f t="shared" si="121"/>
        <v>0.44444423076923079</v>
      </c>
      <c r="F1368" s="196">
        <f t="shared" si="122"/>
        <v>108.53559729999999</v>
      </c>
      <c r="G1368" s="196">
        <f t="shared" si="123"/>
        <v>85.655588499999993</v>
      </c>
      <c r="H1368" s="199">
        <f t="shared" si="124"/>
        <v>72.308916699999997</v>
      </c>
      <c r="M1368" s="49"/>
      <c r="N1368" s="49"/>
      <c r="O1368" s="49"/>
      <c r="P1368" s="49"/>
      <c r="Q1368" s="49"/>
      <c r="R1368" s="49"/>
      <c r="S1368" s="49"/>
      <c r="T1368" s="49"/>
      <c r="U1368" s="49"/>
      <c r="V1368" s="49"/>
      <c r="W1368" s="49"/>
      <c r="X1368" s="49"/>
      <c r="Y1368" s="49"/>
      <c r="Z1368" s="49"/>
      <c r="AA1368" s="49"/>
      <c r="AB1368" s="49"/>
      <c r="AC1368" s="49"/>
    </row>
    <row r="1369" spans="1:29">
      <c r="A1369" s="63" t="s">
        <v>542</v>
      </c>
      <c r="B1369" s="61" t="s">
        <v>543</v>
      </c>
      <c r="C1369" s="271">
        <f>VLOOKUP($A$8:$A$1487,'[7]MFP''s'!A$8:C$1502,3,FALSE)</f>
        <v>5200</v>
      </c>
      <c r="D1369" s="364">
        <v>2888.89</v>
      </c>
      <c r="E1369" s="274">
        <f t="shared" si="121"/>
        <v>0.44444423076923079</v>
      </c>
      <c r="F1369" s="196">
        <f t="shared" si="122"/>
        <v>108.53559729999999</v>
      </c>
      <c r="G1369" s="196">
        <f t="shared" si="123"/>
        <v>85.655588499999993</v>
      </c>
      <c r="H1369" s="199">
        <f t="shared" si="124"/>
        <v>72.308916699999997</v>
      </c>
      <c r="M1369" s="49"/>
      <c r="N1369" s="49"/>
      <c r="O1369" s="49"/>
      <c r="P1369" s="49"/>
      <c r="Q1369" s="49"/>
      <c r="R1369" s="49"/>
      <c r="S1369" s="49"/>
      <c r="T1369" s="49"/>
      <c r="U1369" s="49"/>
      <c r="V1369" s="49"/>
      <c r="W1369" s="49"/>
      <c r="X1369" s="49"/>
      <c r="Y1369" s="49"/>
      <c r="Z1369" s="49"/>
      <c r="AA1369" s="49"/>
      <c r="AB1369" s="49"/>
      <c r="AC1369" s="49"/>
    </row>
    <row r="1370" spans="1:29">
      <c r="A1370" s="63" t="s">
        <v>544</v>
      </c>
      <c r="B1370" s="61" t="s">
        <v>545</v>
      </c>
      <c r="C1370" s="271">
        <f>VLOOKUP($A$8:$A$1487,'[7]MFP''s'!A$8:C$1502,3,FALSE)</f>
        <v>5200</v>
      </c>
      <c r="D1370" s="364">
        <v>2888.89</v>
      </c>
      <c r="E1370" s="274">
        <f t="shared" si="121"/>
        <v>0.44444423076923079</v>
      </c>
      <c r="F1370" s="196">
        <f t="shared" si="122"/>
        <v>108.53559729999999</v>
      </c>
      <c r="G1370" s="196">
        <f t="shared" si="123"/>
        <v>85.655588499999993</v>
      </c>
      <c r="H1370" s="199">
        <f t="shared" si="124"/>
        <v>72.308916699999997</v>
      </c>
      <c r="M1370" s="49"/>
      <c r="N1370" s="49"/>
      <c r="O1370" s="49"/>
      <c r="P1370" s="49"/>
      <c r="Q1370" s="49"/>
      <c r="R1370" s="49"/>
      <c r="S1370" s="49"/>
      <c r="T1370" s="49"/>
      <c r="U1370" s="49"/>
      <c r="V1370" s="49"/>
      <c r="W1370" s="49"/>
      <c r="X1370" s="49"/>
      <c r="Y1370" s="49"/>
      <c r="Z1370" s="49"/>
      <c r="AA1370" s="49"/>
      <c r="AB1370" s="49"/>
      <c r="AC1370" s="49"/>
    </row>
    <row r="1371" spans="1:29">
      <c r="A1371" s="63" t="s">
        <v>546</v>
      </c>
      <c r="B1371" s="61" t="s">
        <v>547</v>
      </c>
      <c r="C1371" s="271">
        <f>VLOOKUP($A$8:$A$1487,'[7]MFP''s'!A$8:C$1502,3,FALSE)</f>
        <v>2395</v>
      </c>
      <c r="D1371" s="364">
        <v>1328.89</v>
      </c>
      <c r="E1371" s="274">
        <f t="shared" si="121"/>
        <v>0.4451398747390396</v>
      </c>
      <c r="F1371" s="196">
        <f t="shared" si="122"/>
        <v>49.926397300000005</v>
      </c>
      <c r="G1371" s="196">
        <f t="shared" si="123"/>
        <v>39.401588500000003</v>
      </c>
      <c r="H1371" s="199">
        <f t="shared" si="124"/>
        <v>33.2621167</v>
      </c>
      <c r="M1371" s="49"/>
      <c r="N1371" s="49"/>
      <c r="O1371" s="49"/>
      <c r="P1371" s="49"/>
      <c r="Q1371" s="49"/>
      <c r="R1371" s="49"/>
      <c r="S1371" s="49"/>
      <c r="T1371" s="49"/>
      <c r="U1371" s="49"/>
      <c r="V1371" s="49"/>
      <c r="W1371" s="49"/>
      <c r="X1371" s="49"/>
      <c r="Y1371" s="49"/>
      <c r="Z1371" s="49"/>
      <c r="AA1371" s="49"/>
      <c r="AB1371" s="49"/>
      <c r="AC1371" s="49"/>
    </row>
    <row r="1372" spans="1:29" s="173" customFormat="1">
      <c r="A1372" s="63" t="s">
        <v>581</v>
      </c>
      <c r="B1372" s="78" t="s">
        <v>582</v>
      </c>
      <c r="C1372" s="271">
        <f>VLOOKUP($A$8:$A$1487,'[7]MFP''s'!A$8:C$1502,3,FALSE)</f>
        <v>16595</v>
      </c>
      <c r="D1372" s="364">
        <v>8629.4</v>
      </c>
      <c r="E1372" s="274">
        <f t="shared" si="121"/>
        <v>0.48</v>
      </c>
      <c r="F1372" s="196">
        <f t="shared" si="122"/>
        <v>324.20655799999997</v>
      </c>
      <c r="G1372" s="196">
        <f t="shared" si="123"/>
        <v>255.86170999999999</v>
      </c>
      <c r="H1372" s="199">
        <f t="shared" si="124"/>
        <v>215.99388199999999</v>
      </c>
      <c r="J1372" s="172"/>
      <c r="K1372" s="172"/>
      <c r="L1372" s="172"/>
    </row>
    <row r="1373" spans="1:29" s="173" customFormat="1">
      <c r="A1373" s="63" t="s">
        <v>583</v>
      </c>
      <c r="B1373" s="78" t="s">
        <v>584</v>
      </c>
      <c r="C1373" s="271">
        <f>VLOOKUP($A$8:$A$1487,'[7]MFP''s'!A$8:C$1502,3,FALSE)</f>
        <v>32850</v>
      </c>
      <c r="D1373" s="364">
        <v>17082</v>
      </c>
      <c r="E1373" s="274">
        <f t="shared" si="121"/>
        <v>0.48</v>
      </c>
      <c r="F1373" s="196">
        <f t="shared" si="122"/>
        <v>641.77073999999993</v>
      </c>
      <c r="G1373" s="196">
        <f t="shared" si="123"/>
        <v>506.48129999999998</v>
      </c>
      <c r="H1373" s="199">
        <f t="shared" si="124"/>
        <v>427.56245999999999</v>
      </c>
      <c r="J1373" s="172"/>
      <c r="K1373" s="172"/>
      <c r="L1373" s="172"/>
    </row>
    <row r="1374" spans="1:29">
      <c r="A1374" s="60" t="s">
        <v>47</v>
      </c>
      <c r="B1374" s="65"/>
      <c r="C1374" s="271"/>
      <c r="D1374" s="364"/>
      <c r="E1374" s="274"/>
      <c r="F1374" s="196"/>
      <c r="G1374" s="196"/>
      <c r="H1374" s="199"/>
      <c r="M1374" s="49"/>
      <c r="N1374" s="49"/>
      <c r="O1374" s="49"/>
      <c r="P1374" s="49"/>
      <c r="Q1374" s="49"/>
      <c r="R1374" s="49"/>
      <c r="S1374" s="49"/>
      <c r="T1374" s="49"/>
      <c r="U1374" s="49"/>
      <c r="V1374" s="49"/>
      <c r="W1374" s="49"/>
      <c r="X1374" s="49"/>
      <c r="Y1374" s="49"/>
      <c r="Z1374" s="49"/>
      <c r="AA1374" s="49"/>
      <c r="AB1374" s="49"/>
      <c r="AC1374" s="49"/>
    </row>
    <row r="1375" spans="1:29">
      <c r="A1375" s="63" t="s">
        <v>440</v>
      </c>
      <c r="B1375" s="76" t="s">
        <v>585</v>
      </c>
      <c r="C1375" s="271">
        <f>VLOOKUP($A$8:$A$1487,'[7]MFP''s'!A$8:C$1502,3,FALSE)</f>
        <v>350</v>
      </c>
      <c r="D1375" s="364">
        <v>209.81</v>
      </c>
      <c r="E1375" s="274">
        <f t="shared" si="121"/>
        <v>0.40054285714285709</v>
      </c>
      <c r="F1375" s="196">
        <f t="shared" si="122"/>
        <v>7.8825617000000001</v>
      </c>
      <c r="G1375" s="196">
        <f t="shared" si="123"/>
        <v>6.2208664999999996</v>
      </c>
      <c r="H1375" s="199">
        <f t="shared" si="124"/>
        <v>5.2515442999999999</v>
      </c>
      <c r="M1375" s="49"/>
      <c r="N1375" s="49"/>
      <c r="O1375" s="49"/>
      <c r="P1375" s="49"/>
      <c r="Q1375" s="49"/>
      <c r="R1375" s="49"/>
      <c r="S1375" s="49"/>
      <c r="T1375" s="49"/>
      <c r="U1375" s="49"/>
      <c r="V1375" s="49"/>
      <c r="W1375" s="49"/>
      <c r="X1375" s="49"/>
      <c r="Y1375" s="49"/>
      <c r="Z1375" s="49"/>
      <c r="AA1375" s="49"/>
      <c r="AB1375" s="49"/>
      <c r="AC1375" s="49"/>
    </row>
    <row r="1376" spans="1:29">
      <c r="A1376" s="63" t="s">
        <v>442</v>
      </c>
      <c r="B1376" s="77" t="s">
        <v>443</v>
      </c>
      <c r="C1376" s="271">
        <f>VLOOKUP($A$8:$A$1487,'[7]MFP''s'!A$8:C$1502,3,FALSE)</f>
        <v>1059</v>
      </c>
      <c r="D1376" s="364">
        <v>875</v>
      </c>
      <c r="E1376" s="274">
        <f t="shared" si="121"/>
        <v>0.17374881964117095</v>
      </c>
      <c r="F1376" s="196">
        <f t="shared" si="122"/>
        <v>32.873750000000001</v>
      </c>
      <c r="G1376" s="196">
        <f t="shared" si="123"/>
        <v>25.943749999999998</v>
      </c>
      <c r="H1376" s="199">
        <f t="shared" si="124"/>
        <v>21.901250000000001</v>
      </c>
      <c r="M1376" s="49"/>
      <c r="N1376" s="49"/>
      <c r="O1376" s="49"/>
      <c r="P1376" s="49"/>
      <c r="Q1376" s="49"/>
      <c r="R1376" s="49"/>
      <c r="S1376" s="49"/>
      <c r="T1376" s="49"/>
      <c r="U1376" s="49"/>
      <c r="V1376" s="49"/>
      <c r="W1376" s="49"/>
      <c r="X1376" s="49"/>
      <c r="Y1376" s="49"/>
      <c r="Z1376" s="49"/>
      <c r="AA1376" s="49"/>
      <c r="AB1376" s="49"/>
      <c r="AC1376" s="49"/>
    </row>
    <row r="1377" spans="1:29">
      <c r="A1377" s="63" t="s">
        <v>385</v>
      </c>
      <c r="B1377" s="77" t="s">
        <v>386</v>
      </c>
      <c r="C1377" s="271">
        <f>VLOOKUP($A$8:$A$1487,'[7]MFP''s'!A$8:C$1502,3,FALSE)</f>
        <v>275</v>
      </c>
      <c r="D1377" s="364">
        <v>227</v>
      </c>
      <c r="E1377" s="274">
        <f t="shared" si="121"/>
        <v>0.17454545454545456</v>
      </c>
      <c r="F1377" s="196">
        <f t="shared" si="122"/>
        <v>8.5283899999999999</v>
      </c>
      <c r="G1377" s="196">
        <f t="shared" si="123"/>
        <v>6.73055</v>
      </c>
      <c r="H1377" s="199">
        <f t="shared" si="124"/>
        <v>5.6818100000000005</v>
      </c>
      <c r="M1377" s="49"/>
      <c r="N1377" s="49"/>
      <c r="O1377" s="49"/>
      <c r="P1377" s="49"/>
      <c r="Q1377" s="49"/>
      <c r="R1377" s="49"/>
      <c r="S1377" s="49"/>
      <c r="T1377" s="49"/>
      <c r="U1377" s="49"/>
      <c r="V1377" s="49"/>
      <c r="W1377" s="49"/>
      <c r="X1377" s="49"/>
      <c r="Y1377" s="49"/>
      <c r="Z1377" s="49"/>
      <c r="AA1377" s="49"/>
      <c r="AB1377" s="49"/>
      <c r="AC1377" s="49"/>
    </row>
    <row r="1378" spans="1:29">
      <c r="A1378" s="63" t="s">
        <v>458</v>
      </c>
      <c r="B1378" s="77" t="s">
        <v>459</v>
      </c>
      <c r="C1378" s="271">
        <f>VLOOKUP($A$8:$A$1487,'[7]MFP''s'!A$8:C$1502,3,FALSE)</f>
        <v>498</v>
      </c>
      <c r="D1378" s="364">
        <v>261.40020000000004</v>
      </c>
      <c r="E1378" s="274">
        <f t="shared" si="121"/>
        <v>0.47509999999999997</v>
      </c>
      <c r="F1378" s="196">
        <f t="shared" si="122"/>
        <v>9.8208055140000017</v>
      </c>
      <c r="G1378" s="196">
        <f t="shared" si="123"/>
        <v>7.7505159300000006</v>
      </c>
      <c r="H1378" s="199">
        <f t="shared" si="124"/>
        <v>6.5428470060000015</v>
      </c>
      <c r="M1378" s="49"/>
      <c r="N1378" s="49"/>
      <c r="O1378" s="49"/>
      <c r="P1378" s="49"/>
      <c r="Q1378" s="49"/>
      <c r="R1378" s="49"/>
      <c r="S1378" s="49"/>
      <c r="T1378" s="49"/>
      <c r="U1378" s="49"/>
      <c r="V1378" s="49"/>
      <c r="W1378" s="49"/>
      <c r="X1378" s="49"/>
      <c r="Y1378" s="49"/>
      <c r="Z1378" s="49"/>
      <c r="AA1378" s="49"/>
      <c r="AB1378" s="49"/>
      <c r="AC1378" s="49"/>
    </row>
    <row r="1379" spans="1:29">
      <c r="A1379" s="63" t="s">
        <v>551</v>
      </c>
      <c r="B1379" s="77" t="s">
        <v>552</v>
      </c>
      <c r="C1379" s="271">
        <f>VLOOKUP($A$8:$A$1487,'[7]MFP''s'!A$8:C$1502,3,FALSE)</f>
        <v>200</v>
      </c>
      <c r="D1379" s="364">
        <v>150</v>
      </c>
      <c r="E1379" s="274">
        <f t="shared" si="121"/>
        <v>0.25</v>
      </c>
      <c r="F1379" s="196">
        <f t="shared" si="122"/>
        <v>5.6354999999999995</v>
      </c>
      <c r="G1379" s="196">
        <f t="shared" si="123"/>
        <v>4.4474999999999998</v>
      </c>
      <c r="H1379" s="199">
        <f t="shared" si="124"/>
        <v>3.7545000000000002</v>
      </c>
      <c r="M1379" s="49"/>
      <c r="N1379" s="49"/>
      <c r="O1379" s="49"/>
      <c r="P1379" s="49"/>
      <c r="Q1379" s="49"/>
      <c r="R1379" s="49"/>
      <c r="S1379" s="49"/>
      <c r="T1379" s="49"/>
      <c r="U1379" s="49"/>
      <c r="V1379" s="49"/>
      <c r="W1379" s="49"/>
      <c r="X1379" s="49"/>
      <c r="Y1379" s="49"/>
      <c r="Z1379" s="49"/>
      <c r="AA1379" s="49"/>
      <c r="AB1379" s="49"/>
      <c r="AC1379" s="49"/>
    </row>
    <row r="1380" spans="1:29">
      <c r="A1380" s="75" t="s">
        <v>553</v>
      </c>
      <c r="B1380" s="77"/>
      <c r="C1380" s="271"/>
      <c r="D1380" s="364"/>
      <c r="E1380" s="274"/>
      <c r="F1380" s="196"/>
      <c r="G1380" s="196"/>
      <c r="H1380" s="199"/>
      <c r="M1380" s="49"/>
      <c r="N1380" s="49"/>
      <c r="O1380" s="49"/>
      <c r="P1380" s="49"/>
      <c r="Q1380" s="49"/>
      <c r="R1380" s="49"/>
      <c r="S1380" s="49"/>
      <c r="T1380" s="49"/>
      <c r="U1380" s="49"/>
      <c r="V1380" s="49"/>
      <c r="W1380" s="49"/>
      <c r="X1380" s="49"/>
      <c r="Y1380" s="49"/>
      <c r="Z1380" s="49"/>
      <c r="AA1380" s="49"/>
      <c r="AB1380" s="49"/>
      <c r="AC1380" s="49"/>
    </row>
    <row r="1381" spans="1:29">
      <c r="A1381" s="63" t="s">
        <v>556</v>
      </c>
      <c r="B1381" s="77" t="s">
        <v>557</v>
      </c>
      <c r="C1381" s="271">
        <f>VLOOKUP($A$8:$A$1487,'[7]MFP''s'!A$8:C$1502,3,FALSE)</f>
        <v>650</v>
      </c>
      <c r="D1381" s="364">
        <v>650</v>
      </c>
      <c r="E1381" s="274">
        <f t="shared" si="121"/>
        <v>0</v>
      </c>
      <c r="F1381" s="196">
        <f t="shared" si="122"/>
        <v>24.420500000000001</v>
      </c>
      <c r="G1381" s="196">
        <f t="shared" si="123"/>
        <v>19.272500000000001</v>
      </c>
      <c r="H1381" s="199">
        <f t="shared" si="124"/>
        <v>16.269500000000001</v>
      </c>
      <c r="M1381" s="49"/>
      <c r="N1381" s="49"/>
      <c r="O1381" s="49"/>
      <c r="P1381" s="49"/>
      <c r="Q1381" s="49"/>
      <c r="R1381" s="49"/>
      <c r="S1381" s="49"/>
      <c r="T1381" s="49"/>
      <c r="U1381" s="49"/>
      <c r="V1381" s="49"/>
      <c r="W1381" s="49"/>
      <c r="X1381" s="49"/>
      <c r="Y1381" s="49"/>
      <c r="Z1381" s="49"/>
      <c r="AA1381" s="49"/>
      <c r="AB1381" s="49"/>
      <c r="AC1381" s="49"/>
    </row>
    <row r="1382" spans="1:29" s="173" customFormat="1">
      <c r="A1382" s="63" t="s">
        <v>586</v>
      </c>
      <c r="B1382" s="77" t="s">
        <v>587</v>
      </c>
      <c r="C1382" s="271">
        <f>VLOOKUP($A$8:$A$1487,'[7]MFP''s'!A$8:C$1502,3,FALSE)</f>
        <v>825</v>
      </c>
      <c r="D1382" s="364">
        <v>346.67</v>
      </c>
      <c r="E1382" s="274">
        <f t="shared" ref="E1382:E1445" si="125">100%-(D1382/C1382)</f>
        <v>0.57979393939393931</v>
      </c>
      <c r="F1382" s="196">
        <f t="shared" si="122"/>
        <v>13.024391899999999</v>
      </c>
      <c r="G1382" s="196">
        <f t="shared" si="123"/>
        <v>10.2787655</v>
      </c>
      <c r="H1382" s="199">
        <f t="shared" si="124"/>
        <v>8.6771501000000004</v>
      </c>
      <c r="J1382" s="172"/>
      <c r="K1382" s="172"/>
      <c r="L1382" s="172"/>
    </row>
    <row r="1383" spans="1:29">
      <c r="A1383" s="212"/>
      <c r="B1383" s="213"/>
      <c r="C1383" s="215"/>
      <c r="D1383" s="369"/>
      <c r="E1383" s="215"/>
      <c r="F1383" s="215"/>
      <c r="G1383" s="215"/>
      <c r="H1383" s="216"/>
      <c r="M1383" s="49"/>
      <c r="N1383" s="49"/>
      <c r="O1383" s="49"/>
      <c r="P1383" s="49"/>
      <c r="Q1383" s="49"/>
      <c r="R1383" s="49"/>
      <c r="S1383" s="49"/>
      <c r="T1383" s="49"/>
      <c r="U1383" s="49"/>
      <c r="V1383" s="49"/>
      <c r="W1383" s="49"/>
      <c r="X1383" s="49"/>
      <c r="Y1383" s="49"/>
      <c r="Z1383" s="49"/>
      <c r="AA1383" s="49"/>
      <c r="AB1383" s="49"/>
      <c r="AC1383" s="49"/>
    </row>
    <row r="1384" spans="1:29" s="173" customFormat="1">
      <c r="A1384" s="220" t="s">
        <v>588</v>
      </c>
      <c r="B1384" s="221" t="s">
        <v>656</v>
      </c>
      <c r="C1384" s="271">
        <f>VLOOKUP($A$8:$A$1487,'[7]MFP''s'!A$8:C$1502,3,FALSE)</f>
        <v>153047</v>
      </c>
      <c r="D1384" s="364">
        <v>91828.2</v>
      </c>
      <c r="E1384" s="274">
        <f t="shared" si="125"/>
        <v>0.4</v>
      </c>
      <c r="F1384" s="196">
        <f t="shared" si="122"/>
        <v>3449.9854739999996</v>
      </c>
      <c r="G1384" s="196">
        <f t="shared" si="123"/>
        <v>2722.70613</v>
      </c>
      <c r="H1384" s="199">
        <f t="shared" si="124"/>
        <v>2298.4598459999997</v>
      </c>
      <c r="J1384" s="172"/>
      <c r="K1384" s="172"/>
      <c r="L1384" s="172"/>
    </row>
    <row r="1385" spans="1:29">
      <c r="A1385" s="63" t="s">
        <v>560</v>
      </c>
      <c r="B1385" s="61" t="s">
        <v>561</v>
      </c>
      <c r="C1385" s="271">
        <f>VLOOKUP($A$8:$A$1487,'[7]MFP''s'!A$8:C$1502,3,FALSE)</f>
        <v>1380</v>
      </c>
      <c r="D1385" s="368">
        <v>1380</v>
      </c>
      <c r="E1385" s="274">
        <f t="shared" si="125"/>
        <v>0</v>
      </c>
      <c r="F1385" s="196">
        <f t="shared" si="122"/>
        <v>51.846600000000002</v>
      </c>
      <c r="G1385" s="196">
        <f t="shared" si="123"/>
        <v>40.917000000000002</v>
      </c>
      <c r="H1385" s="199">
        <f t="shared" si="124"/>
        <v>34.541400000000003</v>
      </c>
      <c r="M1385" s="49"/>
      <c r="N1385" s="49"/>
      <c r="O1385" s="49"/>
      <c r="P1385" s="49"/>
      <c r="Q1385" s="49"/>
      <c r="R1385" s="49"/>
      <c r="S1385" s="49"/>
      <c r="T1385" s="49"/>
      <c r="U1385" s="49"/>
      <c r="V1385" s="49"/>
      <c r="W1385" s="49"/>
      <c r="X1385" s="49"/>
      <c r="Y1385" s="49"/>
      <c r="Z1385" s="49"/>
      <c r="AA1385" s="49"/>
      <c r="AB1385" s="49"/>
      <c r="AC1385" s="49"/>
    </row>
    <row r="1386" spans="1:29">
      <c r="A1386" s="63" t="s">
        <v>337</v>
      </c>
      <c r="B1386" s="61" t="s">
        <v>338</v>
      </c>
      <c r="C1386" s="271">
        <f>VLOOKUP($A$8:$A$1487,'[7]MFP''s'!A$8:C$1502,3,FALSE)</f>
        <v>2400</v>
      </c>
      <c r="D1386" s="368">
        <v>2400</v>
      </c>
      <c r="E1386" s="274">
        <f t="shared" si="125"/>
        <v>0</v>
      </c>
      <c r="F1386" s="196">
        <f t="shared" si="122"/>
        <v>90.167999999999992</v>
      </c>
      <c r="G1386" s="196">
        <f t="shared" si="123"/>
        <v>71.16</v>
      </c>
      <c r="H1386" s="199">
        <f t="shared" si="124"/>
        <v>60.072000000000003</v>
      </c>
      <c r="M1386" s="49"/>
      <c r="N1386" s="49"/>
      <c r="O1386" s="49"/>
      <c r="P1386" s="49"/>
      <c r="Q1386" s="49"/>
      <c r="R1386" s="49"/>
      <c r="S1386" s="49"/>
      <c r="T1386" s="49"/>
      <c r="U1386" s="49"/>
      <c r="V1386" s="49"/>
      <c r="W1386" s="49"/>
      <c r="X1386" s="49"/>
      <c r="Y1386" s="49"/>
      <c r="Z1386" s="49"/>
      <c r="AA1386" s="49"/>
      <c r="AB1386" s="49"/>
      <c r="AC1386" s="49"/>
    </row>
    <row r="1387" spans="1:29">
      <c r="A1387" s="63" t="s">
        <v>303</v>
      </c>
      <c r="B1387" s="61" t="s">
        <v>304</v>
      </c>
      <c r="C1387" s="271">
        <f>VLOOKUP($A$8:$A$1487,'[7]MFP''s'!A$8:C$1502,3,FALSE)</f>
        <v>600</v>
      </c>
      <c r="D1387" s="368">
        <v>600</v>
      </c>
      <c r="E1387" s="274">
        <f t="shared" si="125"/>
        <v>0</v>
      </c>
      <c r="F1387" s="196">
        <f t="shared" si="122"/>
        <v>22.541999999999998</v>
      </c>
      <c r="G1387" s="196">
        <f t="shared" si="123"/>
        <v>17.79</v>
      </c>
      <c r="H1387" s="199">
        <f t="shared" si="124"/>
        <v>15.018000000000001</v>
      </c>
      <c r="M1387" s="49"/>
      <c r="N1387" s="49"/>
      <c r="O1387" s="49"/>
      <c r="P1387" s="49"/>
      <c r="Q1387" s="49"/>
      <c r="R1387" s="49"/>
      <c r="S1387" s="49"/>
      <c r="T1387" s="49"/>
      <c r="U1387" s="49"/>
      <c r="V1387" s="49"/>
      <c r="W1387" s="49"/>
      <c r="X1387" s="49"/>
      <c r="Y1387" s="49"/>
      <c r="Z1387" s="49"/>
      <c r="AA1387" s="49"/>
      <c r="AB1387" s="49"/>
      <c r="AC1387" s="49"/>
    </row>
    <row r="1388" spans="1:29">
      <c r="A1388" s="63" t="s">
        <v>305</v>
      </c>
      <c r="B1388" s="61" t="s">
        <v>306</v>
      </c>
      <c r="C1388" s="271">
        <f>VLOOKUP($A$8:$A$1487,'[7]MFP''s'!A$8:C$1502,3,FALSE)</f>
        <v>5000</v>
      </c>
      <c r="D1388" s="368">
        <v>5000</v>
      </c>
      <c r="E1388" s="274">
        <f t="shared" si="125"/>
        <v>0</v>
      </c>
      <c r="F1388" s="196">
        <f t="shared" si="122"/>
        <v>187.85</v>
      </c>
      <c r="G1388" s="196">
        <f t="shared" si="123"/>
        <v>148.25</v>
      </c>
      <c r="H1388" s="199">
        <f t="shared" si="124"/>
        <v>125.15</v>
      </c>
      <c r="M1388" s="49"/>
      <c r="N1388" s="49"/>
      <c r="O1388" s="49"/>
      <c r="P1388" s="49"/>
      <c r="Q1388" s="49"/>
      <c r="R1388" s="49"/>
      <c r="S1388" s="49"/>
      <c r="T1388" s="49"/>
      <c r="U1388" s="49"/>
      <c r="V1388" s="49"/>
      <c r="W1388" s="49"/>
      <c r="X1388" s="49"/>
      <c r="Y1388" s="49"/>
      <c r="Z1388" s="49"/>
      <c r="AA1388" s="49"/>
      <c r="AB1388" s="49"/>
      <c r="AC1388" s="49"/>
    </row>
    <row r="1389" spans="1:29">
      <c r="A1389" s="62" t="s">
        <v>307</v>
      </c>
      <c r="B1389" s="61" t="s">
        <v>308</v>
      </c>
      <c r="C1389" s="271">
        <f>VLOOKUP($A$8:$A$1487,'[7]MFP''s'!A$8:C$1502,3,FALSE)</f>
        <v>8000</v>
      </c>
      <c r="D1389" s="368">
        <v>8000</v>
      </c>
      <c r="E1389" s="274">
        <f t="shared" si="125"/>
        <v>0</v>
      </c>
      <c r="F1389" s="196">
        <f t="shared" si="122"/>
        <v>300.56</v>
      </c>
      <c r="G1389" s="196">
        <f t="shared" si="123"/>
        <v>237.2</v>
      </c>
      <c r="H1389" s="199">
        <f t="shared" si="124"/>
        <v>200.24</v>
      </c>
      <c r="I1389" s="49"/>
      <c r="J1389" s="49"/>
      <c r="K1389" s="49"/>
      <c r="L1389" s="49"/>
      <c r="M1389" s="49"/>
      <c r="N1389" s="49"/>
      <c r="O1389" s="49"/>
      <c r="P1389" s="49"/>
      <c r="Q1389" s="49"/>
      <c r="R1389" s="49"/>
      <c r="S1389" s="49"/>
      <c r="T1389" s="49"/>
      <c r="U1389" s="49"/>
      <c r="V1389" s="49"/>
      <c r="W1389" s="49"/>
      <c r="X1389" s="49"/>
      <c r="Y1389" s="49"/>
      <c r="Z1389" s="49"/>
      <c r="AA1389" s="49"/>
      <c r="AB1389" s="49"/>
      <c r="AC1389" s="49"/>
    </row>
    <row r="1390" spans="1:29">
      <c r="A1390" s="62" t="s">
        <v>62</v>
      </c>
      <c r="B1390" s="61" t="s">
        <v>63</v>
      </c>
      <c r="C1390" s="271">
        <f>VLOOKUP($A$8:$A$1487,'[7]MFP''s'!A$8:C$1502,3,FALSE)</f>
        <v>1</v>
      </c>
      <c r="D1390" s="368">
        <v>1</v>
      </c>
      <c r="E1390" s="274">
        <f t="shared" si="125"/>
        <v>0</v>
      </c>
      <c r="F1390" s="196">
        <f t="shared" si="122"/>
        <v>3.7569999999999999E-2</v>
      </c>
      <c r="G1390" s="196">
        <f t="shared" si="123"/>
        <v>2.9649999999999999E-2</v>
      </c>
      <c r="H1390" s="199">
        <f t="shared" si="124"/>
        <v>2.503E-2</v>
      </c>
      <c r="I1390" s="49"/>
      <c r="J1390" s="49"/>
      <c r="K1390" s="49"/>
      <c r="L1390" s="49"/>
      <c r="M1390" s="49"/>
      <c r="N1390" s="49"/>
      <c r="O1390" s="49"/>
      <c r="P1390" s="49"/>
      <c r="Q1390" s="49"/>
      <c r="R1390" s="49"/>
      <c r="S1390" s="49"/>
      <c r="T1390" s="49"/>
      <c r="U1390" s="49"/>
      <c r="V1390" s="49"/>
      <c r="W1390" s="49"/>
      <c r="X1390" s="49"/>
      <c r="Y1390" s="49"/>
      <c r="Z1390" s="49"/>
      <c r="AA1390" s="49"/>
      <c r="AB1390" s="49"/>
      <c r="AC1390" s="49"/>
    </row>
    <row r="1391" spans="1:29">
      <c r="A1391" s="63" t="s">
        <v>64</v>
      </c>
      <c r="B1391" s="61" t="s">
        <v>65</v>
      </c>
      <c r="C1391" s="271">
        <f>VLOOKUP($A$8:$A$1487,'[7]MFP''s'!A$8:C$1502,3,FALSE)</f>
        <v>1</v>
      </c>
      <c r="D1391" s="368">
        <v>1</v>
      </c>
      <c r="E1391" s="274">
        <f t="shared" si="125"/>
        <v>0</v>
      </c>
      <c r="F1391" s="196">
        <f t="shared" si="122"/>
        <v>3.7569999999999999E-2</v>
      </c>
      <c r="G1391" s="196">
        <f t="shared" si="123"/>
        <v>2.9649999999999999E-2</v>
      </c>
      <c r="H1391" s="199">
        <f t="shared" si="124"/>
        <v>2.503E-2</v>
      </c>
      <c r="I1391" s="49"/>
      <c r="J1391" s="49"/>
      <c r="K1391" s="49"/>
      <c r="L1391" s="49"/>
      <c r="M1391" s="49"/>
      <c r="N1391" s="49"/>
      <c r="O1391" s="49"/>
      <c r="P1391" s="49"/>
      <c r="Q1391" s="49"/>
      <c r="R1391" s="49"/>
      <c r="S1391" s="49"/>
      <c r="T1391" s="49"/>
      <c r="U1391" s="49"/>
      <c r="V1391" s="49"/>
      <c r="W1391" s="49"/>
      <c r="X1391" s="49"/>
      <c r="Y1391" s="49"/>
      <c r="Z1391" s="49"/>
      <c r="AA1391" s="49"/>
      <c r="AB1391" s="49"/>
      <c r="AC1391" s="49"/>
    </row>
    <row r="1392" spans="1:29">
      <c r="A1392" s="195" t="s">
        <v>384</v>
      </c>
      <c r="B1392" s="197"/>
      <c r="C1392" s="271"/>
      <c r="D1392" s="357"/>
      <c r="E1392" s="274"/>
      <c r="F1392" s="196"/>
      <c r="G1392" s="196"/>
      <c r="H1392" s="199"/>
      <c r="I1392" s="49"/>
      <c r="J1392" s="49"/>
      <c r="K1392" s="49"/>
      <c r="L1392" s="49"/>
      <c r="M1392" s="49"/>
      <c r="N1392" s="49"/>
      <c r="O1392" s="49"/>
      <c r="P1392" s="49"/>
      <c r="Q1392" s="49"/>
      <c r="R1392" s="49"/>
      <c r="S1392" s="49"/>
      <c r="T1392" s="49"/>
      <c r="U1392" s="49"/>
      <c r="V1392" s="49"/>
      <c r="W1392" s="49"/>
      <c r="X1392" s="49"/>
      <c r="Y1392" s="49"/>
      <c r="Z1392" s="49"/>
      <c r="AA1392" s="49"/>
      <c r="AB1392" s="49"/>
      <c r="AC1392" s="49"/>
    </row>
    <row r="1393" spans="1:29">
      <c r="A1393" s="60" t="s">
        <v>75</v>
      </c>
      <c r="B1393" s="65"/>
      <c r="C1393" s="271"/>
      <c r="D1393" s="364"/>
      <c r="E1393" s="274"/>
      <c r="F1393" s="196"/>
      <c r="G1393" s="196"/>
      <c r="H1393" s="199"/>
      <c r="I1393" s="49"/>
      <c r="J1393" s="49"/>
      <c r="K1393" s="49"/>
      <c r="L1393" s="49"/>
      <c r="M1393" s="49"/>
      <c r="N1393" s="49"/>
      <c r="O1393" s="49"/>
      <c r="P1393" s="49"/>
      <c r="Q1393" s="49"/>
      <c r="R1393" s="49"/>
      <c r="S1393" s="49"/>
      <c r="T1393" s="49"/>
      <c r="U1393" s="49"/>
      <c r="V1393" s="49"/>
      <c r="W1393" s="49"/>
      <c r="X1393" s="49"/>
      <c r="Y1393" s="49"/>
      <c r="Z1393" s="49"/>
      <c r="AA1393" s="49"/>
      <c r="AB1393" s="49"/>
      <c r="AC1393" s="49"/>
    </row>
    <row r="1394" spans="1:29" s="318" customFormat="1">
      <c r="A1394" s="323" t="s">
        <v>562</v>
      </c>
      <c r="B1394" s="329" t="s">
        <v>692</v>
      </c>
      <c r="C1394" s="312">
        <f>VLOOKUP($A$8:$A$1487,'[7]MFP''s'!A$8:C$1502,3,FALSE)</f>
        <v>18000</v>
      </c>
      <c r="D1394" s="367">
        <v>9360</v>
      </c>
      <c r="E1394" s="313">
        <f>100%-(D1394/C1394)</f>
        <v>0.48</v>
      </c>
      <c r="F1394" s="314">
        <f>D1394*$F$1</f>
        <v>351.65519999999998</v>
      </c>
      <c r="G1394" s="314">
        <f>D1394*$G$1</f>
        <v>277.524</v>
      </c>
      <c r="H1394" s="315">
        <f>D1394*$H$1</f>
        <v>234.2808</v>
      </c>
    </row>
    <row r="1395" spans="1:29">
      <c r="A1395" s="62" t="s">
        <v>465</v>
      </c>
      <c r="B1395" s="61" t="s">
        <v>466</v>
      </c>
      <c r="C1395" s="271">
        <f>VLOOKUP($A$8:$A$1487,'[7]MFP''s'!A$8:C$1502,3,FALSE)</f>
        <v>10720</v>
      </c>
      <c r="D1395" s="364">
        <v>5298.8959999999997</v>
      </c>
      <c r="E1395" s="274">
        <f t="shared" si="125"/>
        <v>0.50570000000000004</v>
      </c>
      <c r="F1395" s="196">
        <f t="shared" si="122"/>
        <v>199.07952272</v>
      </c>
      <c r="G1395" s="196">
        <f t="shared" si="123"/>
        <v>157.11226639999998</v>
      </c>
      <c r="H1395" s="199">
        <f t="shared" si="124"/>
        <v>132.63136688</v>
      </c>
      <c r="I1395" s="49"/>
      <c r="J1395" s="49"/>
      <c r="K1395" s="49"/>
      <c r="L1395" s="49"/>
      <c r="M1395" s="49"/>
      <c r="N1395" s="49"/>
      <c r="O1395" s="49"/>
      <c r="P1395" s="49"/>
      <c r="Q1395" s="49"/>
      <c r="R1395" s="49"/>
      <c r="S1395" s="49"/>
      <c r="T1395" s="49"/>
      <c r="U1395" s="49"/>
      <c r="V1395" s="49"/>
      <c r="W1395" s="49"/>
      <c r="X1395" s="49"/>
      <c r="Y1395" s="49"/>
      <c r="Z1395" s="49"/>
      <c r="AA1395" s="49"/>
      <c r="AB1395" s="49"/>
      <c r="AC1395" s="49"/>
    </row>
    <row r="1396" spans="1:29">
      <c r="A1396" s="62" t="s">
        <v>339</v>
      </c>
      <c r="B1396" s="61" t="s">
        <v>563</v>
      </c>
      <c r="C1396" s="271">
        <f>VLOOKUP($A$8:$A$1487,'[7]MFP''s'!A$8:C$1502,3,FALSE)</f>
        <v>2332</v>
      </c>
      <c r="D1396" s="364">
        <v>1293.3271999999999</v>
      </c>
      <c r="E1396" s="274">
        <f t="shared" si="125"/>
        <v>0.44540000000000002</v>
      </c>
      <c r="F1396" s="196">
        <f t="shared" si="122"/>
        <v>48.590302903999998</v>
      </c>
      <c r="G1396" s="196">
        <f t="shared" si="123"/>
        <v>38.347151480000001</v>
      </c>
      <c r="H1396" s="199">
        <f t="shared" si="124"/>
        <v>32.371979816</v>
      </c>
      <c r="I1396" s="49"/>
      <c r="J1396" s="49"/>
      <c r="K1396" s="49"/>
      <c r="L1396" s="49"/>
      <c r="M1396" s="49"/>
      <c r="N1396" s="49"/>
      <c r="O1396" s="49"/>
      <c r="P1396" s="49"/>
      <c r="Q1396" s="49"/>
      <c r="R1396" s="49"/>
      <c r="S1396" s="49"/>
      <c r="T1396" s="49"/>
      <c r="U1396" s="49"/>
      <c r="V1396" s="49"/>
      <c r="W1396" s="49"/>
      <c r="X1396" s="49"/>
      <c r="Y1396" s="49"/>
      <c r="Z1396" s="49"/>
      <c r="AA1396" s="49"/>
      <c r="AB1396" s="49"/>
      <c r="AC1396" s="49"/>
    </row>
    <row r="1397" spans="1:29">
      <c r="A1397" s="62" t="s">
        <v>564</v>
      </c>
      <c r="B1397" s="61" t="s">
        <v>565</v>
      </c>
      <c r="C1397" s="271">
        <f>VLOOKUP($A$8:$A$1487,'[7]MFP''s'!A$8:C$1502,3,FALSE)</f>
        <v>700</v>
      </c>
      <c r="D1397" s="364">
        <v>387.91946308724835</v>
      </c>
      <c r="E1397" s="274">
        <f t="shared" si="125"/>
        <v>0.44582933844678807</v>
      </c>
      <c r="F1397" s="196">
        <f t="shared" si="122"/>
        <v>14.574134228187921</v>
      </c>
      <c r="G1397" s="196">
        <f t="shared" si="123"/>
        <v>11.501812080536913</v>
      </c>
      <c r="H1397" s="199">
        <f t="shared" si="124"/>
        <v>9.7096241610738261</v>
      </c>
      <c r="I1397" s="49"/>
      <c r="J1397" s="49"/>
      <c r="K1397" s="49"/>
      <c r="L1397" s="49"/>
      <c r="M1397" s="49"/>
      <c r="N1397" s="49"/>
      <c r="O1397" s="49"/>
      <c r="P1397" s="49"/>
      <c r="Q1397" s="49"/>
      <c r="R1397" s="49"/>
      <c r="S1397" s="49"/>
      <c r="T1397" s="49"/>
      <c r="U1397" s="49"/>
      <c r="V1397" s="49"/>
      <c r="W1397" s="49"/>
      <c r="X1397" s="49"/>
      <c r="Y1397" s="49"/>
      <c r="Z1397" s="49"/>
      <c r="AA1397" s="49"/>
      <c r="AB1397" s="49"/>
      <c r="AC1397" s="49"/>
    </row>
    <row r="1398" spans="1:29">
      <c r="A1398" s="60" t="s">
        <v>66</v>
      </c>
      <c r="B1398" s="65"/>
      <c r="C1398" s="271"/>
      <c r="D1398" s="364"/>
      <c r="E1398" s="274"/>
      <c r="F1398" s="196"/>
      <c r="G1398" s="196"/>
      <c r="H1398" s="199"/>
      <c r="I1398" s="49"/>
      <c r="J1398" s="49"/>
      <c r="K1398" s="49"/>
      <c r="L1398" s="49"/>
      <c r="M1398" s="49"/>
      <c r="N1398" s="49"/>
      <c r="O1398" s="49"/>
      <c r="P1398" s="49"/>
      <c r="Q1398" s="49"/>
      <c r="R1398" s="49"/>
      <c r="S1398" s="49"/>
      <c r="T1398" s="49"/>
      <c r="U1398" s="49"/>
      <c r="V1398" s="49"/>
      <c r="W1398" s="49"/>
      <c r="X1398" s="49"/>
      <c r="Y1398" s="49"/>
      <c r="Z1398" s="49"/>
      <c r="AA1398" s="49"/>
      <c r="AB1398" s="49"/>
      <c r="AC1398" s="49"/>
    </row>
    <row r="1399" spans="1:29">
      <c r="A1399" s="63" t="s">
        <v>341</v>
      </c>
      <c r="B1399" s="61" t="s">
        <v>566</v>
      </c>
      <c r="C1399" s="271">
        <f>VLOOKUP($A$8:$A$1487,'[7]MFP''s'!A$8:C$1502,3,FALSE)</f>
        <v>10600</v>
      </c>
      <c r="D1399" s="364">
        <v>5874.52</v>
      </c>
      <c r="E1399" s="274">
        <f t="shared" si="125"/>
        <v>0.44579999999999997</v>
      </c>
      <c r="F1399" s="196">
        <f t="shared" si="122"/>
        <v>220.7057164</v>
      </c>
      <c r="G1399" s="196">
        <f t="shared" si="123"/>
        <v>174.179518</v>
      </c>
      <c r="H1399" s="199">
        <f t="shared" si="124"/>
        <v>147.03923560000001</v>
      </c>
      <c r="I1399" s="49"/>
      <c r="J1399" s="49"/>
      <c r="K1399" s="49"/>
      <c r="L1399" s="49"/>
      <c r="M1399" s="49"/>
      <c r="N1399" s="49"/>
      <c r="O1399" s="49"/>
      <c r="P1399" s="49"/>
      <c r="Q1399" s="49"/>
      <c r="R1399" s="49"/>
      <c r="S1399" s="49"/>
      <c r="T1399" s="49"/>
      <c r="U1399" s="49"/>
      <c r="V1399" s="49"/>
      <c r="W1399" s="49"/>
      <c r="X1399" s="49"/>
      <c r="Y1399" s="49"/>
      <c r="Z1399" s="49"/>
      <c r="AA1399" s="49"/>
      <c r="AB1399" s="49"/>
      <c r="AC1399" s="49"/>
    </row>
    <row r="1400" spans="1:29">
      <c r="A1400" s="63" t="s">
        <v>567</v>
      </c>
      <c r="B1400" s="61" t="s">
        <v>568</v>
      </c>
      <c r="C1400" s="271">
        <f>VLOOKUP($A$8:$A$1487,'[7]MFP''s'!A$8:C$1502,3,FALSE)</f>
        <v>8800</v>
      </c>
      <c r="D1400" s="364">
        <v>4612.08</v>
      </c>
      <c r="E1400" s="274">
        <f t="shared" si="125"/>
        <v>0.47589999999999999</v>
      </c>
      <c r="F1400" s="196">
        <f t="shared" si="122"/>
        <v>173.2758456</v>
      </c>
      <c r="G1400" s="196">
        <f t="shared" si="123"/>
        <v>136.74817199999998</v>
      </c>
      <c r="H1400" s="199">
        <f t="shared" si="124"/>
        <v>115.4403624</v>
      </c>
      <c r="I1400" s="49"/>
      <c r="J1400" s="49"/>
      <c r="K1400" s="49"/>
      <c r="L1400" s="49"/>
      <c r="M1400" s="49"/>
      <c r="N1400" s="49"/>
      <c r="O1400" s="49"/>
      <c r="P1400" s="49"/>
      <c r="Q1400" s="49"/>
      <c r="R1400" s="49"/>
      <c r="S1400" s="49"/>
      <c r="T1400" s="49"/>
      <c r="U1400" s="49"/>
      <c r="V1400" s="49"/>
      <c r="W1400" s="49"/>
      <c r="X1400" s="49"/>
      <c r="Y1400" s="49"/>
      <c r="Z1400" s="49"/>
      <c r="AA1400" s="49"/>
      <c r="AB1400" s="49"/>
      <c r="AC1400" s="49"/>
    </row>
    <row r="1401" spans="1:29">
      <c r="A1401" s="63" t="s">
        <v>468</v>
      </c>
      <c r="B1401" s="61" t="s">
        <v>469</v>
      </c>
      <c r="C1401" s="271">
        <f>VLOOKUP($A$8:$A$1487,'[7]MFP''s'!A$8:C$1502,3,FALSE)</f>
        <v>5205</v>
      </c>
      <c r="D1401" s="364">
        <v>2360</v>
      </c>
      <c r="E1401" s="274">
        <f t="shared" si="125"/>
        <v>0.54658981748318924</v>
      </c>
      <c r="F1401" s="196">
        <f t="shared" si="122"/>
        <v>88.665199999999999</v>
      </c>
      <c r="G1401" s="196">
        <f t="shared" si="123"/>
        <v>69.974000000000004</v>
      </c>
      <c r="H1401" s="199">
        <f t="shared" si="124"/>
        <v>59.070799999999998</v>
      </c>
      <c r="I1401" s="49"/>
      <c r="J1401" s="49"/>
      <c r="K1401" s="49"/>
      <c r="L1401" s="49"/>
      <c r="M1401" s="49"/>
      <c r="N1401" s="49"/>
      <c r="O1401" s="49"/>
      <c r="P1401" s="49"/>
      <c r="Q1401" s="49"/>
      <c r="R1401" s="49"/>
      <c r="S1401" s="49"/>
      <c r="T1401" s="49"/>
      <c r="U1401" s="49"/>
      <c r="V1401" s="49"/>
      <c r="W1401" s="49"/>
      <c r="X1401" s="49"/>
      <c r="Y1401" s="49"/>
      <c r="Z1401" s="49"/>
      <c r="AA1401" s="49"/>
      <c r="AB1401" s="49"/>
      <c r="AC1401" s="49"/>
    </row>
    <row r="1402" spans="1:29">
      <c r="A1402" s="63" t="s">
        <v>470</v>
      </c>
      <c r="B1402" s="61" t="s">
        <v>471</v>
      </c>
      <c r="C1402" s="271">
        <f>VLOOKUP($A$8:$A$1487,'[7]MFP''s'!A$8:C$1502,3,FALSE)</f>
        <v>835</v>
      </c>
      <c r="D1402" s="364">
        <v>379</v>
      </c>
      <c r="E1402" s="274">
        <f t="shared" si="125"/>
        <v>0.54610778443113772</v>
      </c>
      <c r="F1402" s="196">
        <f t="shared" si="122"/>
        <v>14.23903</v>
      </c>
      <c r="G1402" s="196">
        <f t="shared" si="123"/>
        <v>11.237349999999999</v>
      </c>
      <c r="H1402" s="199">
        <f t="shared" si="124"/>
        <v>9.4863700000000009</v>
      </c>
      <c r="I1402" s="49"/>
      <c r="J1402" s="49"/>
      <c r="K1402" s="49"/>
      <c r="L1402" s="49"/>
      <c r="M1402" s="49"/>
      <c r="N1402" s="49"/>
      <c r="O1402" s="49"/>
      <c r="P1402" s="49"/>
      <c r="Q1402" s="49"/>
      <c r="R1402" s="49"/>
      <c r="S1402" s="49"/>
      <c r="T1402" s="49"/>
      <c r="U1402" s="49"/>
      <c r="V1402" s="49"/>
      <c r="W1402" s="49"/>
      <c r="X1402" s="49"/>
      <c r="Y1402" s="49"/>
      <c r="Z1402" s="49"/>
      <c r="AA1402" s="49"/>
      <c r="AB1402" s="49"/>
      <c r="AC1402" s="49"/>
    </row>
    <row r="1403" spans="1:29">
      <c r="A1403" s="63" t="s">
        <v>220</v>
      </c>
      <c r="B1403" s="61" t="s">
        <v>221</v>
      </c>
      <c r="C1403" s="271">
        <f>VLOOKUP($A$8:$A$1487,'[7]MFP''s'!A$8:C$1502,3,FALSE)</f>
        <v>445</v>
      </c>
      <c r="D1403" s="364">
        <v>202</v>
      </c>
      <c r="E1403" s="274">
        <f t="shared" si="125"/>
        <v>0.54606741573033712</v>
      </c>
      <c r="F1403" s="196">
        <f t="shared" si="122"/>
        <v>7.5891399999999996</v>
      </c>
      <c r="G1403" s="196">
        <f t="shared" si="123"/>
        <v>5.9893000000000001</v>
      </c>
      <c r="H1403" s="199">
        <f t="shared" si="124"/>
        <v>5.0560600000000004</v>
      </c>
      <c r="I1403" s="49"/>
      <c r="J1403" s="49"/>
      <c r="K1403" s="49"/>
      <c r="L1403" s="49"/>
      <c r="M1403" s="49"/>
      <c r="N1403" s="49"/>
      <c r="O1403" s="49"/>
      <c r="P1403" s="49"/>
      <c r="Q1403" s="49"/>
      <c r="R1403" s="49"/>
      <c r="S1403" s="49"/>
      <c r="T1403" s="49"/>
      <c r="U1403" s="49"/>
      <c r="V1403" s="49"/>
      <c r="W1403" s="49"/>
      <c r="X1403" s="49"/>
      <c r="Y1403" s="49"/>
      <c r="Z1403" s="49"/>
      <c r="AA1403" s="49"/>
      <c r="AB1403" s="49"/>
      <c r="AC1403" s="49"/>
    </row>
    <row r="1404" spans="1:29">
      <c r="A1404" s="63" t="s">
        <v>214</v>
      </c>
      <c r="B1404" s="61" t="s">
        <v>215</v>
      </c>
      <c r="C1404" s="271">
        <f>VLOOKUP($A$8:$A$1487,'[7]MFP''s'!A$8:C$1502,3,FALSE)</f>
        <v>1977</v>
      </c>
      <c r="D1404" s="364">
        <v>897</v>
      </c>
      <c r="E1404" s="274">
        <f t="shared" si="125"/>
        <v>0.54628224582701068</v>
      </c>
      <c r="F1404" s="196">
        <f t="shared" si="122"/>
        <v>33.700290000000003</v>
      </c>
      <c r="G1404" s="196">
        <f t="shared" si="123"/>
        <v>26.596049999999998</v>
      </c>
      <c r="H1404" s="199">
        <f t="shared" si="124"/>
        <v>22.451910000000002</v>
      </c>
      <c r="I1404" s="49"/>
      <c r="J1404" s="49"/>
      <c r="K1404" s="49"/>
      <c r="L1404" s="49"/>
      <c r="M1404" s="49"/>
      <c r="N1404" s="49"/>
      <c r="O1404" s="49"/>
      <c r="P1404" s="49"/>
      <c r="Q1404" s="49"/>
      <c r="R1404" s="49"/>
      <c r="S1404" s="49"/>
      <c r="T1404" s="49"/>
      <c r="U1404" s="49"/>
      <c r="V1404" s="49"/>
      <c r="W1404" s="49"/>
      <c r="X1404" s="49"/>
      <c r="Y1404" s="49"/>
      <c r="Z1404" s="49"/>
      <c r="AA1404" s="49"/>
      <c r="AB1404" s="49"/>
      <c r="AC1404" s="49"/>
    </row>
    <row r="1405" spans="1:29">
      <c r="A1405" s="63" t="s">
        <v>265</v>
      </c>
      <c r="B1405" s="61" t="s">
        <v>266</v>
      </c>
      <c r="C1405" s="271">
        <f>VLOOKUP($A$8:$A$1487,'[7]MFP''s'!A$8:C$1502,3,FALSE)</f>
        <v>18921</v>
      </c>
      <c r="D1405" s="364">
        <v>10485</v>
      </c>
      <c r="E1405" s="274">
        <f t="shared" si="125"/>
        <v>0.44585381322340256</v>
      </c>
      <c r="F1405" s="196">
        <f t="shared" si="122"/>
        <v>393.92144999999999</v>
      </c>
      <c r="G1405" s="196">
        <f t="shared" si="123"/>
        <v>310.88024999999999</v>
      </c>
      <c r="H1405" s="199">
        <f t="shared" si="124"/>
        <v>262.43955</v>
      </c>
      <c r="I1405" s="49"/>
      <c r="J1405" s="49"/>
      <c r="K1405" s="49"/>
      <c r="L1405" s="49"/>
      <c r="M1405" s="49"/>
      <c r="N1405" s="49"/>
      <c r="O1405" s="49"/>
      <c r="P1405" s="49"/>
      <c r="Q1405" s="49"/>
      <c r="R1405" s="49"/>
      <c r="S1405" s="49"/>
      <c r="T1405" s="49"/>
      <c r="U1405" s="49"/>
      <c r="V1405" s="49"/>
      <c r="W1405" s="49"/>
      <c r="X1405" s="49"/>
      <c r="Y1405" s="49"/>
      <c r="Z1405" s="49"/>
      <c r="AA1405" s="49"/>
      <c r="AB1405" s="49"/>
      <c r="AC1405" s="49"/>
    </row>
    <row r="1406" spans="1:29">
      <c r="A1406" s="63" t="s">
        <v>269</v>
      </c>
      <c r="B1406" s="61" t="s">
        <v>270</v>
      </c>
      <c r="C1406" s="271">
        <f>VLOOKUP($A$8:$A$1487,'[7]MFP''s'!A$8:C$1502,3,FALSE)</f>
        <v>27825</v>
      </c>
      <c r="D1406" s="364">
        <v>15419</v>
      </c>
      <c r="E1406" s="274">
        <f t="shared" si="125"/>
        <v>0.4458580413297395</v>
      </c>
      <c r="F1406" s="196">
        <f t="shared" si="122"/>
        <v>579.29183</v>
      </c>
      <c r="G1406" s="196">
        <f t="shared" si="123"/>
        <v>457.17334999999997</v>
      </c>
      <c r="H1406" s="199">
        <f t="shared" si="124"/>
        <v>385.93756999999999</v>
      </c>
      <c r="I1406" s="49"/>
      <c r="J1406" s="49"/>
      <c r="K1406" s="49"/>
      <c r="L1406" s="49"/>
      <c r="M1406" s="49"/>
      <c r="N1406" s="49"/>
      <c r="O1406" s="49"/>
      <c r="P1406" s="49"/>
      <c r="Q1406" s="49"/>
      <c r="R1406" s="49"/>
      <c r="S1406" s="49"/>
      <c r="T1406" s="49"/>
      <c r="U1406" s="49"/>
      <c r="V1406" s="49"/>
      <c r="W1406" s="49"/>
      <c r="X1406" s="49"/>
      <c r="Y1406" s="49"/>
      <c r="Z1406" s="49"/>
      <c r="AA1406" s="49"/>
      <c r="AB1406" s="49"/>
      <c r="AC1406" s="49"/>
    </row>
    <row r="1407" spans="1:29">
      <c r="A1407" s="63" t="s">
        <v>569</v>
      </c>
      <c r="B1407" s="61" t="s">
        <v>570</v>
      </c>
      <c r="C1407" s="271">
        <f>VLOOKUP($A$8:$A$1487,'[7]MFP''s'!A$8:C$1502,3,FALSE)</f>
        <v>19058</v>
      </c>
      <c r="D1407" s="364">
        <v>10561.943600000001</v>
      </c>
      <c r="E1407" s="274">
        <f t="shared" si="125"/>
        <v>0.44579999999999997</v>
      </c>
      <c r="F1407" s="196">
        <f t="shared" si="122"/>
        <v>396.81222105199998</v>
      </c>
      <c r="G1407" s="196">
        <f t="shared" si="123"/>
        <v>313.16162774000003</v>
      </c>
      <c r="H1407" s="199">
        <f t="shared" si="124"/>
        <v>264.365448308</v>
      </c>
      <c r="I1407" s="49"/>
      <c r="J1407" s="49"/>
      <c r="K1407" s="49"/>
      <c r="L1407" s="49"/>
      <c r="M1407" s="49"/>
      <c r="N1407" s="49"/>
      <c r="O1407" s="49"/>
      <c r="P1407" s="49"/>
      <c r="Q1407" s="49"/>
      <c r="R1407" s="49"/>
      <c r="S1407" s="49"/>
      <c r="T1407" s="49"/>
      <c r="U1407" s="49"/>
      <c r="V1407" s="49"/>
      <c r="W1407" s="49"/>
      <c r="X1407" s="49"/>
      <c r="Y1407" s="49"/>
      <c r="Z1407" s="49"/>
      <c r="AA1407" s="49"/>
      <c r="AB1407" s="49"/>
      <c r="AC1407" s="49"/>
    </row>
    <row r="1408" spans="1:29">
      <c r="A1408" s="63" t="s">
        <v>311</v>
      </c>
      <c r="B1408" s="61" t="s">
        <v>272</v>
      </c>
      <c r="C1408" s="271">
        <f>VLOOKUP($A$8:$A$1487,'[7]MFP''s'!A$8:C$1502,3,FALSE)</f>
        <v>44838</v>
      </c>
      <c r="D1408" s="364">
        <v>25750</v>
      </c>
      <c r="E1408" s="274">
        <f t="shared" si="125"/>
        <v>0.42571033498371913</v>
      </c>
      <c r="F1408" s="196">
        <f t="shared" si="122"/>
        <v>967.42750000000001</v>
      </c>
      <c r="G1408" s="196">
        <f t="shared" si="123"/>
        <v>763.48749999999995</v>
      </c>
      <c r="H1408" s="199">
        <f t="shared" si="124"/>
        <v>644.52250000000004</v>
      </c>
      <c r="I1408" s="49"/>
      <c r="J1408" s="49"/>
      <c r="K1408" s="49"/>
      <c r="L1408" s="49"/>
      <c r="M1408" s="49"/>
      <c r="N1408" s="49"/>
      <c r="O1408" s="49"/>
      <c r="P1408" s="49"/>
      <c r="Q1408" s="49"/>
      <c r="R1408" s="49"/>
      <c r="S1408" s="49"/>
      <c r="T1408" s="49"/>
      <c r="U1408" s="49"/>
      <c r="V1408" s="49"/>
      <c r="W1408" s="49"/>
      <c r="X1408" s="49"/>
      <c r="Y1408" s="49"/>
      <c r="Z1408" s="49"/>
      <c r="AA1408" s="49"/>
      <c r="AB1408" s="49"/>
      <c r="AC1408" s="49"/>
    </row>
    <row r="1409" spans="1:29">
      <c r="A1409" s="63" t="s">
        <v>236</v>
      </c>
      <c r="B1409" s="61" t="s">
        <v>237</v>
      </c>
      <c r="C1409" s="271">
        <f>VLOOKUP($A$8:$A$1487,'[7]MFP''s'!A$8:C$1502,3,FALSE)</f>
        <v>18232</v>
      </c>
      <c r="D1409" s="364">
        <v>8266</v>
      </c>
      <c r="E1409" s="274">
        <f t="shared" si="125"/>
        <v>0.54662132514260642</v>
      </c>
      <c r="F1409" s="196">
        <f t="shared" si="122"/>
        <v>310.55361999999997</v>
      </c>
      <c r="G1409" s="196">
        <f t="shared" si="123"/>
        <v>245.08689999999999</v>
      </c>
      <c r="H1409" s="199">
        <f t="shared" si="124"/>
        <v>206.89797999999999</v>
      </c>
      <c r="I1409" s="49"/>
      <c r="J1409" s="49"/>
      <c r="K1409" s="49"/>
      <c r="L1409" s="49"/>
      <c r="M1409" s="49"/>
      <c r="N1409" s="49"/>
      <c r="O1409" s="49"/>
      <c r="P1409" s="49"/>
      <c r="Q1409" s="49"/>
      <c r="R1409" s="49"/>
      <c r="S1409" s="49"/>
      <c r="T1409" s="49"/>
      <c r="U1409" s="49"/>
      <c r="V1409" s="49"/>
      <c r="W1409" s="49"/>
      <c r="X1409" s="49"/>
      <c r="Y1409" s="49"/>
      <c r="Z1409" s="49"/>
      <c r="AA1409" s="49"/>
      <c r="AB1409" s="49"/>
      <c r="AC1409" s="49"/>
    </row>
    <row r="1410" spans="1:29">
      <c r="A1410" s="63" t="s">
        <v>472</v>
      </c>
      <c r="B1410" s="61" t="s">
        <v>227</v>
      </c>
      <c r="C1410" s="271">
        <f>VLOOKUP($A$8:$A$1487,'[7]MFP''s'!A$8:C$1502,3,FALSE)</f>
        <v>29000</v>
      </c>
      <c r="D1410" s="364">
        <v>13148</v>
      </c>
      <c r="E1410" s="274">
        <f t="shared" si="125"/>
        <v>0.54662068965517241</v>
      </c>
      <c r="F1410" s="196">
        <f t="shared" si="122"/>
        <v>493.97035999999997</v>
      </c>
      <c r="G1410" s="196">
        <f t="shared" si="123"/>
        <v>389.83819999999997</v>
      </c>
      <c r="H1410" s="199">
        <f t="shared" si="124"/>
        <v>329.09444000000002</v>
      </c>
      <c r="I1410" s="49"/>
      <c r="J1410" s="49"/>
      <c r="K1410" s="49"/>
      <c r="L1410" s="49"/>
      <c r="M1410" s="49"/>
      <c r="N1410" s="49"/>
      <c r="O1410" s="49"/>
      <c r="P1410" s="49"/>
      <c r="Q1410" s="49"/>
      <c r="R1410" s="49"/>
      <c r="S1410" s="49"/>
      <c r="T1410" s="49"/>
      <c r="U1410" s="49"/>
      <c r="V1410" s="49"/>
      <c r="W1410" s="49"/>
      <c r="X1410" s="49"/>
      <c r="Y1410" s="49"/>
      <c r="Z1410" s="49"/>
      <c r="AA1410" s="49"/>
      <c r="AB1410" s="49"/>
      <c r="AC1410" s="49"/>
    </row>
    <row r="1411" spans="1:29" ht="30">
      <c r="A1411" s="63" t="s">
        <v>228</v>
      </c>
      <c r="B1411" s="61" t="s">
        <v>229</v>
      </c>
      <c r="C1411" s="271">
        <f>VLOOKUP($A$8:$A$1487,'[7]MFP''s'!A$8:C$1502,3,FALSE)</f>
        <v>600</v>
      </c>
      <c r="D1411" s="364">
        <v>273</v>
      </c>
      <c r="E1411" s="274">
        <f t="shared" si="125"/>
        <v>0.54499999999999993</v>
      </c>
      <c r="F1411" s="196">
        <f t="shared" ref="F1411:F1474" si="126">D1411*$F$1</f>
        <v>10.25661</v>
      </c>
      <c r="G1411" s="196">
        <f t="shared" si="123"/>
        <v>8.0944500000000001</v>
      </c>
      <c r="H1411" s="199">
        <f t="shared" si="124"/>
        <v>6.8331900000000001</v>
      </c>
      <c r="I1411" s="49"/>
      <c r="J1411" s="49"/>
      <c r="K1411" s="49"/>
      <c r="L1411" s="49"/>
      <c r="M1411" s="49"/>
      <c r="N1411" s="49"/>
      <c r="O1411" s="49"/>
      <c r="P1411" s="49"/>
      <c r="Q1411" s="49"/>
      <c r="R1411" s="49"/>
      <c r="S1411" s="49"/>
      <c r="T1411" s="49"/>
      <c r="U1411" s="49"/>
      <c r="V1411" s="49"/>
      <c r="W1411" s="49"/>
      <c r="X1411" s="49"/>
      <c r="Y1411" s="49"/>
      <c r="Z1411" s="49"/>
      <c r="AA1411" s="49"/>
      <c r="AB1411" s="49"/>
      <c r="AC1411" s="49"/>
    </row>
    <row r="1412" spans="1:29" ht="30">
      <c r="A1412" s="63" t="s">
        <v>230</v>
      </c>
      <c r="B1412" s="61" t="s">
        <v>231</v>
      </c>
      <c r="C1412" s="271">
        <f>VLOOKUP($A$8:$A$1487,'[7]MFP''s'!A$8:C$1502,3,FALSE)</f>
        <v>600</v>
      </c>
      <c r="D1412" s="364">
        <v>273</v>
      </c>
      <c r="E1412" s="274">
        <f t="shared" si="125"/>
        <v>0.54499999999999993</v>
      </c>
      <c r="F1412" s="196">
        <f t="shared" si="126"/>
        <v>10.25661</v>
      </c>
      <c r="G1412" s="196">
        <f t="shared" si="123"/>
        <v>8.0944500000000001</v>
      </c>
      <c r="H1412" s="199">
        <f t="shared" si="124"/>
        <v>6.8331900000000001</v>
      </c>
      <c r="I1412" s="49"/>
      <c r="J1412" s="49"/>
      <c r="K1412" s="49"/>
      <c r="L1412" s="49"/>
      <c r="M1412" s="49"/>
      <c r="N1412" s="49"/>
      <c r="O1412" s="49"/>
      <c r="P1412" s="49"/>
      <c r="Q1412" s="49"/>
      <c r="R1412" s="49"/>
      <c r="S1412" s="49"/>
      <c r="T1412" s="49"/>
      <c r="U1412" s="49"/>
      <c r="V1412" s="49"/>
      <c r="W1412" s="49"/>
      <c r="X1412" s="49"/>
      <c r="Y1412" s="49"/>
      <c r="Z1412" s="49"/>
      <c r="AA1412" s="49"/>
      <c r="AB1412" s="49"/>
      <c r="AC1412" s="49"/>
    </row>
    <row r="1413" spans="1:29" ht="30">
      <c r="A1413" s="63" t="s">
        <v>232</v>
      </c>
      <c r="B1413" s="61" t="s">
        <v>233</v>
      </c>
      <c r="C1413" s="271">
        <f>VLOOKUP($A$8:$A$1487,'[7]MFP''s'!A$8:C$1502,3,FALSE)</f>
        <v>600</v>
      </c>
      <c r="D1413" s="364">
        <v>273</v>
      </c>
      <c r="E1413" s="274">
        <f t="shared" si="125"/>
        <v>0.54499999999999993</v>
      </c>
      <c r="F1413" s="196">
        <f t="shared" si="126"/>
        <v>10.25661</v>
      </c>
      <c r="G1413" s="196">
        <f t="shared" si="123"/>
        <v>8.0944500000000001</v>
      </c>
      <c r="H1413" s="199">
        <f t="shared" si="124"/>
        <v>6.8331900000000001</v>
      </c>
      <c r="I1413" s="49"/>
      <c r="J1413" s="49"/>
      <c r="K1413" s="49"/>
      <c r="L1413" s="49"/>
      <c r="M1413" s="49"/>
      <c r="N1413" s="49"/>
      <c r="O1413" s="49"/>
      <c r="P1413" s="49"/>
      <c r="Q1413" s="49"/>
      <c r="R1413" s="49"/>
      <c r="S1413" s="49"/>
      <c r="T1413" s="49"/>
      <c r="U1413" s="49"/>
      <c r="V1413" s="49"/>
      <c r="W1413" s="49"/>
      <c r="X1413" s="49"/>
      <c r="Y1413" s="49"/>
      <c r="Z1413" s="49"/>
      <c r="AA1413" s="49"/>
      <c r="AB1413" s="49"/>
      <c r="AC1413" s="49"/>
    </row>
    <row r="1414" spans="1:29">
      <c r="A1414" s="63" t="s">
        <v>234</v>
      </c>
      <c r="B1414" s="61" t="s">
        <v>235</v>
      </c>
      <c r="C1414" s="271">
        <f>VLOOKUP($A$8:$A$1487,'[7]MFP''s'!A$8:C$1502,3,FALSE)</f>
        <v>600</v>
      </c>
      <c r="D1414" s="364">
        <v>273</v>
      </c>
      <c r="E1414" s="274">
        <f t="shared" si="125"/>
        <v>0.54499999999999993</v>
      </c>
      <c r="F1414" s="196">
        <f t="shared" si="126"/>
        <v>10.25661</v>
      </c>
      <c r="G1414" s="196">
        <f t="shared" si="123"/>
        <v>8.0944500000000001</v>
      </c>
      <c r="H1414" s="199">
        <f t="shared" si="124"/>
        <v>6.8331900000000001</v>
      </c>
      <c r="I1414" s="49"/>
      <c r="J1414" s="49"/>
      <c r="K1414" s="49"/>
      <c r="L1414" s="49"/>
      <c r="M1414" s="49"/>
      <c r="N1414" s="49"/>
      <c r="O1414" s="49"/>
      <c r="P1414" s="49"/>
      <c r="Q1414" s="49"/>
      <c r="R1414" s="49"/>
      <c r="S1414" s="49"/>
      <c r="T1414" s="49"/>
      <c r="U1414" s="49"/>
      <c r="V1414" s="49"/>
      <c r="W1414" s="49"/>
      <c r="X1414" s="49"/>
      <c r="Y1414" s="49"/>
      <c r="Z1414" s="49"/>
      <c r="AA1414" s="49"/>
      <c r="AB1414" s="49"/>
      <c r="AC1414" s="49"/>
    </row>
    <row r="1415" spans="1:29">
      <c r="A1415" s="63" t="s">
        <v>281</v>
      </c>
      <c r="B1415" s="61" t="s">
        <v>282</v>
      </c>
      <c r="C1415" s="271">
        <f>VLOOKUP($A$8:$A$1487,'[7]MFP''s'!A$8:C$1502,3,FALSE)</f>
        <v>2980</v>
      </c>
      <c r="D1415" s="364">
        <v>1652</v>
      </c>
      <c r="E1415" s="274">
        <f t="shared" si="125"/>
        <v>0.44563758389261743</v>
      </c>
      <c r="F1415" s="196">
        <f t="shared" si="126"/>
        <v>62.065640000000002</v>
      </c>
      <c r="G1415" s="196">
        <f t="shared" si="123"/>
        <v>48.9818</v>
      </c>
      <c r="H1415" s="199">
        <f t="shared" si="124"/>
        <v>41.349559999999997</v>
      </c>
      <c r="I1415" s="49"/>
      <c r="J1415" s="49"/>
      <c r="K1415" s="49"/>
      <c r="L1415" s="49"/>
      <c r="M1415" s="49"/>
      <c r="N1415" s="49"/>
      <c r="O1415" s="49"/>
      <c r="P1415" s="49"/>
      <c r="Q1415" s="49"/>
      <c r="R1415" s="49"/>
      <c r="S1415" s="49"/>
      <c r="T1415" s="49"/>
      <c r="U1415" s="49"/>
      <c r="V1415" s="49"/>
      <c r="W1415" s="49"/>
      <c r="X1415" s="49"/>
      <c r="Y1415" s="49"/>
      <c r="Z1415" s="49"/>
      <c r="AA1415" s="49"/>
      <c r="AB1415" s="49"/>
      <c r="AC1415" s="49"/>
    </row>
    <row r="1416" spans="1:29">
      <c r="A1416" s="63" t="s">
        <v>571</v>
      </c>
      <c r="B1416" s="61" t="s">
        <v>274</v>
      </c>
      <c r="C1416" s="271">
        <f>VLOOKUP($A$8:$A$1487,'[7]MFP''s'!A$8:C$1502,3,FALSE)</f>
        <v>890</v>
      </c>
      <c r="D1416" s="364">
        <v>494</v>
      </c>
      <c r="E1416" s="274">
        <f t="shared" si="125"/>
        <v>0.44494382022471912</v>
      </c>
      <c r="F1416" s="196">
        <f t="shared" si="126"/>
        <v>18.55958</v>
      </c>
      <c r="G1416" s="196">
        <f t="shared" si="123"/>
        <v>14.6471</v>
      </c>
      <c r="H1416" s="199">
        <f t="shared" si="124"/>
        <v>12.36482</v>
      </c>
      <c r="I1416" s="49"/>
      <c r="J1416" s="49"/>
      <c r="K1416" s="49"/>
      <c r="L1416" s="49"/>
      <c r="M1416" s="49"/>
      <c r="N1416" s="49"/>
      <c r="O1416" s="49"/>
      <c r="P1416" s="49"/>
      <c r="Q1416" s="49"/>
      <c r="R1416" s="49"/>
      <c r="S1416" s="49"/>
      <c r="T1416" s="49"/>
      <c r="U1416" s="49"/>
      <c r="V1416" s="49"/>
      <c r="W1416" s="49"/>
      <c r="X1416" s="49"/>
      <c r="Y1416" s="49"/>
      <c r="Z1416" s="49"/>
      <c r="AA1416" s="49"/>
      <c r="AB1416" s="49"/>
      <c r="AC1416" s="49"/>
    </row>
    <row r="1417" spans="1:29">
      <c r="A1417" s="63" t="s">
        <v>238</v>
      </c>
      <c r="B1417" s="61" t="s">
        <v>239</v>
      </c>
      <c r="C1417" s="271">
        <f>VLOOKUP($A$8:$A$1487,'[7]MFP''s'!A$8:C$1502,3,FALSE)</f>
        <v>1484</v>
      </c>
      <c r="D1417" s="364">
        <v>673</v>
      </c>
      <c r="E1417" s="274">
        <f t="shared" si="125"/>
        <v>0.54649595687331542</v>
      </c>
      <c r="F1417" s="196">
        <f t="shared" si="126"/>
        <v>25.284610000000001</v>
      </c>
      <c r="G1417" s="196">
        <f t="shared" si="123"/>
        <v>19.954449999999998</v>
      </c>
      <c r="H1417" s="199">
        <f t="shared" si="124"/>
        <v>16.845189999999999</v>
      </c>
      <c r="I1417" s="49"/>
      <c r="J1417" s="49"/>
      <c r="K1417" s="49"/>
      <c r="L1417" s="49"/>
      <c r="M1417" s="49"/>
      <c r="N1417" s="49"/>
      <c r="O1417" s="49"/>
      <c r="P1417" s="49"/>
      <c r="Q1417" s="49"/>
      <c r="R1417" s="49"/>
      <c r="S1417" s="49"/>
      <c r="T1417" s="49"/>
      <c r="U1417" s="49"/>
      <c r="V1417" s="49"/>
      <c r="W1417" s="49"/>
      <c r="X1417" s="49"/>
      <c r="Y1417" s="49"/>
      <c r="Z1417" s="49"/>
      <c r="AA1417" s="49"/>
      <c r="AB1417" s="49"/>
      <c r="AC1417" s="49"/>
    </row>
    <row r="1418" spans="1:29">
      <c r="A1418" s="63" t="s">
        <v>240</v>
      </c>
      <c r="B1418" s="61" t="s">
        <v>241</v>
      </c>
      <c r="C1418" s="271">
        <f>VLOOKUP($A$8:$A$1487,'[7]MFP''s'!A$8:C$1502,3,FALSE)</f>
        <v>1484</v>
      </c>
      <c r="D1418" s="364">
        <v>673</v>
      </c>
      <c r="E1418" s="274">
        <f t="shared" si="125"/>
        <v>0.54649595687331542</v>
      </c>
      <c r="F1418" s="196">
        <f t="shared" si="126"/>
        <v>25.284610000000001</v>
      </c>
      <c r="G1418" s="196">
        <f t="shared" si="123"/>
        <v>19.954449999999998</v>
      </c>
      <c r="H1418" s="199">
        <f t="shared" si="124"/>
        <v>16.845189999999999</v>
      </c>
      <c r="I1418" s="49"/>
      <c r="J1418" s="49"/>
      <c r="K1418" s="49"/>
      <c r="L1418" s="49"/>
      <c r="M1418" s="49"/>
      <c r="N1418" s="49"/>
      <c r="O1418" s="49"/>
      <c r="P1418" s="49"/>
      <c r="Q1418" s="49"/>
      <c r="R1418" s="49"/>
      <c r="S1418" s="49"/>
      <c r="T1418" s="49"/>
      <c r="U1418" s="49"/>
      <c r="V1418" s="49"/>
      <c r="W1418" s="49"/>
      <c r="X1418" s="49"/>
      <c r="Y1418" s="49"/>
      <c r="Z1418" s="49"/>
      <c r="AA1418" s="49"/>
      <c r="AB1418" s="49"/>
      <c r="AC1418" s="49"/>
    </row>
    <row r="1419" spans="1:29">
      <c r="A1419" s="63" t="s">
        <v>242</v>
      </c>
      <c r="B1419" s="61" t="s">
        <v>243</v>
      </c>
      <c r="C1419" s="271">
        <f>VLOOKUP($A$8:$A$1487,'[7]MFP''s'!A$8:C$1502,3,FALSE)</f>
        <v>1484</v>
      </c>
      <c r="D1419" s="364">
        <v>673</v>
      </c>
      <c r="E1419" s="274">
        <f t="shared" si="125"/>
        <v>0.54649595687331542</v>
      </c>
      <c r="F1419" s="196">
        <f t="shared" si="126"/>
        <v>25.284610000000001</v>
      </c>
      <c r="G1419" s="196">
        <f t="shared" ref="G1419:G1482" si="127">D1419*$G$1</f>
        <v>19.954449999999998</v>
      </c>
      <c r="H1419" s="199">
        <f t="shared" ref="H1419:H1482" si="128">D1419*$H$1</f>
        <v>16.845189999999999</v>
      </c>
      <c r="I1419" s="49"/>
      <c r="J1419" s="49"/>
      <c r="K1419" s="49"/>
      <c r="L1419" s="49"/>
      <c r="M1419" s="49"/>
      <c r="N1419" s="49"/>
      <c r="O1419" s="49"/>
      <c r="P1419" s="49"/>
      <c r="Q1419" s="49"/>
      <c r="R1419" s="49"/>
      <c r="S1419" s="49"/>
      <c r="T1419" s="49"/>
      <c r="U1419" s="49"/>
      <c r="V1419" s="49"/>
      <c r="W1419" s="49"/>
      <c r="X1419" s="49"/>
      <c r="Y1419" s="49"/>
      <c r="Z1419" s="49"/>
      <c r="AA1419" s="49"/>
      <c r="AB1419" s="49"/>
      <c r="AC1419" s="49"/>
    </row>
    <row r="1420" spans="1:29">
      <c r="A1420" s="63" t="s">
        <v>244</v>
      </c>
      <c r="B1420" s="61" t="s">
        <v>245</v>
      </c>
      <c r="C1420" s="271">
        <f>VLOOKUP($A$8:$A$1487,'[7]MFP''s'!A$8:C$1502,3,FALSE)</f>
        <v>1484</v>
      </c>
      <c r="D1420" s="364">
        <v>673</v>
      </c>
      <c r="E1420" s="274">
        <f t="shared" si="125"/>
        <v>0.54649595687331542</v>
      </c>
      <c r="F1420" s="196">
        <f t="shared" si="126"/>
        <v>25.284610000000001</v>
      </c>
      <c r="G1420" s="196">
        <f t="shared" si="127"/>
        <v>19.954449999999998</v>
      </c>
      <c r="H1420" s="199">
        <f t="shared" si="128"/>
        <v>16.845189999999999</v>
      </c>
      <c r="I1420" s="49"/>
      <c r="J1420" s="49"/>
      <c r="K1420" s="49"/>
      <c r="L1420" s="49"/>
      <c r="M1420" s="49"/>
      <c r="N1420" s="49"/>
      <c r="O1420" s="49"/>
      <c r="P1420" s="49"/>
      <c r="Q1420" s="49"/>
      <c r="R1420" s="49"/>
      <c r="S1420" s="49"/>
      <c r="T1420" s="49"/>
      <c r="U1420" s="49"/>
      <c r="V1420" s="49"/>
      <c r="W1420" s="49"/>
      <c r="X1420" s="49"/>
      <c r="Y1420" s="49"/>
      <c r="Z1420" s="49"/>
      <c r="AA1420" s="49"/>
      <c r="AB1420" s="49"/>
      <c r="AC1420" s="49"/>
    </row>
    <row r="1421" spans="1:29">
      <c r="A1421" s="63" t="s">
        <v>246</v>
      </c>
      <c r="B1421" s="61" t="s">
        <v>247</v>
      </c>
      <c r="C1421" s="271">
        <f>VLOOKUP($A$8:$A$1487,'[7]MFP''s'!A$8:C$1502,3,FALSE)</f>
        <v>1484</v>
      </c>
      <c r="D1421" s="364">
        <v>673</v>
      </c>
      <c r="E1421" s="274">
        <f t="shared" si="125"/>
        <v>0.54649595687331542</v>
      </c>
      <c r="F1421" s="196">
        <f t="shared" si="126"/>
        <v>25.284610000000001</v>
      </c>
      <c r="G1421" s="196">
        <f t="shared" si="127"/>
        <v>19.954449999999998</v>
      </c>
      <c r="H1421" s="199">
        <f t="shared" si="128"/>
        <v>16.845189999999999</v>
      </c>
      <c r="I1421" s="49"/>
      <c r="J1421" s="49"/>
      <c r="K1421" s="49"/>
      <c r="L1421" s="49"/>
      <c r="M1421" s="49"/>
      <c r="N1421" s="49"/>
      <c r="O1421" s="49"/>
      <c r="P1421" s="49"/>
      <c r="Q1421" s="49"/>
      <c r="R1421" s="49"/>
      <c r="S1421" s="49"/>
      <c r="T1421" s="49"/>
      <c r="U1421" s="49"/>
      <c r="V1421" s="49"/>
      <c r="W1421" s="49"/>
      <c r="X1421" s="49"/>
      <c r="Y1421" s="49"/>
      <c r="Z1421" s="49"/>
      <c r="AA1421" s="49"/>
      <c r="AB1421" s="49"/>
      <c r="AC1421" s="49"/>
    </row>
    <row r="1422" spans="1:29">
      <c r="A1422" s="63" t="s">
        <v>248</v>
      </c>
      <c r="B1422" s="61" t="s">
        <v>249</v>
      </c>
      <c r="C1422" s="271">
        <f>VLOOKUP($A$8:$A$1487,'[7]MFP''s'!A$8:C$1502,3,FALSE)</f>
        <v>1484</v>
      </c>
      <c r="D1422" s="364">
        <v>673</v>
      </c>
      <c r="E1422" s="274">
        <f t="shared" si="125"/>
        <v>0.54649595687331542</v>
      </c>
      <c r="F1422" s="196">
        <f t="shared" si="126"/>
        <v>25.284610000000001</v>
      </c>
      <c r="G1422" s="196">
        <f t="shared" si="127"/>
        <v>19.954449999999998</v>
      </c>
      <c r="H1422" s="199">
        <f t="shared" si="128"/>
        <v>16.845189999999999</v>
      </c>
      <c r="I1422" s="49"/>
      <c r="J1422" s="49"/>
      <c r="K1422" s="49"/>
      <c r="L1422" s="49"/>
      <c r="M1422" s="49"/>
      <c r="N1422" s="49"/>
      <c r="O1422" s="49"/>
      <c r="P1422" s="49"/>
      <c r="Q1422" s="49"/>
      <c r="R1422" s="49"/>
      <c r="S1422" s="49"/>
      <c r="T1422" s="49"/>
      <c r="U1422" s="49"/>
      <c r="V1422" s="49"/>
      <c r="W1422" s="49"/>
      <c r="X1422" s="49"/>
      <c r="Y1422" s="49"/>
      <c r="Z1422" s="49"/>
      <c r="AA1422" s="49"/>
      <c r="AB1422" s="49"/>
      <c r="AC1422" s="49"/>
    </row>
    <row r="1423" spans="1:29">
      <c r="A1423" s="63" t="s">
        <v>250</v>
      </c>
      <c r="B1423" s="61" t="s">
        <v>251</v>
      </c>
      <c r="C1423" s="271">
        <f>VLOOKUP($A$8:$A$1487,'[7]MFP''s'!A$8:C$1502,3,FALSE)</f>
        <v>1484</v>
      </c>
      <c r="D1423" s="364">
        <v>673</v>
      </c>
      <c r="E1423" s="274">
        <f t="shared" si="125"/>
        <v>0.54649595687331542</v>
      </c>
      <c r="F1423" s="196">
        <f t="shared" si="126"/>
        <v>25.284610000000001</v>
      </c>
      <c r="G1423" s="196">
        <f t="shared" si="127"/>
        <v>19.954449999999998</v>
      </c>
      <c r="H1423" s="199">
        <f t="shared" si="128"/>
        <v>16.845189999999999</v>
      </c>
      <c r="I1423" s="49"/>
      <c r="J1423" s="49"/>
      <c r="K1423" s="49"/>
      <c r="L1423" s="49"/>
      <c r="M1423" s="49"/>
      <c r="N1423" s="49"/>
      <c r="O1423" s="49"/>
      <c r="P1423" s="49"/>
      <c r="Q1423" s="49"/>
      <c r="R1423" s="49"/>
      <c r="S1423" s="49"/>
      <c r="T1423" s="49"/>
      <c r="U1423" s="49"/>
      <c r="V1423" s="49"/>
      <c r="W1423" s="49"/>
      <c r="X1423" s="49"/>
      <c r="Y1423" s="49"/>
      <c r="Z1423" s="49"/>
      <c r="AA1423" s="49"/>
      <c r="AB1423" s="49"/>
      <c r="AC1423" s="49"/>
    </row>
    <row r="1424" spans="1:29">
      <c r="A1424" s="63" t="s">
        <v>473</v>
      </c>
      <c r="B1424" s="61" t="s">
        <v>474</v>
      </c>
      <c r="C1424" s="271">
        <f>VLOOKUP($A$8:$A$1487,'[7]MFP''s'!A$8:C$1502,3,FALSE)</f>
        <v>2124</v>
      </c>
      <c r="D1424" s="364">
        <v>963.23</v>
      </c>
      <c r="E1424" s="274">
        <f t="shared" si="125"/>
        <v>0.54650188323917137</v>
      </c>
      <c r="F1424" s="196">
        <f t="shared" si="126"/>
        <v>36.188551099999998</v>
      </c>
      <c r="G1424" s="196">
        <f t="shared" si="127"/>
        <v>28.559769500000002</v>
      </c>
      <c r="H1424" s="199">
        <f t="shared" si="128"/>
        <v>24.109646900000001</v>
      </c>
      <c r="I1424" s="49"/>
      <c r="J1424" s="49"/>
      <c r="K1424" s="49"/>
      <c r="L1424" s="49"/>
      <c r="M1424" s="49"/>
      <c r="N1424" s="49"/>
      <c r="O1424" s="49"/>
      <c r="P1424" s="49"/>
      <c r="Q1424" s="49"/>
      <c r="R1424" s="49"/>
      <c r="S1424" s="49"/>
      <c r="T1424" s="49"/>
      <c r="U1424" s="49"/>
      <c r="V1424" s="49"/>
      <c r="W1424" s="49"/>
      <c r="X1424" s="49"/>
      <c r="Y1424" s="49"/>
      <c r="Z1424" s="49"/>
      <c r="AA1424" s="49"/>
      <c r="AB1424" s="49"/>
      <c r="AC1424" s="49"/>
    </row>
    <row r="1425" spans="1:29">
      <c r="A1425" s="63" t="s">
        <v>508</v>
      </c>
      <c r="B1425" s="61" t="s">
        <v>572</v>
      </c>
      <c r="C1425" s="271">
        <f>VLOOKUP($A$8:$A$1487,'[7]MFP''s'!A$8:C$1502,3,FALSE)</f>
        <v>2015</v>
      </c>
      <c r="D1425" s="364">
        <v>1648</v>
      </c>
      <c r="E1425" s="274">
        <f t="shared" si="125"/>
        <v>0.18213399503722083</v>
      </c>
      <c r="F1425" s="196">
        <f t="shared" si="126"/>
        <v>61.91536</v>
      </c>
      <c r="G1425" s="196">
        <f t="shared" si="127"/>
        <v>48.863199999999999</v>
      </c>
      <c r="H1425" s="199">
        <f t="shared" si="128"/>
        <v>41.24944</v>
      </c>
      <c r="I1425" s="49"/>
      <c r="J1425" s="49"/>
      <c r="K1425" s="49"/>
      <c r="L1425" s="49"/>
      <c r="M1425" s="49"/>
      <c r="N1425" s="49"/>
      <c r="O1425" s="49"/>
      <c r="P1425" s="49"/>
      <c r="Q1425" s="49"/>
      <c r="R1425" s="49"/>
      <c r="S1425" s="49"/>
      <c r="T1425" s="49"/>
      <c r="U1425" s="49"/>
      <c r="V1425" s="49"/>
      <c r="W1425" s="49"/>
      <c r="X1425" s="49"/>
      <c r="Y1425" s="49"/>
      <c r="Z1425" s="49"/>
      <c r="AA1425" s="49"/>
      <c r="AB1425" s="49"/>
      <c r="AC1425" s="49"/>
    </row>
    <row r="1426" spans="1:29">
      <c r="A1426" s="63" t="s">
        <v>475</v>
      </c>
      <c r="B1426" s="61" t="s">
        <v>476</v>
      </c>
      <c r="C1426" s="271">
        <f>VLOOKUP($A$8:$A$1487,'[7]MFP''s'!A$8:C$1502,3,FALSE)</f>
        <v>4265</v>
      </c>
      <c r="D1426" s="364">
        <v>1934.18</v>
      </c>
      <c r="E1426" s="274">
        <f t="shared" si="125"/>
        <v>0.54649941383352862</v>
      </c>
      <c r="F1426" s="196">
        <f t="shared" si="126"/>
        <v>72.667142600000005</v>
      </c>
      <c r="G1426" s="196">
        <f t="shared" si="127"/>
        <v>57.348436999999997</v>
      </c>
      <c r="H1426" s="199">
        <f t="shared" si="128"/>
        <v>48.4125254</v>
      </c>
      <c r="I1426" s="49"/>
      <c r="J1426" s="49"/>
      <c r="K1426" s="49"/>
      <c r="L1426" s="49"/>
      <c r="M1426" s="49"/>
      <c r="N1426" s="49"/>
      <c r="O1426" s="49"/>
      <c r="P1426" s="49"/>
      <c r="Q1426" s="49"/>
      <c r="R1426" s="49"/>
      <c r="S1426" s="49"/>
      <c r="T1426" s="49"/>
      <c r="U1426" s="49"/>
      <c r="V1426" s="49"/>
      <c r="W1426" s="49"/>
      <c r="X1426" s="49"/>
      <c r="Y1426" s="49"/>
      <c r="Z1426" s="49"/>
      <c r="AA1426" s="49"/>
      <c r="AB1426" s="49"/>
      <c r="AC1426" s="49"/>
    </row>
    <row r="1427" spans="1:29">
      <c r="A1427" s="63" t="s">
        <v>573</v>
      </c>
      <c r="B1427" s="61" t="s">
        <v>574</v>
      </c>
      <c r="C1427" s="271">
        <f>VLOOKUP($A$8:$A$1487,'[7]MFP''s'!A$8:C$1502,3,FALSE)</f>
        <v>530</v>
      </c>
      <c r="D1427" s="364">
        <v>268.65699999999998</v>
      </c>
      <c r="E1427" s="274">
        <f t="shared" si="125"/>
        <v>0.49309999999999998</v>
      </c>
      <c r="F1427" s="196">
        <f t="shared" si="126"/>
        <v>10.093443489999999</v>
      </c>
      <c r="G1427" s="196">
        <f t="shared" si="127"/>
        <v>7.9656800499999996</v>
      </c>
      <c r="H1427" s="199">
        <f t="shared" si="128"/>
        <v>6.7244847099999996</v>
      </c>
      <c r="I1427" s="49"/>
      <c r="J1427" s="49"/>
      <c r="K1427" s="49"/>
      <c r="L1427" s="49"/>
      <c r="M1427" s="49"/>
      <c r="N1427" s="49"/>
      <c r="O1427" s="49"/>
      <c r="P1427" s="49"/>
      <c r="Q1427" s="49"/>
      <c r="R1427" s="49"/>
      <c r="S1427" s="49"/>
      <c r="T1427" s="49"/>
      <c r="U1427" s="49"/>
      <c r="V1427" s="49"/>
      <c r="W1427" s="49"/>
      <c r="X1427" s="49"/>
      <c r="Y1427" s="49"/>
      <c r="Z1427" s="49"/>
      <c r="AA1427" s="49"/>
      <c r="AB1427" s="49"/>
      <c r="AC1427" s="49"/>
    </row>
    <row r="1428" spans="1:29">
      <c r="A1428" s="63" t="s">
        <v>224</v>
      </c>
      <c r="B1428" s="61" t="s">
        <v>225</v>
      </c>
      <c r="C1428" s="271">
        <f>VLOOKUP($A$8:$A$1487,'[7]MFP''s'!A$8:C$1502,3,FALSE)</f>
        <v>1113</v>
      </c>
      <c r="D1428" s="364">
        <v>505</v>
      </c>
      <c r="E1428" s="274">
        <f t="shared" si="125"/>
        <v>0.54627133872416889</v>
      </c>
      <c r="F1428" s="196">
        <f t="shared" si="126"/>
        <v>18.972850000000001</v>
      </c>
      <c r="G1428" s="196">
        <f t="shared" si="127"/>
        <v>14.97325</v>
      </c>
      <c r="H1428" s="199">
        <f t="shared" si="128"/>
        <v>12.64015</v>
      </c>
      <c r="I1428" s="49"/>
      <c r="J1428" s="49"/>
      <c r="K1428" s="49"/>
      <c r="L1428" s="49"/>
      <c r="M1428" s="49"/>
      <c r="N1428" s="49"/>
      <c r="O1428" s="49"/>
      <c r="P1428" s="49"/>
      <c r="Q1428" s="49"/>
      <c r="R1428" s="49"/>
      <c r="S1428" s="49"/>
      <c r="T1428" s="49"/>
      <c r="U1428" s="49"/>
      <c r="V1428" s="49"/>
      <c r="W1428" s="49"/>
      <c r="X1428" s="49"/>
      <c r="Y1428" s="49"/>
      <c r="Z1428" s="49"/>
      <c r="AA1428" s="49"/>
      <c r="AB1428" s="49"/>
      <c r="AC1428" s="49"/>
    </row>
    <row r="1429" spans="1:29">
      <c r="A1429" s="60" t="s">
        <v>283</v>
      </c>
      <c r="B1429" s="65"/>
      <c r="C1429" s="271"/>
      <c r="D1429" s="364"/>
      <c r="E1429" s="274"/>
      <c r="F1429" s="196"/>
      <c r="G1429" s="196"/>
      <c r="H1429" s="199"/>
      <c r="I1429" s="49"/>
      <c r="J1429" s="49"/>
      <c r="K1429" s="49"/>
      <c r="L1429" s="49"/>
      <c r="M1429" s="49"/>
      <c r="N1429" s="49"/>
      <c r="O1429" s="49"/>
      <c r="P1429" s="49"/>
      <c r="Q1429" s="49"/>
      <c r="R1429" s="49"/>
      <c r="S1429" s="49"/>
      <c r="T1429" s="49"/>
      <c r="U1429" s="49"/>
      <c r="V1429" s="49"/>
      <c r="W1429" s="49"/>
      <c r="X1429" s="49"/>
      <c r="Y1429" s="49"/>
      <c r="Z1429" s="49"/>
      <c r="AA1429" s="49"/>
      <c r="AB1429" s="49"/>
      <c r="AC1429" s="49"/>
    </row>
    <row r="1430" spans="1:29" ht="30">
      <c r="A1430" s="63" t="s">
        <v>575</v>
      </c>
      <c r="B1430" s="77" t="s">
        <v>576</v>
      </c>
      <c r="C1430" s="271">
        <f>VLOOKUP($A$8:$A$1487,'[7]MFP''s'!A$8:C$1502,3,FALSE)</f>
        <v>3540</v>
      </c>
      <c r="D1430" s="364">
        <v>1947.0000000000002</v>
      </c>
      <c r="E1430" s="274">
        <f t="shared" si="125"/>
        <v>0.44999999999999996</v>
      </c>
      <c r="F1430" s="196">
        <f t="shared" si="126"/>
        <v>73.148790000000005</v>
      </c>
      <c r="G1430" s="196">
        <f t="shared" si="127"/>
        <v>57.728550000000006</v>
      </c>
      <c r="H1430" s="199">
        <f t="shared" si="128"/>
        <v>48.733410000000006</v>
      </c>
      <c r="I1430" s="49"/>
      <c r="J1430" s="49"/>
      <c r="K1430" s="49"/>
      <c r="L1430" s="49"/>
      <c r="M1430" s="49"/>
      <c r="N1430" s="49"/>
      <c r="O1430" s="49"/>
      <c r="P1430" s="49"/>
      <c r="Q1430" s="49"/>
      <c r="R1430" s="49"/>
      <c r="S1430" s="49"/>
      <c r="T1430" s="49"/>
      <c r="U1430" s="49"/>
      <c r="V1430" s="49"/>
      <c r="W1430" s="49"/>
      <c r="X1430" s="49"/>
      <c r="Y1430" s="49"/>
      <c r="Z1430" s="49"/>
      <c r="AA1430" s="49"/>
      <c r="AB1430" s="49"/>
      <c r="AC1430" s="49"/>
    </row>
    <row r="1431" spans="1:29">
      <c r="A1431" s="60" t="s">
        <v>316</v>
      </c>
      <c r="B1431" s="65"/>
      <c r="C1431" s="271"/>
      <c r="D1431" s="364"/>
      <c r="E1431" s="274"/>
      <c r="F1431" s="196"/>
      <c r="G1431" s="196"/>
      <c r="H1431" s="199"/>
      <c r="I1431" s="49"/>
      <c r="J1431" s="49"/>
      <c r="K1431" s="49"/>
      <c r="L1431" s="49"/>
      <c r="M1431" s="49"/>
      <c r="N1431" s="49"/>
      <c r="O1431" s="49"/>
      <c r="P1431" s="49"/>
      <c r="Q1431" s="49"/>
      <c r="R1431" s="49"/>
      <c r="S1431" s="49"/>
      <c r="T1431" s="49"/>
      <c r="U1431" s="49"/>
      <c r="V1431" s="49"/>
      <c r="W1431" s="49"/>
      <c r="X1431" s="49"/>
      <c r="Y1431" s="49"/>
      <c r="Z1431" s="49"/>
      <c r="AA1431" s="49"/>
      <c r="AB1431" s="49"/>
      <c r="AC1431" s="49"/>
    </row>
    <row r="1432" spans="1:29">
      <c r="A1432" s="63" t="s">
        <v>577</v>
      </c>
      <c r="B1432" s="61" t="s">
        <v>578</v>
      </c>
      <c r="C1432" s="271">
        <f>VLOOKUP($A$8:$A$1487,'[7]MFP''s'!A$8:C$1502,3,FALSE)</f>
        <v>55600</v>
      </c>
      <c r="D1432" s="364">
        <v>26326.600000000002</v>
      </c>
      <c r="E1432" s="274">
        <f t="shared" si="125"/>
        <v>0.52649999999999997</v>
      </c>
      <c r="F1432" s="196">
        <f t="shared" si="126"/>
        <v>989.09036200000003</v>
      </c>
      <c r="G1432" s="196">
        <f t="shared" si="127"/>
        <v>780.58369000000005</v>
      </c>
      <c r="H1432" s="199">
        <f t="shared" si="128"/>
        <v>658.9547980000001</v>
      </c>
      <c r="I1432" s="49"/>
      <c r="J1432" s="49"/>
      <c r="K1432" s="49"/>
      <c r="L1432" s="49"/>
      <c r="M1432" s="49"/>
      <c r="N1432" s="49"/>
      <c r="O1432" s="49"/>
      <c r="P1432" s="49"/>
      <c r="Q1432" s="49"/>
      <c r="R1432" s="49"/>
      <c r="S1432" s="49"/>
      <c r="T1432" s="49"/>
      <c r="U1432" s="49"/>
      <c r="V1432" s="49"/>
      <c r="W1432" s="49"/>
      <c r="X1432" s="49"/>
      <c r="Y1432" s="49"/>
      <c r="Z1432" s="49"/>
      <c r="AA1432" s="49"/>
      <c r="AB1432" s="49"/>
      <c r="AC1432" s="49"/>
    </row>
    <row r="1433" spans="1:29">
      <c r="A1433" s="63" t="s">
        <v>579</v>
      </c>
      <c r="B1433" s="61" t="s">
        <v>580</v>
      </c>
      <c r="C1433" s="271">
        <f>VLOOKUP($A$8:$A$1487,'[7]MFP''s'!A$8:C$1502,3,FALSE)</f>
        <v>13000</v>
      </c>
      <c r="D1433" s="364">
        <v>7150.0000000000009</v>
      </c>
      <c r="E1433" s="274">
        <f t="shared" si="125"/>
        <v>0.44999999999999996</v>
      </c>
      <c r="F1433" s="196">
        <f t="shared" si="126"/>
        <v>268.62550000000005</v>
      </c>
      <c r="G1433" s="196">
        <f t="shared" si="127"/>
        <v>211.99750000000003</v>
      </c>
      <c r="H1433" s="199">
        <f t="shared" si="128"/>
        <v>178.96450000000002</v>
      </c>
      <c r="I1433" s="49"/>
      <c r="J1433" s="49"/>
      <c r="K1433" s="49"/>
      <c r="L1433" s="49"/>
      <c r="M1433" s="49"/>
      <c r="N1433" s="49"/>
      <c r="O1433" s="49"/>
      <c r="P1433" s="49"/>
      <c r="Q1433" s="49"/>
      <c r="R1433" s="49"/>
      <c r="S1433" s="49"/>
      <c r="T1433" s="49"/>
      <c r="U1433" s="49"/>
      <c r="V1433" s="49"/>
      <c r="W1433" s="49"/>
      <c r="X1433" s="49"/>
      <c r="Y1433" s="49"/>
      <c r="Z1433" s="49"/>
      <c r="AA1433" s="49"/>
      <c r="AB1433" s="49"/>
      <c r="AC1433" s="49"/>
    </row>
    <row r="1434" spans="1:29">
      <c r="A1434" s="63" t="s">
        <v>482</v>
      </c>
      <c r="B1434" s="61" t="s">
        <v>483</v>
      </c>
      <c r="C1434" s="271">
        <f>VLOOKUP($A$8:$A$1487,'[7]MFP''s'!A$8:C$1502,3,FALSE)</f>
        <v>30492</v>
      </c>
      <c r="D1434" s="364">
        <v>16770.600000000002</v>
      </c>
      <c r="E1434" s="274">
        <f t="shared" si="125"/>
        <v>0.44999999999999996</v>
      </c>
      <c r="F1434" s="196">
        <f t="shared" si="126"/>
        <v>630.07144200000005</v>
      </c>
      <c r="G1434" s="196">
        <f t="shared" si="127"/>
        <v>497.24829000000005</v>
      </c>
      <c r="H1434" s="199">
        <f t="shared" si="128"/>
        <v>419.76811800000007</v>
      </c>
      <c r="I1434" s="49"/>
      <c r="J1434" s="49"/>
      <c r="K1434" s="49"/>
      <c r="L1434" s="49"/>
      <c r="M1434" s="49"/>
      <c r="N1434" s="49"/>
      <c r="O1434" s="49"/>
      <c r="P1434" s="49"/>
      <c r="Q1434" s="49"/>
      <c r="R1434" s="49"/>
      <c r="S1434" s="49"/>
      <c r="T1434" s="49"/>
      <c r="U1434" s="49"/>
      <c r="V1434" s="49"/>
      <c r="W1434" s="49"/>
      <c r="X1434" s="49"/>
      <c r="Y1434" s="49"/>
      <c r="Z1434" s="49"/>
      <c r="AA1434" s="49"/>
      <c r="AB1434" s="49"/>
      <c r="AC1434" s="49"/>
    </row>
    <row r="1435" spans="1:29">
      <c r="A1435" s="63" t="s">
        <v>514</v>
      </c>
      <c r="B1435" s="61" t="s">
        <v>515</v>
      </c>
      <c r="C1435" s="271">
        <f>VLOOKUP($A$8:$A$1487,'[7]MFP''s'!A$8:C$1502,3,FALSE)</f>
        <v>2500</v>
      </c>
      <c r="D1435" s="364">
        <v>1388.89</v>
      </c>
      <c r="E1435" s="274">
        <f t="shared" si="125"/>
        <v>0.44444399999999995</v>
      </c>
      <c r="F1435" s="196">
        <f t="shared" si="126"/>
        <v>52.180597300000002</v>
      </c>
      <c r="G1435" s="196">
        <f t="shared" si="127"/>
        <v>41.180588499999999</v>
      </c>
      <c r="H1435" s="199">
        <f t="shared" si="128"/>
        <v>34.763916700000003</v>
      </c>
      <c r="I1435" s="49"/>
      <c r="J1435" s="49"/>
      <c r="K1435" s="49"/>
      <c r="L1435" s="49"/>
      <c r="M1435" s="49"/>
      <c r="N1435" s="49"/>
      <c r="O1435" s="49"/>
      <c r="P1435" s="49"/>
      <c r="Q1435" s="49"/>
      <c r="R1435" s="49"/>
      <c r="S1435" s="49"/>
      <c r="T1435" s="49"/>
      <c r="U1435" s="49"/>
      <c r="V1435" s="49"/>
      <c r="W1435" s="49"/>
      <c r="X1435" s="49"/>
      <c r="Y1435" s="49"/>
      <c r="Z1435" s="49"/>
      <c r="AA1435" s="49"/>
      <c r="AB1435" s="49"/>
      <c r="AC1435" s="49"/>
    </row>
    <row r="1436" spans="1:29">
      <c r="A1436" s="63" t="s">
        <v>516</v>
      </c>
      <c r="B1436" s="61" t="s">
        <v>517</v>
      </c>
      <c r="C1436" s="271">
        <f>VLOOKUP($A$8:$A$1487,'[7]MFP''s'!A$8:C$1502,3,FALSE)</f>
        <v>1100</v>
      </c>
      <c r="D1436" s="364">
        <v>629.44000000000005</v>
      </c>
      <c r="E1436" s="274">
        <f t="shared" si="125"/>
        <v>0.42778181818181815</v>
      </c>
      <c r="F1436" s="196">
        <f t="shared" si="126"/>
        <v>23.648060800000003</v>
      </c>
      <c r="G1436" s="196">
        <f t="shared" si="127"/>
        <v>18.662896</v>
      </c>
      <c r="H1436" s="199">
        <f t="shared" si="128"/>
        <v>15.754883200000002</v>
      </c>
      <c r="I1436" s="49"/>
      <c r="J1436" s="49"/>
      <c r="K1436" s="49"/>
      <c r="L1436" s="49"/>
      <c r="M1436" s="49"/>
      <c r="N1436" s="49"/>
      <c r="O1436" s="49"/>
      <c r="P1436" s="49"/>
      <c r="Q1436" s="49"/>
      <c r="R1436" s="49"/>
      <c r="S1436" s="49"/>
      <c r="T1436" s="49"/>
      <c r="U1436" s="49"/>
      <c r="V1436" s="49"/>
      <c r="W1436" s="49"/>
      <c r="X1436" s="49"/>
      <c r="Y1436" s="49"/>
      <c r="Z1436" s="49"/>
      <c r="AA1436" s="49"/>
      <c r="AB1436" s="49"/>
      <c r="AC1436" s="49"/>
    </row>
    <row r="1437" spans="1:29">
      <c r="A1437" s="63" t="s">
        <v>518</v>
      </c>
      <c r="B1437" s="61" t="s">
        <v>519</v>
      </c>
      <c r="C1437" s="271">
        <f>VLOOKUP($A$8:$A$1487,'[7]MFP''s'!A$8:C$1502,3,FALSE)</f>
        <v>3000</v>
      </c>
      <c r="D1437" s="364">
        <v>1773.89</v>
      </c>
      <c r="E1437" s="274">
        <f t="shared" si="125"/>
        <v>0.40870333333333331</v>
      </c>
      <c r="F1437" s="196">
        <f t="shared" si="126"/>
        <v>66.645047300000002</v>
      </c>
      <c r="G1437" s="196">
        <f t="shared" si="127"/>
        <v>52.595838499999999</v>
      </c>
      <c r="H1437" s="199">
        <f t="shared" si="128"/>
        <v>44.400466700000003</v>
      </c>
      <c r="I1437" s="49"/>
      <c r="J1437" s="49"/>
      <c r="K1437" s="49"/>
      <c r="L1437" s="49"/>
      <c r="M1437" s="49"/>
      <c r="N1437" s="49"/>
      <c r="O1437" s="49"/>
      <c r="P1437" s="49"/>
      <c r="Q1437" s="49"/>
      <c r="R1437" s="49"/>
      <c r="S1437" s="49"/>
      <c r="T1437" s="49"/>
      <c r="U1437" s="49"/>
      <c r="V1437" s="49"/>
      <c r="W1437" s="49"/>
      <c r="X1437" s="49"/>
      <c r="Y1437" s="49"/>
      <c r="Z1437" s="49"/>
      <c r="AA1437" s="49"/>
      <c r="AB1437" s="49"/>
      <c r="AC1437" s="49"/>
    </row>
    <row r="1438" spans="1:29">
      <c r="A1438" s="63" t="s">
        <v>520</v>
      </c>
      <c r="B1438" s="61" t="s">
        <v>521</v>
      </c>
      <c r="C1438" s="271">
        <f>VLOOKUP($A$8:$A$1487,'[7]MFP''s'!A$8:C$1502,3,FALSE)</f>
        <v>3500</v>
      </c>
      <c r="D1438" s="364">
        <v>2625</v>
      </c>
      <c r="E1438" s="274">
        <f t="shared" si="125"/>
        <v>0.25</v>
      </c>
      <c r="F1438" s="196">
        <f t="shared" si="126"/>
        <v>98.621250000000003</v>
      </c>
      <c r="G1438" s="196">
        <f t="shared" si="127"/>
        <v>77.831249999999997</v>
      </c>
      <c r="H1438" s="199">
        <f t="shared" si="128"/>
        <v>65.703749999999999</v>
      </c>
      <c r="I1438" s="49"/>
      <c r="J1438" s="49"/>
      <c r="K1438" s="49"/>
      <c r="L1438" s="49"/>
      <c r="M1438" s="49"/>
      <c r="N1438" s="49"/>
      <c r="O1438" s="49"/>
      <c r="P1438" s="49"/>
      <c r="Q1438" s="49"/>
      <c r="R1438" s="49"/>
      <c r="S1438" s="49"/>
      <c r="T1438" s="49"/>
      <c r="U1438" s="49"/>
      <c r="V1438" s="49"/>
      <c r="W1438" s="49"/>
      <c r="X1438" s="49"/>
      <c r="Y1438" s="49"/>
      <c r="Z1438" s="49"/>
      <c r="AA1438" s="49"/>
      <c r="AB1438" s="49"/>
      <c r="AC1438" s="49"/>
    </row>
    <row r="1439" spans="1:29">
      <c r="A1439" s="63" t="s">
        <v>528</v>
      </c>
      <c r="B1439" s="61" t="s">
        <v>529</v>
      </c>
      <c r="C1439" s="271">
        <f>VLOOKUP($A$8:$A$1487,'[7]MFP''s'!A$8:C$1502,3,FALSE)</f>
        <v>7000</v>
      </c>
      <c r="D1439" s="364">
        <v>5250</v>
      </c>
      <c r="E1439" s="274">
        <f t="shared" si="125"/>
        <v>0.25</v>
      </c>
      <c r="F1439" s="196">
        <f t="shared" si="126"/>
        <v>197.24250000000001</v>
      </c>
      <c r="G1439" s="196">
        <f t="shared" si="127"/>
        <v>155.66249999999999</v>
      </c>
      <c r="H1439" s="199">
        <f t="shared" si="128"/>
        <v>131.4075</v>
      </c>
      <c r="I1439" s="49"/>
      <c r="J1439" s="49"/>
      <c r="K1439" s="49"/>
      <c r="L1439" s="49"/>
      <c r="M1439" s="49"/>
      <c r="N1439" s="49"/>
      <c r="O1439" s="49"/>
      <c r="P1439" s="49"/>
      <c r="Q1439" s="49"/>
      <c r="R1439" s="49"/>
      <c r="S1439" s="49"/>
      <c r="T1439" s="49"/>
      <c r="U1439" s="49"/>
      <c r="V1439" s="49"/>
      <c r="W1439" s="49"/>
      <c r="X1439" s="49"/>
      <c r="Y1439" s="49"/>
      <c r="Z1439" s="49"/>
      <c r="AA1439" s="49"/>
      <c r="AB1439" s="49"/>
      <c r="AC1439" s="49"/>
    </row>
    <row r="1440" spans="1:29">
      <c r="A1440" s="63" t="s">
        <v>530</v>
      </c>
      <c r="B1440" s="61" t="s">
        <v>531</v>
      </c>
      <c r="C1440" s="271">
        <f>VLOOKUP($A$8:$A$1487,'[7]MFP''s'!A$8:C$1502,3,FALSE)</f>
        <v>1200</v>
      </c>
      <c r="D1440" s="364">
        <v>900</v>
      </c>
      <c r="E1440" s="274">
        <f t="shared" si="125"/>
        <v>0.25</v>
      </c>
      <c r="F1440" s="196">
        <f t="shared" si="126"/>
        <v>33.813000000000002</v>
      </c>
      <c r="G1440" s="196">
        <f t="shared" si="127"/>
        <v>26.684999999999999</v>
      </c>
      <c r="H1440" s="199">
        <f t="shared" si="128"/>
        <v>22.527000000000001</v>
      </c>
      <c r="I1440" s="49"/>
      <c r="J1440" s="49"/>
      <c r="K1440" s="49"/>
      <c r="L1440" s="49"/>
      <c r="M1440" s="49"/>
      <c r="N1440" s="49"/>
      <c r="O1440" s="49"/>
      <c r="P1440" s="49"/>
      <c r="Q1440" s="49"/>
      <c r="R1440" s="49"/>
      <c r="S1440" s="49"/>
      <c r="T1440" s="49"/>
      <c r="U1440" s="49"/>
      <c r="V1440" s="49"/>
      <c r="W1440" s="49"/>
      <c r="X1440" s="49"/>
      <c r="Y1440" s="49"/>
      <c r="Z1440" s="49"/>
      <c r="AA1440" s="49"/>
      <c r="AB1440" s="49"/>
      <c r="AC1440" s="49"/>
    </row>
    <row r="1441" spans="1:29" ht="30">
      <c r="A1441" s="63" t="s">
        <v>532</v>
      </c>
      <c r="B1441" s="61" t="s">
        <v>533</v>
      </c>
      <c r="C1441" s="271">
        <f>VLOOKUP($A$8:$A$1487,'[7]MFP''s'!A$8:C$1502,3,FALSE)</f>
        <v>2670</v>
      </c>
      <c r="D1441" s="364">
        <v>2002.5</v>
      </c>
      <c r="E1441" s="274">
        <f t="shared" si="125"/>
        <v>0.25</v>
      </c>
      <c r="F1441" s="196">
        <f t="shared" si="126"/>
        <v>75.233924999999999</v>
      </c>
      <c r="G1441" s="196">
        <f t="shared" si="127"/>
        <v>59.374124999999999</v>
      </c>
      <c r="H1441" s="199">
        <f t="shared" si="128"/>
        <v>50.122574999999998</v>
      </c>
      <c r="I1441" s="49"/>
      <c r="J1441" s="49"/>
      <c r="K1441" s="49"/>
      <c r="L1441" s="49"/>
      <c r="M1441" s="49"/>
      <c r="N1441" s="49"/>
      <c r="O1441" s="49"/>
      <c r="P1441" s="49"/>
      <c r="Q1441" s="49"/>
      <c r="R1441" s="49"/>
      <c r="S1441" s="49"/>
      <c r="T1441" s="49"/>
      <c r="U1441" s="49"/>
      <c r="V1441" s="49"/>
      <c r="W1441" s="49"/>
      <c r="X1441" s="49"/>
      <c r="Y1441" s="49"/>
      <c r="Z1441" s="49"/>
      <c r="AA1441" s="49"/>
      <c r="AB1441" s="49"/>
      <c r="AC1441" s="49"/>
    </row>
    <row r="1442" spans="1:29" ht="30">
      <c r="A1442" s="63" t="s">
        <v>534</v>
      </c>
      <c r="B1442" s="61" t="s">
        <v>535</v>
      </c>
      <c r="C1442" s="271">
        <f>VLOOKUP($A$8:$A$1487,'[7]MFP''s'!A$8:C$1502,3,FALSE)</f>
        <v>11625</v>
      </c>
      <c r="D1442" s="364">
        <v>8718.75</v>
      </c>
      <c r="E1442" s="274">
        <f t="shared" si="125"/>
        <v>0.25</v>
      </c>
      <c r="F1442" s="196">
        <f t="shared" si="126"/>
        <v>327.56343750000002</v>
      </c>
      <c r="G1442" s="196">
        <f t="shared" si="127"/>
        <v>258.51093750000001</v>
      </c>
      <c r="H1442" s="199">
        <f t="shared" si="128"/>
        <v>218.2303125</v>
      </c>
      <c r="I1442" s="49"/>
      <c r="J1442" s="49"/>
      <c r="K1442" s="49"/>
      <c r="L1442" s="49"/>
      <c r="M1442" s="49"/>
      <c r="N1442" s="49"/>
      <c r="O1442" s="49"/>
      <c r="P1442" s="49"/>
      <c r="Q1442" s="49"/>
      <c r="R1442" s="49"/>
      <c r="S1442" s="49"/>
      <c r="T1442" s="49"/>
      <c r="U1442" s="49"/>
      <c r="V1442" s="49"/>
      <c r="W1442" s="49"/>
      <c r="X1442" s="49"/>
      <c r="Y1442" s="49"/>
      <c r="Z1442" s="49"/>
      <c r="AA1442" s="49"/>
      <c r="AB1442" s="49"/>
      <c r="AC1442" s="49"/>
    </row>
    <row r="1443" spans="1:29">
      <c r="A1443" s="63" t="s">
        <v>536</v>
      </c>
      <c r="B1443" s="74" t="s">
        <v>537</v>
      </c>
      <c r="C1443" s="271">
        <f>VLOOKUP($A$8:$A$1487,'[7]MFP''s'!A$8:C$1502,3,FALSE)</f>
        <v>700</v>
      </c>
      <c r="D1443" s="364">
        <v>525</v>
      </c>
      <c r="E1443" s="274">
        <f t="shared" si="125"/>
        <v>0.25</v>
      </c>
      <c r="F1443" s="196">
        <f t="shared" si="126"/>
        <v>19.724249999999998</v>
      </c>
      <c r="G1443" s="196">
        <f t="shared" si="127"/>
        <v>15.56625</v>
      </c>
      <c r="H1443" s="199">
        <f t="shared" si="128"/>
        <v>13.140750000000001</v>
      </c>
      <c r="I1443" s="49"/>
      <c r="J1443" s="49"/>
      <c r="K1443" s="49"/>
      <c r="L1443" s="49"/>
      <c r="M1443" s="49"/>
      <c r="N1443" s="49"/>
      <c r="O1443" s="49"/>
      <c r="P1443" s="49"/>
      <c r="Q1443" s="49"/>
      <c r="R1443" s="49"/>
      <c r="S1443" s="49"/>
      <c r="T1443" s="49"/>
      <c r="U1443" s="49"/>
      <c r="V1443" s="49"/>
      <c r="W1443" s="49"/>
      <c r="X1443" s="49"/>
      <c r="Y1443" s="49"/>
      <c r="Z1443" s="49"/>
      <c r="AA1443" s="49"/>
      <c r="AB1443" s="49"/>
      <c r="AC1443" s="49"/>
    </row>
    <row r="1444" spans="1:29">
      <c r="A1444" s="63" t="s">
        <v>456</v>
      </c>
      <c r="B1444" s="61" t="s">
        <v>457</v>
      </c>
      <c r="C1444" s="271">
        <f>VLOOKUP($A$8:$A$1487,'[7]MFP''s'!A$8:C$1502,3,FALSE)</f>
        <v>1000</v>
      </c>
      <c r="D1444" s="364">
        <v>555.1</v>
      </c>
      <c r="E1444" s="274">
        <f t="shared" si="125"/>
        <v>0.44489999999999996</v>
      </c>
      <c r="F1444" s="196">
        <f t="shared" si="126"/>
        <v>20.855107</v>
      </c>
      <c r="G1444" s="196">
        <f t="shared" si="127"/>
        <v>16.458715000000002</v>
      </c>
      <c r="H1444" s="199">
        <f t="shared" si="128"/>
        <v>13.894153000000001</v>
      </c>
      <c r="I1444" s="49"/>
      <c r="J1444" s="49"/>
      <c r="K1444" s="49"/>
      <c r="L1444" s="49"/>
      <c r="M1444" s="49"/>
      <c r="N1444" s="49"/>
      <c r="O1444" s="49"/>
      <c r="P1444" s="49"/>
      <c r="Q1444" s="49"/>
      <c r="R1444" s="49"/>
      <c r="S1444" s="49"/>
      <c r="T1444" s="49"/>
      <c r="U1444" s="49"/>
      <c r="V1444" s="49"/>
      <c r="W1444" s="49"/>
      <c r="X1444" s="49"/>
      <c r="Y1444" s="49"/>
      <c r="Z1444" s="49"/>
      <c r="AA1444" s="49"/>
      <c r="AB1444" s="49"/>
      <c r="AC1444" s="49"/>
    </row>
    <row r="1445" spans="1:29">
      <c r="A1445" s="63" t="s">
        <v>489</v>
      </c>
      <c r="B1445" s="61" t="s">
        <v>490</v>
      </c>
      <c r="C1445" s="271">
        <f>VLOOKUP($A$8:$A$1487,'[7]MFP''s'!A$8:C$1502,3,FALSE)</f>
        <v>1000</v>
      </c>
      <c r="D1445" s="364">
        <v>550</v>
      </c>
      <c r="E1445" s="274">
        <f t="shared" si="125"/>
        <v>0.44999999999999996</v>
      </c>
      <c r="F1445" s="196">
        <f t="shared" si="126"/>
        <v>20.663499999999999</v>
      </c>
      <c r="G1445" s="196">
        <f t="shared" si="127"/>
        <v>16.307500000000001</v>
      </c>
      <c r="H1445" s="199">
        <f t="shared" si="128"/>
        <v>13.766500000000001</v>
      </c>
      <c r="I1445" s="49"/>
      <c r="J1445" s="49"/>
      <c r="K1445" s="49"/>
      <c r="L1445" s="49"/>
      <c r="M1445" s="49"/>
      <c r="N1445" s="49"/>
      <c r="O1445" s="49"/>
      <c r="P1445" s="49"/>
      <c r="Q1445" s="49"/>
      <c r="R1445" s="49"/>
      <c r="S1445" s="49"/>
      <c r="T1445" s="49"/>
      <c r="U1445" s="49"/>
      <c r="V1445" s="49"/>
      <c r="W1445" s="49"/>
      <c r="X1445" s="49"/>
      <c r="Y1445" s="49"/>
      <c r="Z1445" s="49"/>
      <c r="AA1445" s="49"/>
      <c r="AB1445" s="49"/>
      <c r="AC1445" s="49"/>
    </row>
    <row r="1446" spans="1:29">
      <c r="A1446" s="63" t="s">
        <v>540</v>
      </c>
      <c r="B1446" s="61" t="s">
        <v>541</v>
      </c>
      <c r="C1446" s="271">
        <f>VLOOKUP($A$8:$A$1487,'[7]MFP''s'!A$8:C$1502,3,FALSE)</f>
        <v>5200</v>
      </c>
      <c r="D1446" s="364">
        <v>2888.89</v>
      </c>
      <c r="E1446" s="274">
        <f t="shared" ref="E1446:E1487" si="129">100%-(D1446/C1446)</f>
        <v>0.44444423076923079</v>
      </c>
      <c r="F1446" s="196">
        <f t="shared" si="126"/>
        <v>108.53559729999999</v>
      </c>
      <c r="G1446" s="196">
        <f t="shared" si="127"/>
        <v>85.655588499999993</v>
      </c>
      <c r="H1446" s="199">
        <f t="shared" si="128"/>
        <v>72.308916699999997</v>
      </c>
      <c r="I1446" s="49"/>
      <c r="J1446" s="49"/>
      <c r="K1446" s="49"/>
      <c r="L1446" s="49"/>
      <c r="M1446" s="49"/>
      <c r="N1446" s="49"/>
      <c r="O1446" s="49"/>
      <c r="P1446" s="49"/>
      <c r="Q1446" s="49"/>
      <c r="R1446" s="49"/>
      <c r="S1446" s="49"/>
      <c r="T1446" s="49"/>
      <c r="U1446" s="49"/>
      <c r="V1446" s="49"/>
      <c r="W1446" s="49"/>
      <c r="X1446" s="49"/>
      <c r="Y1446" s="49"/>
      <c r="Z1446" s="49"/>
      <c r="AA1446" s="49"/>
      <c r="AB1446" s="49"/>
      <c r="AC1446" s="49"/>
    </row>
    <row r="1447" spans="1:29">
      <c r="A1447" s="63" t="s">
        <v>542</v>
      </c>
      <c r="B1447" s="61" t="s">
        <v>543</v>
      </c>
      <c r="C1447" s="271">
        <f>VLOOKUP($A$8:$A$1487,'[7]MFP''s'!A$8:C$1502,3,FALSE)</f>
        <v>5200</v>
      </c>
      <c r="D1447" s="364">
        <v>2888.89</v>
      </c>
      <c r="E1447" s="274">
        <f t="shared" si="129"/>
        <v>0.44444423076923079</v>
      </c>
      <c r="F1447" s="196">
        <f t="shared" si="126"/>
        <v>108.53559729999999</v>
      </c>
      <c r="G1447" s="196">
        <f t="shared" si="127"/>
        <v>85.655588499999993</v>
      </c>
      <c r="H1447" s="199">
        <f t="shared" si="128"/>
        <v>72.308916699999997</v>
      </c>
      <c r="I1447" s="49"/>
      <c r="J1447" s="49"/>
      <c r="K1447" s="49"/>
      <c r="L1447" s="49"/>
      <c r="M1447" s="49"/>
      <c r="N1447" s="49"/>
      <c r="O1447" s="49"/>
      <c r="P1447" s="49"/>
      <c r="Q1447" s="49"/>
      <c r="R1447" s="49"/>
      <c r="S1447" s="49"/>
      <c r="T1447" s="49"/>
      <c r="U1447" s="49"/>
      <c r="V1447" s="49"/>
      <c r="W1447" s="49"/>
      <c r="X1447" s="49"/>
      <c r="Y1447" s="49"/>
      <c r="Z1447" s="49"/>
      <c r="AA1447" s="49"/>
      <c r="AB1447" s="49"/>
      <c r="AC1447" s="49"/>
    </row>
    <row r="1448" spans="1:29">
      <c r="A1448" s="63" t="s">
        <v>544</v>
      </c>
      <c r="B1448" s="61" t="s">
        <v>545</v>
      </c>
      <c r="C1448" s="271">
        <f>VLOOKUP($A$8:$A$1487,'[7]MFP''s'!A$8:C$1502,3,FALSE)</f>
        <v>5200</v>
      </c>
      <c r="D1448" s="364">
        <v>2888.89</v>
      </c>
      <c r="E1448" s="274">
        <f t="shared" si="129"/>
        <v>0.44444423076923079</v>
      </c>
      <c r="F1448" s="196">
        <f t="shared" si="126"/>
        <v>108.53559729999999</v>
      </c>
      <c r="G1448" s="196">
        <f t="shared" si="127"/>
        <v>85.655588499999993</v>
      </c>
      <c r="H1448" s="199">
        <f t="shared" si="128"/>
        <v>72.308916699999997</v>
      </c>
      <c r="I1448" s="49"/>
      <c r="J1448" s="49"/>
      <c r="K1448" s="49"/>
      <c r="L1448" s="49"/>
      <c r="M1448" s="49"/>
      <c r="N1448" s="49"/>
      <c r="O1448" s="49"/>
      <c r="P1448" s="49"/>
      <c r="Q1448" s="49"/>
      <c r="R1448" s="49"/>
      <c r="S1448" s="49"/>
      <c r="T1448" s="49"/>
      <c r="U1448" s="49"/>
      <c r="V1448" s="49"/>
      <c r="W1448" s="49"/>
      <c r="X1448" s="49"/>
      <c r="Y1448" s="49"/>
      <c r="Z1448" s="49"/>
      <c r="AA1448" s="49"/>
      <c r="AB1448" s="49"/>
      <c r="AC1448" s="49"/>
    </row>
    <row r="1449" spans="1:29">
      <c r="A1449" s="63" t="s">
        <v>546</v>
      </c>
      <c r="B1449" s="61" t="s">
        <v>547</v>
      </c>
      <c r="C1449" s="271">
        <f>VLOOKUP($A$8:$A$1487,'[7]MFP''s'!A$8:C$1502,3,FALSE)</f>
        <v>2395</v>
      </c>
      <c r="D1449" s="364">
        <v>1328.89</v>
      </c>
      <c r="E1449" s="274">
        <f t="shared" si="129"/>
        <v>0.4451398747390396</v>
      </c>
      <c r="F1449" s="196">
        <f t="shared" si="126"/>
        <v>49.926397300000005</v>
      </c>
      <c r="G1449" s="196">
        <f t="shared" si="127"/>
        <v>39.401588500000003</v>
      </c>
      <c r="H1449" s="199">
        <f t="shared" si="128"/>
        <v>33.2621167</v>
      </c>
      <c r="I1449" s="49"/>
      <c r="J1449" s="49"/>
      <c r="K1449" s="49"/>
      <c r="L1449" s="49"/>
      <c r="M1449" s="49"/>
      <c r="N1449" s="49"/>
      <c r="O1449" s="49"/>
      <c r="P1449" s="49"/>
      <c r="Q1449" s="49"/>
      <c r="R1449" s="49"/>
      <c r="S1449" s="49"/>
      <c r="T1449" s="49"/>
      <c r="U1449" s="49"/>
      <c r="V1449" s="49"/>
      <c r="W1449" s="49"/>
      <c r="X1449" s="49"/>
      <c r="Y1449" s="49"/>
      <c r="Z1449" s="49"/>
      <c r="AA1449" s="49"/>
      <c r="AB1449" s="49"/>
      <c r="AC1449" s="49"/>
    </row>
    <row r="1450" spans="1:29">
      <c r="A1450" s="63" t="s">
        <v>581</v>
      </c>
      <c r="B1450" s="61" t="s">
        <v>582</v>
      </c>
      <c r="C1450" s="271">
        <f>VLOOKUP($A$8:$A$1487,'[7]MFP''s'!A$8:C$1502,3,FALSE)</f>
        <v>16595</v>
      </c>
      <c r="D1450" s="364">
        <v>8629.4</v>
      </c>
      <c r="E1450" s="274">
        <f t="shared" si="129"/>
        <v>0.48</v>
      </c>
      <c r="F1450" s="196">
        <f t="shared" si="126"/>
        <v>324.20655799999997</v>
      </c>
      <c r="G1450" s="196">
        <f t="shared" si="127"/>
        <v>255.86170999999999</v>
      </c>
      <c r="H1450" s="199">
        <f t="shared" si="128"/>
        <v>215.99388199999999</v>
      </c>
      <c r="I1450" s="49"/>
      <c r="J1450" s="49"/>
      <c r="K1450" s="49"/>
      <c r="L1450" s="49"/>
      <c r="M1450" s="49"/>
      <c r="N1450" s="49"/>
      <c r="O1450" s="49"/>
      <c r="P1450" s="49"/>
      <c r="Q1450" s="49"/>
      <c r="R1450" s="49"/>
      <c r="S1450" s="49"/>
      <c r="T1450" s="49"/>
      <c r="U1450" s="49"/>
      <c r="V1450" s="49"/>
      <c r="W1450" s="49"/>
      <c r="X1450" s="49"/>
      <c r="Y1450" s="49"/>
      <c r="Z1450" s="49"/>
      <c r="AA1450" s="49"/>
      <c r="AB1450" s="49"/>
      <c r="AC1450" s="49"/>
    </row>
    <row r="1451" spans="1:29">
      <c r="A1451" s="63" t="s">
        <v>583</v>
      </c>
      <c r="B1451" s="61" t="s">
        <v>584</v>
      </c>
      <c r="C1451" s="271">
        <f>VLOOKUP($A$8:$A$1487,'[7]MFP''s'!A$8:C$1502,3,FALSE)</f>
        <v>32850</v>
      </c>
      <c r="D1451" s="364">
        <v>17082</v>
      </c>
      <c r="E1451" s="274">
        <f t="shared" si="129"/>
        <v>0.48</v>
      </c>
      <c r="F1451" s="196">
        <f t="shared" si="126"/>
        <v>641.77073999999993</v>
      </c>
      <c r="G1451" s="196">
        <f t="shared" si="127"/>
        <v>506.48129999999998</v>
      </c>
      <c r="H1451" s="199">
        <f t="shared" si="128"/>
        <v>427.56245999999999</v>
      </c>
      <c r="I1451" s="49"/>
      <c r="J1451" s="49"/>
      <c r="K1451" s="49"/>
      <c r="L1451" s="49"/>
      <c r="M1451" s="49"/>
      <c r="N1451" s="49"/>
      <c r="O1451" s="49"/>
      <c r="P1451" s="49"/>
      <c r="Q1451" s="49"/>
      <c r="R1451" s="49"/>
      <c r="S1451" s="49"/>
      <c r="T1451" s="49"/>
      <c r="U1451" s="49"/>
      <c r="V1451" s="49"/>
      <c r="W1451" s="49"/>
      <c r="X1451" s="49"/>
      <c r="Y1451" s="49"/>
      <c r="Z1451" s="49"/>
      <c r="AA1451" s="49"/>
      <c r="AB1451" s="49"/>
      <c r="AC1451" s="49"/>
    </row>
    <row r="1452" spans="1:29">
      <c r="A1452" s="60" t="s">
        <v>47</v>
      </c>
      <c r="B1452" s="65"/>
      <c r="C1452" s="271"/>
      <c r="D1452" s="364"/>
      <c r="E1452" s="274"/>
      <c r="F1452" s="196"/>
      <c r="G1452" s="196"/>
      <c r="H1452" s="199"/>
      <c r="I1452" s="49"/>
      <c r="J1452" s="49"/>
      <c r="K1452" s="49"/>
      <c r="L1452" s="49"/>
      <c r="M1452" s="49"/>
      <c r="N1452" s="49"/>
      <c r="O1452" s="49"/>
      <c r="P1452" s="49"/>
      <c r="Q1452" s="49"/>
      <c r="R1452" s="49"/>
      <c r="S1452" s="49"/>
      <c r="T1452" s="49"/>
      <c r="U1452" s="49"/>
      <c r="V1452" s="49"/>
      <c r="W1452" s="49"/>
      <c r="X1452" s="49"/>
      <c r="Y1452" s="49"/>
      <c r="Z1452" s="49"/>
      <c r="AA1452" s="49"/>
      <c r="AB1452" s="49"/>
      <c r="AC1452" s="49"/>
    </row>
    <row r="1453" spans="1:29">
      <c r="A1453" s="63" t="s">
        <v>440</v>
      </c>
      <c r="B1453" s="76" t="s">
        <v>585</v>
      </c>
      <c r="C1453" s="271">
        <f>VLOOKUP($A$8:$A$1487,'[7]MFP''s'!A$8:C$1502,3,FALSE)</f>
        <v>350</v>
      </c>
      <c r="D1453" s="364">
        <v>209.81</v>
      </c>
      <c r="E1453" s="274">
        <f t="shared" si="129"/>
        <v>0.40054285714285709</v>
      </c>
      <c r="F1453" s="196">
        <f t="shared" si="126"/>
        <v>7.8825617000000001</v>
      </c>
      <c r="G1453" s="196">
        <f t="shared" si="127"/>
        <v>6.2208664999999996</v>
      </c>
      <c r="H1453" s="199">
        <f t="shared" si="128"/>
        <v>5.2515442999999999</v>
      </c>
      <c r="M1453" s="49"/>
      <c r="N1453" s="49"/>
      <c r="O1453" s="49"/>
      <c r="P1453" s="49"/>
      <c r="Q1453" s="49"/>
      <c r="R1453" s="49"/>
      <c r="S1453" s="49"/>
      <c r="T1453" s="49"/>
      <c r="U1453" s="49"/>
      <c r="V1453" s="49"/>
      <c r="W1453" s="49"/>
      <c r="X1453" s="49"/>
      <c r="Y1453" s="49"/>
      <c r="Z1453" s="49"/>
      <c r="AA1453" s="49"/>
      <c r="AB1453" s="49"/>
      <c r="AC1453" s="49"/>
    </row>
    <row r="1454" spans="1:29">
      <c r="A1454" s="63" t="s">
        <v>442</v>
      </c>
      <c r="B1454" s="77" t="s">
        <v>443</v>
      </c>
      <c r="C1454" s="271">
        <f>VLOOKUP($A$8:$A$1487,'[7]MFP''s'!A$8:C$1502,3,FALSE)</f>
        <v>1059</v>
      </c>
      <c r="D1454" s="364">
        <v>875</v>
      </c>
      <c r="E1454" s="274">
        <f t="shared" si="129"/>
        <v>0.17374881964117095</v>
      </c>
      <c r="F1454" s="196">
        <f t="shared" si="126"/>
        <v>32.873750000000001</v>
      </c>
      <c r="G1454" s="196">
        <f t="shared" si="127"/>
        <v>25.943749999999998</v>
      </c>
      <c r="H1454" s="199">
        <f t="shared" si="128"/>
        <v>21.901250000000001</v>
      </c>
      <c r="M1454" s="49"/>
      <c r="N1454" s="49"/>
      <c r="O1454" s="49"/>
      <c r="P1454" s="49"/>
      <c r="Q1454" s="49"/>
      <c r="R1454" s="49"/>
      <c r="S1454" s="49"/>
      <c r="T1454" s="49"/>
      <c r="U1454" s="49"/>
      <c r="V1454" s="49"/>
      <c r="W1454" s="49"/>
      <c r="X1454" s="49"/>
      <c r="Y1454" s="49"/>
      <c r="Z1454" s="49"/>
      <c r="AA1454" s="49"/>
      <c r="AB1454" s="49"/>
      <c r="AC1454" s="49"/>
    </row>
    <row r="1455" spans="1:29">
      <c r="A1455" s="63" t="s">
        <v>385</v>
      </c>
      <c r="B1455" s="77" t="s">
        <v>386</v>
      </c>
      <c r="C1455" s="271">
        <f>VLOOKUP($A$8:$A$1487,'[7]MFP''s'!A$8:C$1502,3,FALSE)</f>
        <v>275</v>
      </c>
      <c r="D1455" s="364">
        <v>227</v>
      </c>
      <c r="E1455" s="274">
        <f t="shared" si="129"/>
        <v>0.17454545454545456</v>
      </c>
      <c r="F1455" s="196">
        <f t="shared" si="126"/>
        <v>8.5283899999999999</v>
      </c>
      <c r="G1455" s="196">
        <f t="shared" si="127"/>
        <v>6.73055</v>
      </c>
      <c r="H1455" s="199">
        <f t="shared" si="128"/>
        <v>5.6818100000000005</v>
      </c>
      <c r="M1455" s="49"/>
      <c r="N1455" s="49"/>
      <c r="O1455" s="49"/>
      <c r="P1455" s="49"/>
      <c r="Q1455" s="49"/>
      <c r="R1455" s="49"/>
      <c r="S1455" s="49"/>
      <c r="T1455" s="49"/>
      <c r="U1455" s="49"/>
      <c r="V1455" s="49"/>
      <c r="W1455" s="49"/>
      <c r="X1455" s="49"/>
      <c r="Y1455" s="49"/>
      <c r="Z1455" s="49"/>
      <c r="AA1455" s="49"/>
      <c r="AB1455" s="49"/>
      <c r="AC1455" s="49"/>
    </row>
    <row r="1456" spans="1:29">
      <c r="A1456" s="63" t="s">
        <v>458</v>
      </c>
      <c r="B1456" s="77" t="s">
        <v>459</v>
      </c>
      <c r="C1456" s="271">
        <f>VLOOKUP($A$8:$A$1487,'[7]MFP''s'!A$8:C$1502,3,FALSE)</f>
        <v>498</v>
      </c>
      <c r="D1456" s="364">
        <v>261.40020000000004</v>
      </c>
      <c r="E1456" s="274">
        <f t="shared" si="129"/>
        <v>0.47509999999999997</v>
      </c>
      <c r="F1456" s="196">
        <f t="shared" si="126"/>
        <v>9.8208055140000017</v>
      </c>
      <c r="G1456" s="196">
        <f t="shared" si="127"/>
        <v>7.7505159300000006</v>
      </c>
      <c r="H1456" s="199">
        <f t="shared" si="128"/>
        <v>6.5428470060000015</v>
      </c>
      <c r="M1456" s="49"/>
      <c r="N1456" s="49"/>
      <c r="O1456" s="49"/>
      <c r="P1456" s="49"/>
      <c r="Q1456" s="49"/>
      <c r="R1456" s="49"/>
      <c r="S1456" s="49"/>
      <c r="T1456" s="49"/>
      <c r="U1456" s="49"/>
      <c r="V1456" s="49"/>
      <c r="W1456" s="49"/>
      <c r="X1456" s="49"/>
      <c r="Y1456" s="49"/>
      <c r="Z1456" s="49"/>
      <c r="AA1456" s="49"/>
      <c r="AB1456" s="49"/>
      <c r="AC1456" s="49"/>
    </row>
    <row r="1457" spans="1:29">
      <c r="A1457" s="63" t="s">
        <v>551</v>
      </c>
      <c r="B1457" s="77" t="s">
        <v>552</v>
      </c>
      <c r="C1457" s="271">
        <f>VLOOKUP($A$8:$A$1487,'[7]MFP''s'!A$8:C$1502,3,FALSE)</f>
        <v>200</v>
      </c>
      <c r="D1457" s="364">
        <v>150</v>
      </c>
      <c r="E1457" s="274">
        <f t="shared" si="129"/>
        <v>0.25</v>
      </c>
      <c r="F1457" s="196">
        <f t="shared" si="126"/>
        <v>5.6354999999999995</v>
      </c>
      <c r="G1457" s="196">
        <f t="shared" si="127"/>
        <v>4.4474999999999998</v>
      </c>
      <c r="H1457" s="199">
        <f t="shared" si="128"/>
        <v>3.7545000000000002</v>
      </c>
      <c r="M1457" s="49"/>
      <c r="N1457" s="49"/>
      <c r="O1457" s="49"/>
      <c r="P1457" s="49"/>
      <c r="Q1457" s="49"/>
      <c r="R1457" s="49"/>
      <c r="S1457" s="49"/>
      <c r="T1457" s="49"/>
      <c r="U1457" s="49"/>
      <c r="V1457" s="49"/>
      <c r="W1457" s="49"/>
      <c r="X1457" s="49"/>
      <c r="Y1457" s="49"/>
      <c r="Z1457" s="49"/>
      <c r="AA1457" s="49"/>
      <c r="AB1457" s="49"/>
      <c r="AC1457" s="49"/>
    </row>
    <row r="1458" spans="1:29">
      <c r="A1458" s="75" t="s">
        <v>553</v>
      </c>
      <c r="B1458" s="77"/>
      <c r="C1458" s="271"/>
      <c r="D1458" s="364"/>
      <c r="E1458" s="274"/>
      <c r="F1458" s="196"/>
      <c r="G1458" s="196"/>
      <c r="H1458" s="199"/>
      <c r="M1458" s="49"/>
      <c r="N1458" s="49"/>
      <c r="O1458" s="49"/>
      <c r="P1458" s="49"/>
      <c r="Q1458" s="49"/>
      <c r="R1458" s="49"/>
      <c r="S1458" s="49"/>
      <c r="T1458" s="49"/>
      <c r="U1458" s="49"/>
      <c r="V1458" s="49"/>
      <c r="W1458" s="49"/>
      <c r="X1458" s="49"/>
      <c r="Y1458" s="49"/>
      <c r="Z1458" s="49"/>
      <c r="AA1458" s="49"/>
      <c r="AB1458" s="49"/>
      <c r="AC1458" s="49"/>
    </row>
    <row r="1459" spans="1:29">
      <c r="A1459" s="63" t="s">
        <v>556</v>
      </c>
      <c r="B1459" s="77" t="s">
        <v>557</v>
      </c>
      <c r="C1459" s="271">
        <f>VLOOKUP($A$8:$A$1487,'[7]MFP''s'!A$8:C$1502,3,FALSE)</f>
        <v>650</v>
      </c>
      <c r="D1459" s="364">
        <v>650</v>
      </c>
      <c r="E1459" s="274">
        <f t="shared" si="129"/>
        <v>0</v>
      </c>
      <c r="F1459" s="196">
        <f t="shared" si="126"/>
        <v>24.420500000000001</v>
      </c>
      <c r="G1459" s="196">
        <f t="shared" si="127"/>
        <v>19.272500000000001</v>
      </c>
      <c r="H1459" s="199">
        <f t="shared" si="128"/>
        <v>16.269500000000001</v>
      </c>
      <c r="M1459" s="49"/>
      <c r="N1459" s="49"/>
      <c r="O1459" s="49"/>
      <c r="P1459" s="49"/>
      <c r="Q1459" s="49"/>
      <c r="R1459" s="49"/>
      <c r="S1459" s="49"/>
      <c r="T1459" s="49"/>
      <c r="U1459" s="49"/>
      <c r="V1459" s="49"/>
      <c r="W1459" s="49"/>
      <c r="X1459" s="49"/>
      <c r="Y1459" s="49"/>
      <c r="Z1459" s="49"/>
      <c r="AA1459" s="49"/>
      <c r="AB1459" s="49"/>
      <c r="AC1459" s="49"/>
    </row>
    <row r="1460" spans="1:29">
      <c r="A1460" s="63" t="s">
        <v>586</v>
      </c>
      <c r="B1460" s="77" t="s">
        <v>587</v>
      </c>
      <c r="C1460" s="271">
        <f>VLOOKUP($A$8:$A$1487,'[7]MFP''s'!A$8:C$1502,3,FALSE)</f>
        <v>825</v>
      </c>
      <c r="D1460" s="364">
        <v>346.67</v>
      </c>
      <c r="E1460" s="274">
        <f t="shared" si="129"/>
        <v>0.57979393939393931</v>
      </c>
      <c r="F1460" s="196">
        <f t="shared" si="126"/>
        <v>13.024391899999999</v>
      </c>
      <c r="G1460" s="196">
        <f t="shared" si="127"/>
        <v>10.2787655</v>
      </c>
      <c r="H1460" s="199">
        <f t="shared" si="128"/>
        <v>8.6771501000000004</v>
      </c>
      <c r="M1460" s="49"/>
      <c r="N1460" s="49"/>
      <c r="O1460" s="49"/>
      <c r="P1460" s="49"/>
      <c r="Q1460" s="49"/>
      <c r="R1460" s="49"/>
      <c r="S1460" s="49"/>
      <c r="T1460" s="49"/>
      <c r="U1460" s="49"/>
      <c r="V1460" s="49"/>
      <c r="W1460" s="49"/>
      <c r="X1460" s="49"/>
      <c r="Y1460" s="49"/>
      <c r="Z1460" s="49"/>
      <c r="AA1460" s="49"/>
      <c r="AB1460" s="49"/>
      <c r="AC1460" s="49"/>
    </row>
    <row r="1461" spans="1:29">
      <c r="A1461" s="212"/>
      <c r="B1461" s="213"/>
      <c r="C1461" s="215"/>
      <c r="D1461" s="369"/>
      <c r="E1461" s="215"/>
      <c r="F1461" s="215"/>
      <c r="G1461" s="215"/>
      <c r="H1461" s="216"/>
      <c r="M1461" s="49"/>
      <c r="N1461" s="49"/>
      <c r="O1461" s="49"/>
      <c r="P1461" s="49"/>
      <c r="Q1461" s="49"/>
      <c r="R1461" s="49"/>
      <c r="S1461" s="49"/>
      <c r="T1461" s="49"/>
      <c r="U1461" s="49"/>
      <c r="V1461" s="49"/>
      <c r="W1461" s="49"/>
      <c r="X1461" s="49"/>
      <c r="Y1461" s="49"/>
      <c r="Z1461" s="49"/>
      <c r="AA1461" s="49"/>
      <c r="AB1461" s="49"/>
      <c r="AC1461" s="49"/>
    </row>
    <row r="1462" spans="1:29">
      <c r="A1462" s="60" t="s">
        <v>589</v>
      </c>
      <c r="B1462" s="65"/>
      <c r="C1462" s="271"/>
      <c r="D1462" s="364"/>
      <c r="E1462" s="274"/>
      <c r="F1462" s="196"/>
      <c r="G1462" s="196"/>
      <c r="H1462" s="199"/>
      <c r="M1462" s="49"/>
      <c r="N1462" s="49"/>
      <c r="O1462" s="49"/>
      <c r="P1462" s="49"/>
      <c r="Q1462" s="49"/>
      <c r="R1462" s="49"/>
      <c r="S1462" s="49"/>
      <c r="T1462" s="49"/>
      <c r="U1462" s="49"/>
      <c r="V1462" s="49"/>
      <c r="W1462" s="49"/>
      <c r="X1462" s="49"/>
      <c r="Y1462" s="49"/>
      <c r="Z1462" s="49"/>
      <c r="AA1462" s="49"/>
      <c r="AB1462" s="49"/>
      <c r="AC1462" s="49"/>
    </row>
    <row r="1463" spans="1:29" s="173" customFormat="1">
      <c r="A1463" s="63" t="s">
        <v>590</v>
      </c>
      <c r="B1463" s="77" t="s">
        <v>318</v>
      </c>
      <c r="C1463" s="271">
        <f>VLOOKUP($A$8:$A$1487,'[7]MFP''s'!A$8:C$1502,3,FALSE)</f>
        <v>1090</v>
      </c>
      <c r="D1463" s="364">
        <v>566.80000000000007</v>
      </c>
      <c r="E1463" s="274">
        <f t="shared" si="129"/>
        <v>0.48</v>
      </c>
      <c r="F1463" s="196">
        <f t="shared" si="126"/>
        <v>21.294676000000003</v>
      </c>
      <c r="G1463" s="196">
        <f t="shared" si="127"/>
        <v>16.805620000000001</v>
      </c>
      <c r="H1463" s="199">
        <f t="shared" si="128"/>
        <v>14.187004000000002</v>
      </c>
      <c r="J1463" s="172"/>
      <c r="K1463" s="172"/>
      <c r="L1463" s="172"/>
    </row>
    <row r="1464" spans="1:29" s="173" customFormat="1">
      <c r="A1464" s="63" t="s">
        <v>319</v>
      </c>
      <c r="B1464" s="77" t="s">
        <v>320</v>
      </c>
      <c r="C1464" s="271">
        <f>VLOOKUP($A$8:$A$1487,'[7]MFP''s'!A$8:C$1502,3,FALSE)</f>
        <v>1199</v>
      </c>
      <c r="D1464" s="364">
        <v>623.48</v>
      </c>
      <c r="E1464" s="274">
        <f t="shared" si="129"/>
        <v>0.48</v>
      </c>
      <c r="F1464" s="196">
        <f t="shared" si="126"/>
        <v>23.424143600000001</v>
      </c>
      <c r="G1464" s="196">
        <f t="shared" si="127"/>
        <v>18.486181999999999</v>
      </c>
      <c r="H1464" s="199">
        <f t="shared" si="128"/>
        <v>15.6057044</v>
      </c>
      <c r="J1464" s="172"/>
      <c r="K1464" s="172"/>
      <c r="L1464" s="172"/>
    </row>
    <row r="1465" spans="1:29" s="173" customFormat="1">
      <c r="A1465" s="63" t="s">
        <v>321</v>
      </c>
      <c r="B1465" s="77" t="s">
        <v>322</v>
      </c>
      <c r="C1465" s="271">
        <f>VLOOKUP($A$8:$A$1487,'[7]MFP''s'!A$8:C$1502,3,FALSE)</f>
        <v>2500</v>
      </c>
      <c r="D1465" s="364">
        <v>1300</v>
      </c>
      <c r="E1465" s="274">
        <f t="shared" si="129"/>
        <v>0.48</v>
      </c>
      <c r="F1465" s="196">
        <f t="shared" si="126"/>
        <v>48.841000000000001</v>
      </c>
      <c r="G1465" s="196">
        <f t="shared" si="127"/>
        <v>38.545000000000002</v>
      </c>
      <c r="H1465" s="199">
        <f t="shared" si="128"/>
        <v>32.539000000000001</v>
      </c>
      <c r="J1465" s="172"/>
      <c r="K1465" s="172"/>
      <c r="L1465" s="172"/>
    </row>
    <row r="1466" spans="1:29" s="173" customFormat="1">
      <c r="A1466" s="63" t="s">
        <v>591</v>
      </c>
      <c r="B1466" s="77" t="s">
        <v>323</v>
      </c>
      <c r="C1466" s="271">
        <f>VLOOKUP($A$8:$A$1487,'[7]MFP''s'!A$8:C$1502,3,FALSE)</f>
        <v>3995</v>
      </c>
      <c r="D1466" s="364">
        <v>2077.4</v>
      </c>
      <c r="E1466" s="274">
        <f t="shared" si="129"/>
        <v>0.48</v>
      </c>
      <c r="F1466" s="196">
        <f t="shared" si="126"/>
        <v>78.047917999999996</v>
      </c>
      <c r="G1466" s="196">
        <f t="shared" si="127"/>
        <v>61.594909999999999</v>
      </c>
      <c r="H1466" s="199">
        <f t="shared" si="128"/>
        <v>51.997322000000004</v>
      </c>
      <c r="J1466" s="172"/>
      <c r="K1466" s="172"/>
      <c r="L1466" s="172"/>
    </row>
    <row r="1467" spans="1:29" s="173" customFormat="1">
      <c r="A1467" s="63" t="s">
        <v>324</v>
      </c>
      <c r="B1467" s="77" t="s">
        <v>325</v>
      </c>
      <c r="C1467" s="271">
        <f>VLOOKUP($A$8:$A$1487,'[7]MFP''s'!A$8:C$1502,3,FALSE)</f>
        <v>2495</v>
      </c>
      <c r="D1467" s="364">
        <v>1297.4000000000001</v>
      </c>
      <c r="E1467" s="274">
        <f t="shared" si="129"/>
        <v>0.48</v>
      </c>
      <c r="F1467" s="196">
        <f t="shared" si="126"/>
        <v>48.743318000000002</v>
      </c>
      <c r="G1467" s="196">
        <f t="shared" si="127"/>
        <v>38.467910000000003</v>
      </c>
      <c r="H1467" s="199">
        <f t="shared" si="128"/>
        <v>32.473922000000002</v>
      </c>
      <c r="J1467" s="172"/>
      <c r="K1467" s="172"/>
      <c r="L1467" s="172"/>
    </row>
    <row r="1468" spans="1:29" s="173" customFormat="1">
      <c r="A1468" s="63" t="s">
        <v>326</v>
      </c>
      <c r="B1468" s="77" t="s">
        <v>327</v>
      </c>
      <c r="C1468" s="271">
        <f>VLOOKUP($A$8:$A$1487,'[7]MFP''s'!A$8:C$1502,3,FALSE)</f>
        <v>1348</v>
      </c>
      <c r="D1468" s="364">
        <v>700.96</v>
      </c>
      <c r="E1468" s="274">
        <f t="shared" si="129"/>
        <v>0.48</v>
      </c>
      <c r="F1468" s="196">
        <f t="shared" si="126"/>
        <v>26.335067200000001</v>
      </c>
      <c r="G1468" s="196">
        <f t="shared" si="127"/>
        <v>20.783464000000002</v>
      </c>
      <c r="H1468" s="199">
        <f t="shared" si="128"/>
        <v>17.545028800000001</v>
      </c>
      <c r="J1468" s="172"/>
      <c r="K1468" s="172"/>
      <c r="L1468" s="172"/>
    </row>
    <row r="1469" spans="1:29" s="173" customFormat="1">
      <c r="A1469" s="63" t="s">
        <v>592</v>
      </c>
      <c r="B1469" s="77" t="s">
        <v>328</v>
      </c>
      <c r="C1469" s="271">
        <f>VLOOKUP($A$8:$A$1487,'[7]MFP''s'!A$8:C$1502,3,FALSE)</f>
        <v>780</v>
      </c>
      <c r="D1469" s="364">
        <v>405.6</v>
      </c>
      <c r="E1469" s="274">
        <f t="shared" si="129"/>
        <v>0.48</v>
      </c>
      <c r="F1469" s="196">
        <f t="shared" si="126"/>
        <v>15.238392000000001</v>
      </c>
      <c r="G1469" s="196">
        <f t="shared" si="127"/>
        <v>12.02604</v>
      </c>
      <c r="H1469" s="199">
        <f t="shared" si="128"/>
        <v>10.152168000000001</v>
      </c>
      <c r="J1469" s="172"/>
      <c r="K1469" s="172"/>
      <c r="L1469" s="172"/>
    </row>
    <row r="1470" spans="1:29" s="173" customFormat="1">
      <c r="A1470" s="63" t="s">
        <v>593</v>
      </c>
      <c r="B1470" s="77" t="s">
        <v>329</v>
      </c>
      <c r="C1470" s="271">
        <f>VLOOKUP($A$8:$A$1487,'[7]MFP''s'!A$8:C$1502,3,FALSE)</f>
        <v>70</v>
      </c>
      <c r="D1470" s="364">
        <v>36.4</v>
      </c>
      <c r="E1470" s="274">
        <f t="shared" si="129"/>
        <v>0.48</v>
      </c>
      <c r="F1470" s="196">
        <f t="shared" si="126"/>
        <v>1.367548</v>
      </c>
      <c r="G1470" s="196">
        <f t="shared" si="127"/>
        <v>1.0792599999999999</v>
      </c>
      <c r="H1470" s="199">
        <f t="shared" si="128"/>
        <v>0.91109200000000001</v>
      </c>
      <c r="J1470" s="172"/>
      <c r="K1470" s="172"/>
      <c r="L1470" s="172"/>
    </row>
    <row r="1471" spans="1:29" s="173" customFormat="1" ht="30">
      <c r="A1471" s="63" t="s">
        <v>594</v>
      </c>
      <c r="B1471" s="77" t="s">
        <v>296</v>
      </c>
      <c r="C1471" s="271">
        <f>VLOOKUP($A$8:$A$1487,'[7]MFP''s'!A$8:C$1502,3,FALSE)</f>
        <v>3400</v>
      </c>
      <c r="D1471" s="364">
        <v>1610</v>
      </c>
      <c r="E1471" s="274">
        <f t="shared" si="129"/>
        <v>0.52647058823529413</v>
      </c>
      <c r="F1471" s="196">
        <f t="shared" si="126"/>
        <v>60.487699999999997</v>
      </c>
      <c r="G1471" s="196">
        <f t="shared" si="127"/>
        <v>47.736499999999999</v>
      </c>
      <c r="H1471" s="199">
        <f t="shared" si="128"/>
        <v>40.298299999999998</v>
      </c>
      <c r="J1471" s="172"/>
      <c r="K1471" s="172"/>
      <c r="L1471" s="172"/>
    </row>
    <row r="1472" spans="1:29" s="173" customFormat="1">
      <c r="A1472" s="63" t="s">
        <v>595</v>
      </c>
      <c r="B1472" s="77" t="s">
        <v>330</v>
      </c>
      <c r="C1472" s="271">
        <f>VLOOKUP($A$8:$A$1487,'[7]MFP''s'!A$8:C$1502,3,FALSE)</f>
        <v>2300</v>
      </c>
      <c r="D1472" s="364">
        <v>1196</v>
      </c>
      <c r="E1472" s="274">
        <f t="shared" si="129"/>
        <v>0.48</v>
      </c>
      <c r="F1472" s="196">
        <f t="shared" si="126"/>
        <v>44.933720000000001</v>
      </c>
      <c r="G1472" s="196">
        <f t="shared" si="127"/>
        <v>35.461399999999998</v>
      </c>
      <c r="H1472" s="199">
        <f t="shared" si="128"/>
        <v>29.935880000000001</v>
      </c>
      <c r="J1472" s="172"/>
      <c r="K1472" s="172"/>
      <c r="L1472" s="172"/>
    </row>
    <row r="1473" spans="1:12" s="173" customFormat="1">
      <c r="A1473" s="63" t="s">
        <v>596</v>
      </c>
      <c r="B1473" s="77" t="s">
        <v>331</v>
      </c>
      <c r="C1473" s="271">
        <f>VLOOKUP($A$8:$A$1487,'[7]MFP''s'!A$8:C$1502,3,FALSE)</f>
        <v>899</v>
      </c>
      <c r="D1473" s="364">
        <v>467.48</v>
      </c>
      <c r="E1473" s="274">
        <f t="shared" si="129"/>
        <v>0.48</v>
      </c>
      <c r="F1473" s="196">
        <f t="shared" si="126"/>
        <v>17.563223600000001</v>
      </c>
      <c r="G1473" s="196">
        <f t="shared" si="127"/>
        <v>13.860782</v>
      </c>
      <c r="H1473" s="199">
        <f t="shared" si="128"/>
        <v>11.7010244</v>
      </c>
      <c r="J1473" s="172"/>
      <c r="K1473" s="172"/>
      <c r="L1473" s="172"/>
    </row>
    <row r="1474" spans="1:12" s="173" customFormat="1">
      <c r="A1474" s="63" t="s">
        <v>597</v>
      </c>
      <c r="B1474" s="77" t="s">
        <v>292</v>
      </c>
      <c r="C1474" s="271">
        <f>VLOOKUP($A$8:$A$1487,'[7]MFP''s'!A$8:C$1502,3,FALSE)</f>
        <v>1348</v>
      </c>
      <c r="D1474" s="364">
        <v>639</v>
      </c>
      <c r="E1474" s="274">
        <f t="shared" si="129"/>
        <v>0.52596439169139464</v>
      </c>
      <c r="F1474" s="196">
        <f t="shared" si="126"/>
        <v>24.00723</v>
      </c>
      <c r="G1474" s="196">
        <f t="shared" si="127"/>
        <v>18.946349999999999</v>
      </c>
      <c r="H1474" s="199">
        <f t="shared" si="128"/>
        <v>15.99417</v>
      </c>
      <c r="J1474" s="172"/>
      <c r="K1474" s="172"/>
      <c r="L1474" s="172"/>
    </row>
    <row r="1475" spans="1:12" s="173" customFormat="1">
      <c r="A1475" s="75" t="s">
        <v>553</v>
      </c>
      <c r="B1475" s="77"/>
      <c r="C1475" s="271"/>
      <c r="D1475" s="364"/>
      <c r="E1475" s="274"/>
      <c r="F1475" s="196"/>
      <c r="G1475" s="196"/>
      <c r="H1475" s="199"/>
      <c r="J1475" s="172"/>
      <c r="K1475" s="172"/>
      <c r="L1475" s="172"/>
    </row>
    <row r="1476" spans="1:12" s="173" customFormat="1">
      <c r="A1476" s="63" t="s">
        <v>332</v>
      </c>
      <c r="B1476" s="77" t="s">
        <v>598</v>
      </c>
      <c r="C1476" s="271">
        <f>VLOOKUP($A$8:$A$1487,'[7]MFP''s'!A$8:C$1502,3,FALSE)</f>
        <v>10000</v>
      </c>
      <c r="D1476" s="364">
        <v>10000</v>
      </c>
      <c r="E1476" s="274">
        <f t="shared" si="129"/>
        <v>0</v>
      </c>
      <c r="F1476" s="196">
        <f t="shared" ref="F1476:F1487" si="130">D1476*$F$1</f>
        <v>375.7</v>
      </c>
      <c r="G1476" s="196">
        <f t="shared" si="127"/>
        <v>296.5</v>
      </c>
      <c r="H1476" s="199">
        <f t="shared" si="128"/>
        <v>250.3</v>
      </c>
      <c r="J1476" s="172"/>
      <c r="K1476" s="172"/>
      <c r="L1476" s="172"/>
    </row>
    <row r="1477" spans="1:12" s="173" customFormat="1">
      <c r="A1477" s="63" t="s">
        <v>333</v>
      </c>
      <c r="B1477" s="77" t="s">
        <v>599</v>
      </c>
      <c r="C1477" s="271">
        <f>VLOOKUP($A$8:$A$1487,'[7]MFP''s'!A$8:C$1502,3,FALSE)</f>
        <v>8000</v>
      </c>
      <c r="D1477" s="364">
        <v>8000</v>
      </c>
      <c r="E1477" s="274">
        <f t="shared" si="129"/>
        <v>0</v>
      </c>
      <c r="F1477" s="196">
        <f t="shared" si="130"/>
        <v>300.56</v>
      </c>
      <c r="G1477" s="196">
        <f t="shared" si="127"/>
        <v>237.2</v>
      </c>
      <c r="H1477" s="199">
        <f t="shared" si="128"/>
        <v>200.24</v>
      </c>
      <c r="J1477" s="172"/>
      <c r="K1477" s="172"/>
      <c r="L1477" s="172"/>
    </row>
    <row r="1478" spans="1:12" s="173" customFormat="1" ht="30">
      <c r="A1478" s="63" t="s">
        <v>334</v>
      </c>
      <c r="B1478" s="77" t="s">
        <v>600</v>
      </c>
      <c r="C1478" s="271">
        <f>VLOOKUP($A$8:$A$1487,'[7]MFP''s'!A$8:C$1502,3,FALSE)</f>
        <v>2500</v>
      </c>
      <c r="D1478" s="364">
        <v>2500</v>
      </c>
      <c r="E1478" s="274">
        <f t="shared" si="129"/>
        <v>0</v>
      </c>
      <c r="F1478" s="196">
        <f t="shared" si="130"/>
        <v>93.924999999999997</v>
      </c>
      <c r="G1478" s="196">
        <f t="shared" si="127"/>
        <v>74.125</v>
      </c>
      <c r="H1478" s="199">
        <f t="shared" si="128"/>
        <v>62.575000000000003</v>
      </c>
      <c r="J1478" s="172"/>
      <c r="K1478" s="172"/>
      <c r="L1478" s="172"/>
    </row>
    <row r="1479" spans="1:12" s="173" customFormat="1">
      <c r="A1479" s="63" t="s">
        <v>335</v>
      </c>
      <c r="B1479" s="77" t="s">
        <v>336</v>
      </c>
      <c r="C1479" s="271">
        <f>VLOOKUP($A$8:$A$1487,'[7]MFP''s'!A$8:C$1502,3,FALSE)</f>
        <v>2499</v>
      </c>
      <c r="D1479" s="364">
        <v>2499</v>
      </c>
      <c r="E1479" s="274">
        <f t="shared" si="129"/>
        <v>0</v>
      </c>
      <c r="F1479" s="196">
        <f t="shared" si="130"/>
        <v>93.887429999999995</v>
      </c>
      <c r="G1479" s="196">
        <f t="shared" si="127"/>
        <v>74.095349999999996</v>
      </c>
      <c r="H1479" s="199">
        <f t="shared" si="128"/>
        <v>62.549970000000002</v>
      </c>
      <c r="J1479" s="172"/>
      <c r="K1479" s="172"/>
      <c r="L1479" s="172"/>
    </row>
    <row r="1480" spans="1:12" s="173" customFormat="1">
      <c r="A1480" s="63" t="s">
        <v>601</v>
      </c>
      <c r="B1480" s="77" t="s">
        <v>602</v>
      </c>
      <c r="C1480" s="271">
        <f>VLOOKUP($A$8:$A$1487,'[7]MFP''s'!A$8:C$1502,3,FALSE)</f>
        <v>395</v>
      </c>
      <c r="D1480" s="364">
        <v>395</v>
      </c>
      <c r="E1480" s="274">
        <f t="shared" si="129"/>
        <v>0</v>
      </c>
      <c r="F1480" s="196">
        <f t="shared" si="130"/>
        <v>14.84015</v>
      </c>
      <c r="G1480" s="196">
        <f t="shared" si="127"/>
        <v>11.71175</v>
      </c>
      <c r="H1480" s="199">
        <f t="shared" si="128"/>
        <v>9.8868500000000008</v>
      </c>
      <c r="J1480" s="172"/>
      <c r="K1480" s="172"/>
      <c r="L1480" s="172"/>
    </row>
    <row r="1481" spans="1:12" s="173" customFormat="1">
      <c r="A1481" s="63" t="s">
        <v>603</v>
      </c>
      <c r="B1481" s="77" t="s">
        <v>604</v>
      </c>
      <c r="C1481" s="271">
        <f>VLOOKUP($A$8:$A$1487,'[7]MFP''s'!A$8:C$1502,3,FALSE)</f>
        <v>295</v>
      </c>
      <c r="D1481" s="364">
        <v>295</v>
      </c>
      <c r="E1481" s="274">
        <f t="shared" si="129"/>
        <v>0</v>
      </c>
      <c r="F1481" s="196">
        <f t="shared" si="130"/>
        <v>11.08315</v>
      </c>
      <c r="G1481" s="196">
        <f t="shared" si="127"/>
        <v>8.7467500000000005</v>
      </c>
      <c r="H1481" s="199">
        <f t="shared" si="128"/>
        <v>7.3838499999999998</v>
      </c>
      <c r="J1481" s="172"/>
      <c r="K1481" s="172"/>
      <c r="L1481" s="172"/>
    </row>
    <row r="1482" spans="1:12" s="173" customFormat="1">
      <c r="A1482" s="63" t="s">
        <v>605</v>
      </c>
      <c r="B1482" s="77" t="s">
        <v>606</v>
      </c>
      <c r="C1482" s="271">
        <f>VLOOKUP($A$8:$A$1487,'[7]MFP''s'!A$8:C$1502,3,FALSE)</f>
        <v>295</v>
      </c>
      <c r="D1482" s="364">
        <v>295</v>
      </c>
      <c r="E1482" s="274">
        <f t="shared" si="129"/>
        <v>0</v>
      </c>
      <c r="F1482" s="196">
        <f t="shared" si="130"/>
        <v>11.08315</v>
      </c>
      <c r="G1482" s="196">
        <f t="shared" si="127"/>
        <v>8.7467500000000005</v>
      </c>
      <c r="H1482" s="199">
        <f t="shared" si="128"/>
        <v>7.3838499999999998</v>
      </c>
      <c r="J1482" s="172"/>
      <c r="K1482" s="172"/>
      <c r="L1482" s="172"/>
    </row>
    <row r="1483" spans="1:12" s="173" customFormat="1">
      <c r="A1483" s="63" t="s">
        <v>607</v>
      </c>
      <c r="B1483" s="77" t="s">
        <v>608</v>
      </c>
      <c r="C1483" s="271">
        <f>VLOOKUP($A$8:$A$1487,'[7]MFP''s'!A$8:C$1502,3,FALSE)</f>
        <v>500</v>
      </c>
      <c r="D1483" s="364">
        <v>500</v>
      </c>
      <c r="E1483" s="274">
        <f t="shared" si="129"/>
        <v>0</v>
      </c>
      <c r="F1483" s="196">
        <f t="shared" si="130"/>
        <v>18.785</v>
      </c>
      <c r="G1483" s="196">
        <f t="shared" ref="G1483:G1487" si="131">D1483*$G$1</f>
        <v>14.824999999999999</v>
      </c>
      <c r="H1483" s="199">
        <f t="shared" ref="H1483:H1487" si="132">D1483*$H$1</f>
        <v>12.515000000000001</v>
      </c>
      <c r="J1483" s="172"/>
      <c r="K1483" s="172"/>
      <c r="L1483" s="172"/>
    </row>
    <row r="1484" spans="1:12" s="173" customFormat="1">
      <c r="A1484" s="63" t="s">
        <v>609</v>
      </c>
      <c r="B1484" s="77" t="s">
        <v>610</v>
      </c>
      <c r="C1484" s="271">
        <f>VLOOKUP($A$8:$A$1487,'[7]MFP''s'!A$8:C$1502,3,FALSE)</f>
        <v>450</v>
      </c>
      <c r="D1484" s="364">
        <v>450</v>
      </c>
      <c r="E1484" s="274">
        <f t="shared" si="129"/>
        <v>0</v>
      </c>
      <c r="F1484" s="196">
        <f t="shared" si="130"/>
        <v>16.906500000000001</v>
      </c>
      <c r="G1484" s="196">
        <f t="shared" si="131"/>
        <v>13.342499999999999</v>
      </c>
      <c r="H1484" s="199">
        <f t="shared" si="132"/>
        <v>11.263500000000001</v>
      </c>
      <c r="J1484" s="172"/>
      <c r="K1484" s="172"/>
      <c r="L1484" s="172"/>
    </row>
    <row r="1485" spans="1:12" s="173" customFormat="1">
      <c r="A1485" s="63" t="s">
        <v>611</v>
      </c>
      <c r="B1485" s="77" t="s">
        <v>612</v>
      </c>
      <c r="C1485" s="271">
        <f>VLOOKUP($A$8:$A$1487,'[7]MFP''s'!A$8:C$1502,3,FALSE)</f>
        <v>200</v>
      </c>
      <c r="D1485" s="364">
        <v>200</v>
      </c>
      <c r="E1485" s="274">
        <f t="shared" si="129"/>
        <v>0</v>
      </c>
      <c r="F1485" s="196">
        <f t="shared" si="130"/>
        <v>7.5140000000000002</v>
      </c>
      <c r="G1485" s="196">
        <f t="shared" si="131"/>
        <v>5.93</v>
      </c>
      <c r="H1485" s="199">
        <f t="shared" si="132"/>
        <v>5.0060000000000002</v>
      </c>
      <c r="J1485" s="172"/>
      <c r="K1485" s="172"/>
      <c r="L1485" s="172"/>
    </row>
    <row r="1486" spans="1:12" s="173" customFormat="1">
      <c r="A1486" s="63" t="s">
        <v>613</v>
      </c>
      <c r="B1486" s="77" t="s">
        <v>614</v>
      </c>
      <c r="C1486" s="271">
        <f>VLOOKUP($A$8:$A$1487,'[7]MFP''s'!A$8:C$1502,3,FALSE)</f>
        <v>80</v>
      </c>
      <c r="D1486" s="364">
        <v>80</v>
      </c>
      <c r="E1486" s="274">
        <f t="shared" si="129"/>
        <v>0</v>
      </c>
      <c r="F1486" s="196">
        <f t="shared" si="130"/>
        <v>3.0055999999999998</v>
      </c>
      <c r="G1486" s="196">
        <f t="shared" si="131"/>
        <v>2.3719999999999999</v>
      </c>
      <c r="H1486" s="199">
        <f t="shared" si="132"/>
        <v>2.0024000000000002</v>
      </c>
      <c r="J1486" s="172"/>
      <c r="K1486" s="172"/>
      <c r="L1486" s="172"/>
    </row>
    <row r="1487" spans="1:12" s="173" customFormat="1" ht="15.75" thickBot="1">
      <c r="A1487" s="191" t="s">
        <v>615</v>
      </c>
      <c r="B1487" s="192" t="s">
        <v>616</v>
      </c>
      <c r="C1487" s="275">
        <f>VLOOKUP($A$8:$A$1487,'[7]MFP''s'!A$8:C$1502,3,FALSE)</f>
        <v>2500</v>
      </c>
      <c r="D1487" s="370">
        <v>2500</v>
      </c>
      <c r="E1487" s="276">
        <f t="shared" si="129"/>
        <v>0</v>
      </c>
      <c r="F1487" s="201">
        <f t="shared" si="130"/>
        <v>93.924999999999997</v>
      </c>
      <c r="G1487" s="201">
        <f t="shared" si="131"/>
        <v>74.125</v>
      </c>
      <c r="H1487" s="202">
        <f t="shared" si="132"/>
        <v>62.575000000000003</v>
      </c>
      <c r="J1487" s="172"/>
      <c r="K1487" s="172"/>
      <c r="L1487" s="172"/>
    </row>
    <row r="1488" spans="1:12" s="173" customFormat="1">
      <c r="A1488" s="226"/>
      <c r="B1488" s="227"/>
      <c r="C1488" s="227"/>
      <c r="D1488" s="371"/>
      <c r="E1488" s="228"/>
      <c r="F1488" s="229"/>
      <c r="G1488" s="229"/>
      <c r="H1488" s="229"/>
      <c r="J1488" s="172"/>
      <c r="K1488" s="172"/>
      <c r="L1488" s="172"/>
    </row>
    <row r="1490" spans="1:29" ht="18.75">
      <c r="A1490" s="419" t="s">
        <v>657</v>
      </c>
      <c r="B1490" s="419"/>
      <c r="C1490" s="419"/>
      <c r="D1490" s="419"/>
      <c r="E1490" s="419"/>
      <c r="F1490" s="419"/>
      <c r="G1490" s="419"/>
      <c r="H1490" s="419"/>
      <c r="I1490" s="49"/>
      <c r="J1490" s="51"/>
      <c r="K1490" s="51"/>
      <c r="L1490" s="51"/>
      <c r="M1490" s="49"/>
      <c r="N1490" s="49"/>
      <c r="O1490" s="49"/>
      <c r="P1490" s="49"/>
      <c r="Q1490" s="49"/>
      <c r="R1490" s="49"/>
      <c r="S1490" s="49"/>
      <c r="T1490" s="49"/>
      <c r="U1490" s="49"/>
      <c r="V1490" s="49"/>
      <c r="W1490" s="49"/>
      <c r="X1490" s="49"/>
      <c r="Y1490" s="49"/>
      <c r="Z1490" s="49"/>
      <c r="AA1490" s="49"/>
      <c r="AB1490" s="49"/>
      <c r="AC1490" s="49"/>
    </row>
    <row r="1491" spans="1:29">
      <c r="A1491" s="51"/>
      <c r="B1491" s="51"/>
      <c r="C1491" s="51"/>
    </row>
    <row r="1492" spans="1:29" ht="16.5" thickBot="1">
      <c r="A1492" s="230" t="s">
        <v>658</v>
      </c>
      <c r="B1492" s="231"/>
      <c r="C1492" s="231"/>
      <c r="D1492" s="372"/>
      <c r="E1492" s="114"/>
      <c r="G1492" s="49"/>
      <c r="H1492" s="51"/>
      <c r="I1492" s="51"/>
      <c r="J1492" s="51"/>
      <c r="K1492" s="49"/>
      <c r="L1492" s="49"/>
      <c r="M1492" s="49"/>
      <c r="N1492" s="49"/>
      <c r="O1492" s="49"/>
      <c r="P1492" s="49"/>
      <c r="Q1492" s="49"/>
      <c r="R1492" s="49"/>
      <c r="S1492" s="49"/>
      <c r="T1492" s="49"/>
      <c r="U1492" s="49"/>
      <c r="V1492" s="49"/>
      <c r="W1492" s="49"/>
      <c r="X1492" s="49"/>
      <c r="Y1492" s="49"/>
      <c r="Z1492" s="49"/>
      <c r="AA1492" s="49"/>
      <c r="AB1492" s="49"/>
      <c r="AC1492" s="49"/>
    </row>
    <row r="1493" spans="1:29" ht="31.5" customHeight="1" thickBot="1">
      <c r="A1493" s="416" t="s">
        <v>390</v>
      </c>
      <c r="B1493" s="417"/>
      <c r="C1493" s="417"/>
      <c r="D1493" s="373"/>
      <c r="E1493" s="277"/>
      <c r="F1493" s="58"/>
      <c r="G1493" s="49"/>
      <c r="H1493" s="51"/>
      <c r="I1493" s="51"/>
      <c r="J1493" s="51"/>
      <c r="K1493" s="49"/>
      <c r="L1493" s="49"/>
      <c r="M1493" s="49"/>
      <c r="N1493" s="49"/>
      <c r="O1493" s="49"/>
      <c r="P1493" s="49"/>
      <c r="Q1493" s="49"/>
      <c r="R1493" s="49"/>
      <c r="S1493" s="49"/>
      <c r="T1493" s="49"/>
      <c r="U1493" s="49"/>
      <c r="V1493" s="49"/>
      <c r="W1493" s="49"/>
      <c r="X1493" s="49"/>
      <c r="Y1493" s="49"/>
      <c r="Z1493" s="49"/>
      <c r="AA1493" s="49"/>
      <c r="AB1493" s="49"/>
      <c r="AC1493" s="49"/>
    </row>
    <row r="1494" spans="1:29" ht="30.75" customHeight="1" thickBot="1">
      <c r="A1494" s="95" t="s">
        <v>391</v>
      </c>
      <c r="B1494" s="96" t="s">
        <v>394</v>
      </c>
      <c r="C1494" s="97" t="s">
        <v>395</v>
      </c>
      <c r="D1494" s="374"/>
      <c r="E1494" s="278"/>
      <c r="G1494" s="49"/>
      <c r="H1494" s="51"/>
      <c r="I1494" s="51"/>
      <c r="J1494" s="51"/>
      <c r="K1494" s="49"/>
      <c r="L1494" s="49"/>
      <c r="M1494" s="49"/>
      <c r="N1494" s="49"/>
      <c r="O1494" s="49"/>
      <c r="P1494" s="49"/>
      <c r="Q1494" s="49"/>
      <c r="R1494" s="49"/>
      <c r="S1494" s="49"/>
      <c r="T1494" s="49"/>
      <c r="U1494" s="49"/>
      <c r="V1494" s="49"/>
      <c r="W1494" s="49"/>
      <c r="X1494" s="49"/>
      <c r="Y1494" s="49"/>
      <c r="Z1494" s="49"/>
      <c r="AA1494" s="49"/>
      <c r="AB1494" s="49"/>
      <c r="AC1494" s="49"/>
    </row>
    <row r="1495" spans="1:29">
      <c r="A1495" s="102">
        <v>1200</v>
      </c>
      <c r="B1495" s="103">
        <v>23.242828000000003</v>
      </c>
      <c r="C1495" s="104">
        <v>1.9384120000000001E-2</v>
      </c>
      <c r="D1495" s="354"/>
      <c r="E1495" s="129"/>
      <c r="G1495" s="49"/>
      <c r="H1495" s="51"/>
      <c r="I1495" s="51"/>
      <c r="J1495" s="51"/>
      <c r="K1495" s="49"/>
      <c r="L1495" s="49"/>
      <c r="M1495" s="49"/>
      <c r="N1495" s="49"/>
      <c r="O1495" s="49"/>
      <c r="P1495" s="49"/>
      <c r="Q1495" s="49"/>
      <c r="R1495" s="49"/>
      <c r="S1495" s="49"/>
      <c r="T1495" s="49"/>
      <c r="U1495" s="49"/>
      <c r="V1495" s="49"/>
      <c r="W1495" s="49"/>
      <c r="X1495" s="49"/>
      <c r="Y1495" s="49"/>
      <c r="Z1495" s="49"/>
      <c r="AA1495" s="49"/>
      <c r="AB1495" s="49"/>
      <c r="AC1495" s="49"/>
    </row>
    <row r="1496" spans="1:29">
      <c r="A1496" s="105">
        <v>1800</v>
      </c>
      <c r="B1496" s="106">
        <v>32.664991999999998</v>
      </c>
      <c r="C1496" s="107">
        <v>1.8157279999999998E-2</v>
      </c>
      <c r="D1496" s="354"/>
      <c r="E1496" s="129"/>
      <c r="G1496" s="49"/>
      <c r="H1496" s="51"/>
      <c r="I1496" s="51"/>
      <c r="J1496" s="51"/>
      <c r="K1496" s="49"/>
      <c r="L1496" s="49"/>
      <c r="M1496" s="49"/>
      <c r="N1496" s="49"/>
      <c r="O1496" s="49"/>
      <c r="P1496" s="49"/>
      <c r="Q1496" s="49"/>
      <c r="R1496" s="49"/>
      <c r="S1496" s="49"/>
      <c r="T1496" s="49"/>
      <c r="U1496" s="49"/>
      <c r="V1496" s="49"/>
      <c r="W1496" s="49"/>
      <c r="X1496" s="49"/>
      <c r="Y1496" s="49"/>
      <c r="Z1496" s="49"/>
      <c r="AA1496" s="49"/>
      <c r="AB1496" s="49"/>
      <c r="AC1496" s="49"/>
    </row>
    <row r="1497" spans="1:29">
      <c r="A1497" s="105">
        <v>2400</v>
      </c>
      <c r="B1497" s="106">
        <v>41.607923000000007</v>
      </c>
      <c r="C1497" s="107">
        <v>1.7346070000000002E-2</v>
      </c>
      <c r="D1497" s="354"/>
      <c r="E1497" s="129"/>
      <c r="G1497" s="49"/>
      <c r="H1497" s="51"/>
      <c r="I1497" s="51"/>
      <c r="J1497" s="51"/>
      <c r="K1497" s="49"/>
      <c r="L1497" s="49"/>
      <c r="M1497" s="49"/>
      <c r="N1497" s="49"/>
      <c r="O1497" s="49"/>
      <c r="P1497" s="49"/>
      <c r="Q1497" s="49"/>
      <c r="R1497" s="49"/>
      <c r="S1497" s="49"/>
      <c r="T1497" s="49"/>
      <c r="U1497" s="49"/>
      <c r="V1497" s="49"/>
      <c r="W1497" s="49"/>
      <c r="X1497" s="49"/>
      <c r="Y1497" s="49"/>
      <c r="Z1497" s="49"/>
      <c r="AA1497" s="49"/>
      <c r="AB1497" s="49"/>
      <c r="AC1497" s="49"/>
    </row>
    <row r="1498" spans="1:29">
      <c r="A1498" s="105">
        <v>3000</v>
      </c>
      <c r="B1498" s="106">
        <v>50.165711999999999</v>
      </c>
      <c r="C1498" s="107">
        <v>1.6708319999999999E-2</v>
      </c>
      <c r="D1498" s="354"/>
      <c r="E1498" s="129"/>
      <c r="G1498" s="49"/>
      <c r="H1498" s="51"/>
      <c r="I1498" s="51"/>
      <c r="J1498" s="51"/>
      <c r="K1498" s="49"/>
      <c r="L1498" s="49"/>
      <c r="M1498" s="49"/>
      <c r="N1498" s="49"/>
      <c r="O1498" s="49"/>
      <c r="P1498" s="49"/>
      <c r="Q1498" s="49"/>
      <c r="R1498" s="49"/>
      <c r="S1498" s="49"/>
      <c r="T1498" s="49"/>
      <c r="U1498" s="49"/>
      <c r="V1498" s="49"/>
      <c r="W1498" s="49"/>
      <c r="X1498" s="49"/>
      <c r="Y1498" s="49"/>
      <c r="Z1498" s="49"/>
      <c r="AA1498" s="49"/>
      <c r="AB1498" s="49"/>
      <c r="AC1498" s="49"/>
    </row>
    <row r="1499" spans="1:29">
      <c r="A1499" s="105">
        <v>4500</v>
      </c>
      <c r="B1499" s="106">
        <v>70.539175</v>
      </c>
      <c r="C1499" s="107">
        <v>1.5670340000000001E-2</v>
      </c>
      <c r="D1499" s="354"/>
      <c r="E1499" s="129"/>
      <c r="G1499" s="49"/>
      <c r="H1499" s="51"/>
      <c r="I1499" s="51"/>
      <c r="J1499" s="51"/>
      <c r="K1499" s="49"/>
      <c r="L1499" s="49"/>
      <c r="M1499" s="49"/>
      <c r="N1499" s="49"/>
      <c r="O1499" s="49"/>
      <c r="P1499" s="49"/>
      <c r="Q1499" s="49"/>
      <c r="R1499" s="49"/>
      <c r="S1499" s="49"/>
      <c r="T1499" s="49"/>
      <c r="U1499" s="49"/>
      <c r="V1499" s="49"/>
      <c r="W1499" s="49"/>
      <c r="X1499" s="49"/>
      <c r="Y1499" s="49"/>
      <c r="Z1499" s="49"/>
      <c r="AA1499" s="49"/>
      <c r="AB1499" s="49"/>
      <c r="AC1499" s="49"/>
    </row>
    <row r="1500" spans="1:29">
      <c r="A1500" s="105">
        <v>6000</v>
      </c>
      <c r="B1500" s="106">
        <v>89.857080000000011</v>
      </c>
      <c r="C1500" s="107">
        <v>1.4994299999999999E-2</v>
      </c>
      <c r="D1500" s="354"/>
      <c r="E1500" s="129"/>
      <c r="G1500" s="49"/>
      <c r="H1500" s="51"/>
      <c r="I1500" s="51"/>
      <c r="J1500" s="51"/>
      <c r="K1500" s="49"/>
      <c r="L1500" s="49"/>
      <c r="M1500" s="49"/>
      <c r="N1500" s="49"/>
      <c r="O1500" s="49"/>
      <c r="P1500" s="49"/>
      <c r="Q1500" s="49"/>
      <c r="R1500" s="49"/>
      <c r="S1500" s="49"/>
      <c r="T1500" s="49"/>
      <c r="U1500" s="49"/>
      <c r="V1500" s="49"/>
      <c r="W1500" s="49"/>
      <c r="X1500" s="49"/>
      <c r="Y1500" s="49"/>
      <c r="Z1500" s="49"/>
      <c r="AA1500" s="49"/>
      <c r="AB1500" s="49"/>
      <c r="AC1500" s="49"/>
    </row>
    <row r="1501" spans="1:29">
      <c r="A1501" s="105">
        <v>9000</v>
      </c>
      <c r="B1501" s="106">
        <v>126.27757800000001</v>
      </c>
      <c r="C1501" s="107">
        <v>1.4039900000000001E-2</v>
      </c>
      <c r="D1501" s="354"/>
      <c r="E1501" s="129"/>
      <c r="G1501" s="49"/>
      <c r="H1501" s="51"/>
      <c r="I1501" s="51"/>
      <c r="J1501" s="51"/>
      <c r="K1501" s="49"/>
      <c r="L1501" s="49"/>
      <c r="M1501" s="49"/>
      <c r="N1501" s="49"/>
      <c r="O1501" s="49"/>
      <c r="P1501" s="49"/>
      <c r="Q1501" s="49"/>
      <c r="R1501" s="49"/>
      <c r="S1501" s="49"/>
      <c r="T1501" s="49"/>
      <c r="U1501" s="49"/>
      <c r="V1501" s="49"/>
      <c r="W1501" s="49"/>
      <c r="X1501" s="49"/>
      <c r="Y1501" s="49"/>
      <c r="Z1501" s="49"/>
      <c r="AA1501" s="49"/>
      <c r="AB1501" s="49"/>
      <c r="AC1501" s="49"/>
    </row>
    <row r="1502" spans="1:29">
      <c r="A1502" s="105">
        <v>15000</v>
      </c>
      <c r="B1502" s="106">
        <v>194.040075</v>
      </c>
      <c r="C1502" s="107">
        <v>1.295866E-2</v>
      </c>
      <c r="D1502" s="354"/>
      <c r="E1502" s="129"/>
      <c r="G1502" s="49"/>
      <c r="H1502" s="51"/>
      <c r="I1502" s="51"/>
      <c r="J1502" s="51"/>
      <c r="K1502" s="49"/>
      <c r="L1502" s="49"/>
      <c r="M1502" s="49"/>
      <c r="N1502" s="49"/>
      <c r="O1502" s="49"/>
      <c r="P1502" s="49"/>
      <c r="Q1502" s="49"/>
      <c r="R1502" s="49"/>
      <c r="S1502" s="49"/>
      <c r="T1502" s="49"/>
      <c r="U1502" s="49"/>
      <c r="V1502" s="49"/>
      <c r="W1502" s="49"/>
      <c r="X1502" s="49"/>
      <c r="Y1502" s="49"/>
      <c r="Z1502" s="49"/>
      <c r="AA1502" s="49"/>
      <c r="AB1502" s="49"/>
      <c r="AC1502" s="49"/>
    </row>
    <row r="1503" spans="1:29" ht="15.75" thickBot="1">
      <c r="A1503" s="108">
        <v>0</v>
      </c>
      <c r="B1503" s="109">
        <v>2.0298879999999998E-2</v>
      </c>
      <c r="C1503" s="110" t="s">
        <v>392</v>
      </c>
      <c r="D1503" s="354"/>
      <c r="E1503" s="130"/>
      <c r="G1503" s="49"/>
      <c r="H1503" s="51"/>
      <c r="I1503" s="51"/>
      <c r="J1503" s="51"/>
      <c r="K1503" s="49"/>
      <c r="L1503" s="49"/>
      <c r="M1503" s="49"/>
      <c r="N1503" s="49"/>
      <c r="O1503" s="49"/>
      <c r="P1503" s="49"/>
      <c r="Q1503" s="49"/>
      <c r="R1503" s="49"/>
      <c r="S1503" s="49"/>
      <c r="T1503" s="49"/>
      <c r="U1503" s="49"/>
      <c r="V1503" s="49"/>
      <c r="W1503" s="49"/>
      <c r="X1503" s="49"/>
      <c r="Y1503" s="49"/>
      <c r="Z1503" s="49"/>
      <c r="AA1503" s="49"/>
      <c r="AB1503" s="49"/>
      <c r="AC1503" s="49"/>
    </row>
    <row r="1504" spans="1:29" s="51" customFormat="1">
      <c r="A1504" s="113"/>
      <c r="B1504" s="56"/>
      <c r="C1504" s="56"/>
      <c r="D1504" s="372"/>
      <c r="E1504" s="114"/>
    </row>
    <row r="1505" spans="1:29" s="101" customFormat="1" ht="16.5" thickBot="1">
      <c r="A1505" s="233" t="s">
        <v>659</v>
      </c>
      <c r="B1505" s="232"/>
      <c r="C1505" s="272"/>
      <c r="D1505" s="375"/>
      <c r="E1505" s="268"/>
    </row>
    <row r="1506" spans="1:29" ht="31.5" customHeight="1" thickBot="1">
      <c r="A1506" s="416" t="s">
        <v>390</v>
      </c>
      <c r="B1506" s="417"/>
      <c r="C1506" s="417"/>
      <c r="D1506" s="373"/>
      <c r="E1506" s="277"/>
      <c r="F1506" s="58"/>
      <c r="G1506" s="49"/>
      <c r="H1506" s="51"/>
      <c r="I1506" s="51"/>
      <c r="J1506" s="51"/>
      <c r="K1506" s="49"/>
      <c r="L1506" s="49"/>
      <c r="M1506" s="49"/>
      <c r="N1506" s="49"/>
      <c r="O1506" s="49"/>
      <c r="P1506" s="49"/>
      <c r="Q1506" s="49"/>
      <c r="R1506" s="49"/>
      <c r="S1506" s="49"/>
      <c r="T1506" s="49"/>
      <c r="U1506" s="49"/>
      <c r="V1506" s="49"/>
      <c r="W1506" s="49"/>
      <c r="X1506" s="49"/>
      <c r="Y1506" s="49"/>
      <c r="Z1506" s="49"/>
      <c r="AA1506" s="49"/>
      <c r="AB1506" s="49"/>
      <c r="AC1506" s="49"/>
    </row>
    <row r="1507" spans="1:29" ht="30.75" customHeight="1" thickBot="1">
      <c r="A1507" s="95" t="s">
        <v>391</v>
      </c>
      <c r="B1507" s="96" t="s">
        <v>394</v>
      </c>
      <c r="C1507" s="97" t="s">
        <v>395</v>
      </c>
      <c r="D1507" s="374"/>
      <c r="E1507" s="278"/>
      <c r="G1507" s="49"/>
      <c r="H1507" s="51"/>
      <c r="I1507" s="51"/>
      <c r="J1507" s="51"/>
      <c r="K1507" s="49"/>
      <c r="L1507" s="49"/>
      <c r="M1507" s="49"/>
      <c r="N1507" s="49"/>
      <c r="O1507" s="49"/>
      <c r="P1507" s="49"/>
      <c r="Q1507" s="49"/>
      <c r="R1507" s="49"/>
      <c r="S1507" s="49"/>
      <c r="T1507" s="49"/>
      <c r="U1507" s="49"/>
      <c r="V1507" s="49"/>
      <c r="W1507" s="49"/>
      <c r="X1507" s="49"/>
      <c r="Y1507" s="49"/>
      <c r="Z1507" s="49"/>
      <c r="AA1507" s="49"/>
      <c r="AB1507" s="49"/>
      <c r="AC1507" s="49"/>
    </row>
    <row r="1508" spans="1:29">
      <c r="A1508" s="102">
        <v>1000</v>
      </c>
      <c r="B1508" s="103">
        <v>20.616008000000001</v>
      </c>
      <c r="C1508" s="104">
        <v>2.0606949999999999E-2</v>
      </c>
      <c r="D1508" s="374"/>
      <c r="E1508" s="279"/>
      <c r="F1508" s="49"/>
      <c r="G1508" s="49"/>
      <c r="I1508" s="49"/>
      <c r="J1508" s="49"/>
      <c r="K1508" s="49"/>
      <c r="L1508" s="49"/>
      <c r="M1508" s="49"/>
      <c r="N1508" s="49"/>
      <c r="O1508" s="49"/>
      <c r="P1508" s="49"/>
      <c r="Q1508" s="49"/>
      <c r="R1508" s="49"/>
      <c r="S1508" s="49"/>
      <c r="T1508" s="49"/>
      <c r="U1508" s="49"/>
      <c r="V1508" s="49"/>
      <c r="W1508" s="49"/>
      <c r="X1508" s="49"/>
      <c r="Y1508" s="49"/>
      <c r="Z1508" s="49"/>
      <c r="AA1508" s="49"/>
      <c r="AB1508" s="49"/>
      <c r="AC1508" s="49"/>
    </row>
    <row r="1509" spans="1:29">
      <c r="A1509" s="105">
        <v>1500</v>
      </c>
      <c r="B1509" s="111">
        <v>28.974671999999998</v>
      </c>
      <c r="C1509" s="112">
        <v>1.9334560000000001E-2</v>
      </c>
      <c r="D1509" s="354"/>
      <c r="E1509" s="129"/>
      <c r="F1509" s="49"/>
      <c r="G1509" s="49"/>
      <c r="I1509" s="49"/>
      <c r="J1509" s="49"/>
      <c r="K1509" s="49"/>
      <c r="L1509" s="49"/>
      <c r="M1509" s="49"/>
      <c r="N1509" s="49"/>
      <c r="O1509" s="49"/>
      <c r="P1509" s="49"/>
      <c r="Q1509" s="49"/>
      <c r="R1509" s="49"/>
      <c r="S1509" s="49"/>
      <c r="T1509" s="49"/>
      <c r="U1509" s="49"/>
      <c r="V1509" s="49"/>
      <c r="W1509" s="49"/>
      <c r="X1509" s="49"/>
      <c r="Y1509" s="49"/>
      <c r="Z1509" s="49"/>
      <c r="AA1509" s="49"/>
      <c r="AB1509" s="49"/>
      <c r="AC1509" s="49"/>
    </row>
    <row r="1510" spans="1:29">
      <c r="A1510" s="105">
        <v>2000</v>
      </c>
      <c r="B1510" s="111">
        <v>36.902292000000003</v>
      </c>
      <c r="C1510" s="112">
        <v>1.843303E-2</v>
      </c>
      <c r="D1510" s="354"/>
      <c r="E1510" s="129"/>
      <c r="F1510" s="49"/>
      <c r="G1510" s="49"/>
      <c r="I1510" s="49"/>
      <c r="J1510" s="49"/>
      <c r="K1510" s="49"/>
      <c r="L1510" s="49"/>
      <c r="M1510" s="49"/>
      <c r="N1510" s="49"/>
      <c r="O1510" s="49"/>
      <c r="P1510" s="49"/>
      <c r="Q1510" s="49"/>
      <c r="R1510" s="49"/>
      <c r="S1510" s="49"/>
      <c r="T1510" s="49"/>
      <c r="U1510" s="49"/>
      <c r="V1510" s="49"/>
      <c r="W1510" s="49"/>
      <c r="X1510" s="49"/>
      <c r="Y1510" s="49"/>
      <c r="Z1510" s="49"/>
      <c r="AA1510" s="49"/>
      <c r="AB1510" s="49"/>
      <c r="AC1510" s="49"/>
    </row>
    <row r="1511" spans="1:29">
      <c r="A1511" s="105">
        <v>2500</v>
      </c>
      <c r="B1511" s="111">
        <v>44.501184000000002</v>
      </c>
      <c r="C1511" s="112">
        <v>1.7795040000000002E-2</v>
      </c>
      <c r="D1511" s="354"/>
      <c r="E1511" s="129"/>
      <c r="F1511" s="49"/>
      <c r="G1511" s="49"/>
      <c r="I1511" s="49"/>
      <c r="J1511" s="49"/>
      <c r="K1511" s="49"/>
      <c r="L1511" s="49"/>
      <c r="M1511" s="49"/>
      <c r="N1511" s="49"/>
      <c r="O1511" s="49"/>
      <c r="P1511" s="49"/>
      <c r="Q1511" s="49"/>
      <c r="R1511" s="49"/>
      <c r="S1511" s="49"/>
      <c r="T1511" s="49"/>
      <c r="U1511" s="49"/>
      <c r="V1511" s="49"/>
      <c r="W1511" s="49"/>
      <c r="X1511" s="49"/>
      <c r="Y1511" s="49"/>
      <c r="Z1511" s="49"/>
      <c r="AA1511" s="49"/>
      <c r="AB1511" s="49"/>
      <c r="AC1511" s="49"/>
    </row>
    <row r="1512" spans="1:29">
      <c r="A1512" s="105">
        <v>3800</v>
      </c>
      <c r="B1512" s="111">
        <v>63.283716999999996</v>
      </c>
      <c r="C1512" s="112">
        <v>1.6666719999999999E-2</v>
      </c>
      <c r="D1512" s="354"/>
      <c r="E1512" s="129"/>
      <c r="F1512" s="49"/>
      <c r="G1512" s="49"/>
      <c r="I1512" s="49"/>
      <c r="J1512" s="49"/>
      <c r="K1512" s="49"/>
      <c r="L1512" s="49"/>
      <c r="M1512" s="49"/>
      <c r="N1512" s="49"/>
      <c r="O1512" s="49"/>
      <c r="P1512" s="49"/>
      <c r="Q1512" s="49"/>
      <c r="R1512" s="49"/>
      <c r="S1512" s="49"/>
      <c r="T1512" s="49"/>
      <c r="U1512" s="49"/>
      <c r="V1512" s="49"/>
      <c r="W1512" s="49"/>
      <c r="X1512" s="49"/>
      <c r="Y1512" s="49"/>
      <c r="Z1512" s="49"/>
      <c r="AA1512" s="49"/>
      <c r="AB1512" s="49"/>
      <c r="AC1512" s="49"/>
    </row>
    <row r="1513" spans="1:29">
      <c r="A1513" s="105">
        <v>5000</v>
      </c>
      <c r="B1513" s="111">
        <v>79.705349999999996</v>
      </c>
      <c r="C1513" s="112">
        <v>1.5945600000000001E-2</v>
      </c>
      <c r="D1513" s="354"/>
      <c r="E1513" s="129"/>
      <c r="F1513" s="49"/>
      <c r="G1513" s="49"/>
      <c r="I1513" s="49"/>
      <c r="J1513" s="49"/>
      <c r="K1513" s="49"/>
      <c r="L1513" s="49"/>
      <c r="M1513" s="49"/>
      <c r="N1513" s="49"/>
      <c r="O1513" s="49"/>
      <c r="P1513" s="49"/>
      <c r="Q1513" s="49"/>
      <c r="R1513" s="49"/>
      <c r="S1513" s="49"/>
      <c r="T1513" s="49"/>
      <c r="U1513" s="49"/>
      <c r="V1513" s="49"/>
      <c r="W1513" s="49"/>
      <c r="X1513" s="49"/>
      <c r="Y1513" s="49"/>
      <c r="Z1513" s="49"/>
      <c r="AA1513" s="49"/>
      <c r="AB1513" s="49"/>
      <c r="AC1513" s="49"/>
    </row>
    <row r="1514" spans="1:29">
      <c r="A1514" s="105">
        <v>7500</v>
      </c>
      <c r="B1514" s="111">
        <v>112.024815</v>
      </c>
      <c r="C1514" s="112">
        <v>1.4945700000000001E-2</v>
      </c>
      <c r="D1514" s="354"/>
      <c r="E1514" s="129"/>
      <c r="F1514" s="49"/>
      <c r="G1514" s="49"/>
      <c r="I1514" s="49"/>
      <c r="J1514" s="49"/>
      <c r="K1514" s="49"/>
      <c r="L1514" s="49"/>
      <c r="M1514" s="49"/>
      <c r="N1514" s="49"/>
      <c r="O1514" s="49"/>
      <c r="P1514" s="49"/>
      <c r="Q1514" s="49"/>
      <c r="R1514" s="49"/>
      <c r="S1514" s="49"/>
      <c r="T1514" s="49"/>
      <c r="U1514" s="49"/>
      <c r="V1514" s="49"/>
      <c r="W1514" s="49"/>
      <c r="X1514" s="49"/>
      <c r="Y1514" s="49"/>
      <c r="Z1514" s="49"/>
      <c r="AA1514" s="49"/>
      <c r="AB1514" s="49"/>
      <c r="AC1514" s="49"/>
    </row>
    <row r="1515" spans="1:29">
      <c r="A1515" s="105">
        <v>12500</v>
      </c>
      <c r="B1515" s="111">
        <v>172.123628</v>
      </c>
      <c r="C1515" s="112">
        <v>1.377424E-2</v>
      </c>
      <c r="D1515" s="354"/>
      <c r="E1515" s="129"/>
      <c r="F1515" s="49"/>
      <c r="G1515" s="49"/>
      <c r="I1515" s="49"/>
      <c r="J1515" s="49"/>
      <c r="K1515" s="49"/>
      <c r="L1515" s="49"/>
      <c r="M1515" s="49"/>
      <c r="N1515" s="49"/>
      <c r="O1515" s="49"/>
      <c r="P1515" s="49"/>
      <c r="Q1515" s="49"/>
      <c r="R1515" s="49"/>
      <c r="S1515" s="49"/>
      <c r="T1515" s="49"/>
      <c r="U1515" s="49"/>
      <c r="V1515" s="49"/>
      <c r="W1515" s="49"/>
      <c r="X1515" s="49"/>
      <c r="Y1515" s="49"/>
      <c r="Z1515" s="49"/>
      <c r="AA1515" s="49"/>
      <c r="AB1515" s="49"/>
      <c r="AC1515" s="49"/>
    </row>
    <row r="1516" spans="1:29" ht="15.75" thickBot="1">
      <c r="A1516" s="108">
        <v>0</v>
      </c>
      <c r="B1516" s="109">
        <v>2.1612869999999999E-2</v>
      </c>
      <c r="C1516" s="110" t="s">
        <v>392</v>
      </c>
      <c r="D1516" s="354"/>
      <c r="E1516" s="130"/>
      <c r="F1516" s="49"/>
      <c r="G1516" s="49"/>
      <c r="I1516" s="49"/>
      <c r="J1516" s="49"/>
      <c r="K1516" s="49"/>
      <c r="L1516" s="49"/>
      <c r="M1516" s="49"/>
      <c r="N1516" s="49"/>
      <c r="O1516" s="49"/>
      <c r="P1516" s="49"/>
      <c r="Q1516" s="49"/>
      <c r="R1516" s="49"/>
      <c r="S1516" s="49"/>
      <c r="T1516" s="49"/>
      <c r="U1516" s="49"/>
      <c r="V1516" s="49"/>
      <c r="W1516" s="49"/>
      <c r="X1516" s="49"/>
      <c r="Y1516" s="49"/>
      <c r="Z1516" s="49"/>
      <c r="AA1516" s="49"/>
      <c r="AB1516" s="49"/>
      <c r="AC1516" s="49"/>
    </row>
    <row r="1517" spans="1:29" s="51" customFormat="1">
      <c r="A1517" s="115"/>
      <c r="B1517" s="56"/>
      <c r="C1517" s="56"/>
      <c r="D1517" s="372"/>
      <c r="E1517" s="114"/>
    </row>
    <row r="1518" spans="1:29" s="51" customFormat="1" ht="16.5" thickBot="1">
      <c r="A1518" s="239" t="s">
        <v>660</v>
      </c>
      <c r="B1518" s="232"/>
      <c r="C1518" s="272"/>
      <c r="D1518" s="375"/>
      <c r="E1518" s="268"/>
    </row>
    <row r="1519" spans="1:29" s="51" customFormat="1" ht="16.5" customHeight="1" thickBot="1">
      <c r="A1519" s="416" t="s">
        <v>390</v>
      </c>
      <c r="B1519" s="417"/>
      <c r="C1519" s="417"/>
      <c r="D1519" s="373"/>
      <c r="E1519" s="277"/>
    </row>
    <row r="1520" spans="1:29" s="51" customFormat="1" ht="24.75" thickBot="1">
      <c r="A1520" s="95" t="s">
        <v>391</v>
      </c>
      <c r="B1520" s="96" t="s">
        <v>394</v>
      </c>
      <c r="C1520" s="97" t="s">
        <v>395</v>
      </c>
      <c r="D1520" s="376"/>
      <c r="E1520" s="278"/>
    </row>
    <row r="1521" spans="1:5" s="51" customFormat="1">
      <c r="A1521" s="102">
        <v>700</v>
      </c>
      <c r="B1521" s="103">
        <v>14.77</v>
      </c>
      <c r="C1521" s="104">
        <v>2.1100000000000001E-2</v>
      </c>
      <c r="D1521" s="372"/>
      <c r="E1521" s="129"/>
    </row>
    <row r="1522" spans="1:5" s="51" customFormat="1">
      <c r="A1522" s="105">
        <v>1100</v>
      </c>
      <c r="B1522" s="111">
        <v>21.67</v>
      </c>
      <c r="C1522" s="112">
        <v>1.9699999999999999E-2</v>
      </c>
      <c r="D1522" s="372"/>
      <c r="E1522" s="129"/>
    </row>
    <row r="1523" spans="1:5" s="51" customFormat="1">
      <c r="A1523" s="105">
        <v>1400</v>
      </c>
      <c r="B1523" s="111">
        <v>26.46</v>
      </c>
      <c r="C1523" s="112">
        <v>1.89E-2</v>
      </c>
      <c r="D1523" s="372"/>
      <c r="E1523" s="129"/>
    </row>
    <row r="1524" spans="1:5" s="51" customFormat="1">
      <c r="A1524" s="105">
        <v>1800</v>
      </c>
      <c r="B1524" s="111">
        <v>32.76</v>
      </c>
      <c r="C1524" s="112">
        <v>1.8200000000000001E-2</v>
      </c>
      <c r="D1524" s="372"/>
      <c r="E1524" s="129"/>
    </row>
    <row r="1525" spans="1:5" s="51" customFormat="1">
      <c r="A1525" s="105">
        <v>2700</v>
      </c>
      <c r="B1525" s="111">
        <v>46.17</v>
      </c>
      <c r="C1525" s="112">
        <v>1.7100000000000001E-2</v>
      </c>
      <c r="D1525" s="372"/>
      <c r="E1525" s="129"/>
    </row>
    <row r="1526" spans="1:5" s="51" customFormat="1">
      <c r="A1526" s="105">
        <v>3600</v>
      </c>
      <c r="B1526" s="111">
        <v>58.68</v>
      </c>
      <c r="C1526" s="112">
        <v>1.6299999999999999E-2</v>
      </c>
      <c r="D1526" s="372"/>
      <c r="E1526" s="129"/>
    </row>
    <row r="1527" spans="1:5" s="51" customFormat="1">
      <c r="A1527" s="105">
        <v>5400</v>
      </c>
      <c r="B1527" s="111">
        <v>82.62</v>
      </c>
      <c r="C1527" s="112">
        <v>1.5299999999999999E-2</v>
      </c>
      <c r="D1527" s="372"/>
      <c r="E1527" s="129"/>
    </row>
    <row r="1528" spans="1:5" s="51" customFormat="1">
      <c r="A1528" s="105">
        <v>9000</v>
      </c>
      <c r="B1528" s="111">
        <v>126.9</v>
      </c>
      <c r="C1528" s="112">
        <v>1.41E-2</v>
      </c>
      <c r="D1528" s="372"/>
      <c r="E1528" s="129"/>
    </row>
    <row r="1529" spans="1:5" s="51" customFormat="1">
      <c r="A1529" s="115"/>
      <c r="B1529" s="56"/>
      <c r="C1529" s="56"/>
      <c r="D1529" s="372"/>
      <c r="E1529" s="114"/>
    </row>
    <row r="1530" spans="1:5" s="51" customFormat="1" ht="16.5" thickBot="1">
      <c r="A1530" s="239" t="s">
        <v>661</v>
      </c>
      <c r="B1530" s="232"/>
      <c r="C1530" s="272"/>
      <c r="D1530" s="375"/>
      <c r="E1530" s="268"/>
    </row>
    <row r="1531" spans="1:5" s="51" customFormat="1" ht="16.5" customHeight="1" thickBot="1">
      <c r="A1531" s="416" t="s">
        <v>390</v>
      </c>
      <c r="B1531" s="417"/>
      <c r="C1531" s="417"/>
      <c r="D1531" s="373"/>
      <c r="E1531" s="277"/>
    </row>
    <row r="1532" spans="1:5" s="51" customFormat="1" ht="24.75" thickBot="1">
      <c r="A1532" s="95" t="s">
        <v>391</v>
      </c>
      <c r="B1532" s="96" t="s">
        <v>394</v>
      </c>
      <c r="C1532" s="97" t="s">
        <v>395</v>
      </c>
      <c r="D1532" s="376"/>
      <c r="E1532" s="278"/>
    </row>
    <row r="1533" spans="1:5" s="51" customFormat="1">
      <c r="A1533" s="102">
        <v>1000</v>
      </c>
      <c r="B1533" s="103">
        <v>18.600000000000001</v>
      </c>
      <c r="C1533" s="104">
        <v>1.8599999999999998E-2</v>
      </c>
      <c r="D1533" s="372"/>
      <c r="E1533" s="129"/>
    </row>
    <row r="1534" spans="1:5" s="51" customFormat="1">
      <c r="A1534" s="105">
        <v>1400</v>
      </c>
      <c r="B1534" s="111">
        <v>24.64</v>
      </c>
      <c r="C1534" s="112">
        <v>1.7600000000000001E-2</v>
      </c>
      <c r="D1534" s="372"/>
      <c r="E1534" s="129"/>
    </row>
    <row r="1535" spans="1:5" s="51" customFormat="1">
      <c r="A1535" s="105">
        <v>1900</v>
      </c>
      <c r="B1535" s="111">
        <v>31.92</v>
      </c>
      <c r="C1535" s="112">
        <v>1.6799999999999999E-2</v>
      </c>
      <c r="D1535" s="372"/>
      <c r="E1535" s="129"/>
    </row>
    <row r="1536" spans="1:5" s="51" customFormat="1">
      <c r="A1536" s="105">
        <v>2400</v>
      </c>
      <c r="B1536" s="111">
        <v>38.880000000000003</v>
      </c>
      <c r="C1536" s="112">
        <v>1.6199999999999999E-2</v>
      </c>
      <c r="D1536" s="372"/>
      <c r="E1536" s="129"/>
    </row>
    <row r="1537" spans="1:29" s="51" customFormat="1">
      <c r="A1537" s="105">
        <v>3600</v>
      </c>
      <c r="B1537" s="111">
        <v>54.72</v>
      </c>
      <c r="C1537" s="112">
        <v>1.52E-2</v>
      </c>
      <c r="D1537" s="372"/>
      <c r="E1537" s="129"/>
    </row>
    <row r="1538" spans="1:29" s="51" customFormat="1">
      <c r="A1538" s="105">
        <v>4800</v>
      </c>
      <c r="B1538" s="111">
        <v>69.599999999999994</v>
      </c>
      <c r="C1538" s="112">
        <v>1.4500000000000001E-2</v>
      </c>
      <c r="D1538" s="372"/>
      <c r="E1538" s="129"/>
    </row>
    <row r="1539" spans="1:29" s="51" customFormat="1">
      <c r="A1539" s="105">
        <v>7200</v>
      </c>
      <c r="B1539" s="111">
        <v>97.92</v>
      </c>
      <c r="C1539" s="112">
        <v>1.3599999999999999E-2</v>
      </c>
      <c r="D1539" s="372"/>
      <c r="E1539" s="129"/>
    </row>
    <row r="1540" spans="1:29" s="51" customFormat="1">
      <c r="A1540" s="105">
        <v>12000</v>
      </c>
      <c r="B1540" s="111">
        <v>148.80000000000001</v>
      </c>
      <c r="C1540" s="112">
        <v>1.24E-2</v>
      </c>
      <c r="D1540" s="372"/>
      <c r="E1540" s="129"/>
    </row>
    <row r="1541" spans="1:29" s="51" customFormat="1">
      <c r="A1541" s="115"/>
      <c r="B1541" s="56"/>
      <c r="C1541" s="56"/>
      <c r="D1541" s="372"/>
      <c r="E1541" s="114"/>
    </row>
    <row r="1542" spans="1:29" ht="16.5" thickBot="1">
      <c r="A1542" s="240" t="s">
        <v>785</v>
      </c>
      <c r="B1542" s="232"/>
      <c r="C1542" s="272"/>
      <c r="D1542" s="375"/>
      <c r="E1542" s="268"/>
      <c r="H1542" s="51"/>
      <c r="I1542" s="51"/>
      <c r="J1542" s="49"/>
      <c r="K1542" s="49"/>
      <c r="L1542" s="49"/>
      <c r="M1542" s="49"/>
      <c r="N1542" s="49"/>
      <c r="O1542" s="49"/>
      <c r="P1542" s="49"/>
      <c r="Q1542" s="49"/>
      <c r="R1542" s="49"/>
      <c r="S1542" s="49"/>
      <c r="T1542" s="49"/>
      <c r="U1542" s="49"/>
      <c r="V1542" s="49"/>
      <c r="W1542" s="49"/>
      <c r="X1542" s="49"/>
      <c r="Y1542" s="49"/>
      <c r="Z1542" s="49"/>
      <c r="AA1542" s="49"/>
      <c r="AB1542" s="49"/>
      <c r="AC1542" s="49"/>
    </row>
    <row r="1543" spans="1:29" ht="31.5" customHeight="1" thickBot="1">
      <c r="A1543" s="416" t="s">
        <v>390</v>
      </c>
      <c r="B1543" s="417"/>
      <c r="C1543" s="417"/>
      <c r="D1543" s="373"/>
      <c r="E1543" s="277"/>
      <c r="F1543" s="58"/>
      <c r="G1543" s="49"/>
      <c r="H1543" s="51"/>
      <c r="I1543" s="51"/>
      <c r="J1543" s="51"/>
      <c r="K1543" s="49"/>
      <c r="L1543" s="49"/>
      <c r="M1543" s="49"/>
      <c r="N1543" s="49"/>
      <c r="O1543" s="49"/>
      <c r="P1543" s="49"/>
      <c r="Q1543" s="49"/>
      <c r="R1543" s="49"/>
      <c r="S1543" s="49"/>
      <c r="T1543" s="49"/>
      <c r="U1543" s="49"/>
      <c r="V1543" s="49"/>
      <c r="W1543" s="49"/>
      <c r="X1543" s="49"/>
      <c r="Y1543" s="49"/>
      <c r="Z1543" s="49"/>
      <c r="AA1543" s="49"/>
      <c r="AB1543" s="49"/>
      <c r="AC1543" s="49"/>
    </row>
    <row r="1544" spans="1:29" ht="30.75" customHeight="1" thickBot="1">
      <c r="A1544" s="95" t="s">
        <v>391</v>
      </c>
      <c r="B1544" s="96" t="s">
        <v>394</v>
      </c>
      <c r="C1544" s="97" t="s">
        <v>395</v>
      </c>
      <c r="D1544" s="374"/>
      <c r="E1544" s="278"/>
      <c r="G1544" s="49"/>
      <c r="H1544" s="51"/>
      <c r="I1544" s="51"/>
      <c r="J1544" s="51"/>
      <c r="K1544" s="49"/>
      <c r="L1544" s="49"/>
      <c r="M1544" s="49"/>
      <c r="N1544" s="49"/>
      <c r="O1544" s="49"/>
      <c r="P1544" s="49"/>
      <c r="Q1544" s="49"/>
      <c r="R1544" s="49"/>
      <c r="S1544" s="49"/>
      <c r="T1544" s="49"/>
      <c r="U1544" s="49"/>
      <c r="V1544" s="49"/>
      <c r="W1544" s="49"/>
      <c r="X1544" s="49"/>
      <c r="Y1544" s="49"/>
      <c r="Z1544" s="49"/>
      <c r="AA1544" s="49"/>
      <c r="AB1544" s="49"/>
      <c r="AC1544" s="49"/>
    </row>
    <row r="1545" spans="1:29">
      <c r="A1545" s="102">
        <v>1400</v>
      </c>
      <c r="B1545" s="103">
        <v>16.157609999999998</v>
      </c>
      <c r="C1545" s="104">
        <v>1.1532849999999999E-2</v>
      </c>
      <c r="D1545" s="374"/>
      <c r="E1545" s="279"/>
      <c r="H1545" s="72"/>
      <c r="I1545" s="73"/>
      <c r="J1545" s="49"/>
      <c r="K1545" s="49"/>
      <c r="L1545" s="49"/>
      <c r="M1545" s="49"/>
      <c r="N1545" s="49"/>
      <c r="O1545" s="49"/>
      <c r="P1545" s="49"/>
      <c r="Q1545" s="49"/>
      <c r="R1545" s="49"/>
      <c r="S1545" s="49"/>
      <c r="T1545" s="49"/>
      <c r="U1545" s="49"/>
      <c r="V1545" s="49"/>
      <c r="W1545" s="49"/>
      <c r="X1545" s="49"/>
      <c r="Y1545" s="49"/>
      <c r="Z1545" s="49"/>
      <c r="AA1545" s="49"/>
      <c r="AB1545" s="49"/>
      <c r="AC1545" s="49"/>
    </row>
    <row r="1546" spans="1:29">
      <c r="A1546" s="105">
        <v>2100</v>
      </c>
      <c r="B1546" s="111">
        <v>23.696358</v>
      </c>
      <c r="C1546" s="112">
        <v>1.1275319999999998E-2</v>
      </c>
      <c r="D1546" s="354"/>
      <c r="E1546" s="129"/>
      <c r="H1546" s="72"/>
      <c r="I1546" s="73"/>
      <c r="J1546" s="49"/>
      <c r="K1546" s="49"/>
      <c r="L1546" s="49"/>
      <c r="M1546" s="49"/>
      <c r="N1546" s="49"/>
      <c r="O1546" s="49"/>
      <c r="P1546" s="49"/>
      <c r="Q1546" s="49"/>
      <c r="R1546" s="49"/>
      <c r="S1546" s="49"/>
      <c r="T1546" s="49"/>
      <c r="U1546" s="49"/>
      <c r="V1546" s="49"/>
      <c r="W1546" s="49"/>
      <c r="X1546" s="49"/>
      <c r="Y1546" s="49"/>
      <c r="Z1546" s="49"/>
      <c r="AA1546" s="49"/>
      <c r="AB1546" s="49"/>
      <c r="AC1546" s="49"/>
    </row>
    <row r="1547" spans="1:29">
      <c r="A1547" s="105">
        <v>2800</v>
      </c>
      <c r="B1547" s="111">
        <v>31.055882999999998</v>
      </c>
      <c r="C1547" s="112">
        <v>1.110364E-2</v>
      </c>
      <c r="D1547" s="354"/>
      <c r="E1547" s="129"/>
      <c r="H1547" s="72"/>
      <c r="I1547" s="73"/>
      <c r="J1547" s="49"/>
      <c r="K1547" s="49"/>
      <c r="L1547" s="49"/>
      <c r="M1547" s="49"/>
      <c r="N1547" s="49"/>
      <c r="O1547" s="49"/>
      <c r="P1547" s="49"/>
      <c r="Q1547" s="49"/>
      <c r="R1547" s="49"/>
      <c r="S1547" s="49"/>
      <c r="T1547" s="49"/>
      <c r="U1547" s="49"/>
      <c r="V1547" s="49"/>
      <c r="W1547" s="49"/>
      <c r="X1547" s="49"/>
      <c r="Y1547" s="49"/>
      <c r="Z1547" s="49"/>
      <c r="AA1547" s="49"/>
      <c r="AB1547" s="49"/>
      <c r="AC1547" s="49"/>
    </row>
    <row r="1548" spans="1:29">
      <c r="A1548" s="105">
        <v>3500</v>
      </c>
      <c r="B1548" s="111">
        <v>39.665726999999997</v>
      </c>
      <c r="C1548" s="112">
        <v>1.1329289999999999E-2</v>
      </c>
      <c r="D1548" s="354"/>
      <c r="E1548" s="129"/>
      <c r="H1548" s="72"/>
      <c r="I1548" s="73"/>
      <c r="J1548" s="49"/>
      <c r="K1548" s="49"/>
      <c r="L1548" s="49"/>
      <c r="M1548" s="49"/>
      <c r="N1548" s="49"/>
      <c r="O1548" s="49"/>
      <c r="P1548" s="49"/>
      <c r="Q1548" s="49"/>
      <c r="R1548" s="49"/>
      <c r="S1548" s="49"/>
      <c r="T1548" s="49"/>
      <c r="U1548" s="49"/>
      <c r="V1548" s="49"/>
      <c r="W1548" s="49"/>
      <c r="X1548" s="49"/>
      <c r="Y1548" s="49"/>
      <c r="Z1548" s="49"/>
      <c r="AA1548" s="49"/>
      <c r="AB1548" s="49"/>
      <c r="AC1548" s="49"/>
    </row>
    <row r="1549" spans="1:29">
      <c r="A1549" s="105">
        <v>5300</v>
      </c>
      <c r="B1549" s="111">
        <v>58.235596000000001</v>
      </c>
      <c r="C1549" s="112">
        <v>1.0984619999999999E-2</v>
      </c>
      <c r="D1549" s="354"/>
      <c r="E1549" s="129"/>
      <c r="H1549" s="72"/>
      <c r="I1549" s="73"/>
      <c r="J1549" s="49"/>
      <c r="K1549" s="49"/>
      <c r="L1549" s="49"/>
      <c r="M1549" s="49"/>
      <c r="N1549" s="49"/>
      <c r="O1549" s="49"/>
      <c r="P1549" s="49"/>
      <c r="Q1549" s="49"/>
      <c r="R1549" s="49"/>
      <c r="S1549" s="49"/>
      <c r="T1549" s="49"/>
      <c r="U1549" s="49"/>
      <c r="V1549" s="49"/>
      <c r="W1549" s="49"/>
      <c r="X1549" s="49"/>
      <c r="Y1549" s="49"/>
      <c r="Z1549" s="49"/>
      <c r="AA1549" s="49"/>
      <c r="AB1549" s="49"/>
      <c r="AC1549" s="49"/>
    </row>
    <row r="1550" spans="1:29">
      <c r="A1550" s="105">
        <v>7000</v>
      </c>
      <c r="B1550" s="111">
        <v>76.808780999999996</v>
      </c>
      <c r="C1550" s="112">
        <v>1.0969110000000001E-2</v>
      </c>
      <c r="D1550" s="354"/>
      <c r="E1550" s="129"/>
      <c r="H1550" s="72"/>
      <c r="I1550" s="73"/>
      <c r="J1550" s="49"/>
      <c r="K1550" s="49"/>
      <c r="L1550" s="49"/>
      <c r="M1550" s="49"/>
      <c r="N1550" s="49"/>
      <c r="O1550" s="49"/>
      <c r="P1550" s="49"/>
      <c r="Q1550" s="49"/>
      <c r="R1550" s="49"/>
      <c r="S1550" s="49"/>
      <c r="T1550" s="49"/>
      <c r="U1550" s="49"/>
      <c r="V1550" s="49"/>
      <c r="W1550" s="49"/>
      <c r="X1550" s="49"/>
      <c r="Y1550" s="49"/>
      <c r="Z1550" s="49"/>
      <c r="AA1550" s="49"/>
      <c r="AB1550" s="49"/>
      <c r="AC1550" s="49"/>
    </row>
    <row r="1551" spans="1:29">
      <c r="A1551" s="105">
        <v>10500</v>
      </c>
      <c r="B1551" s="111">
        <v>113.291031</v>
      </c>
      <c r="C1551" s="112">
        <v>1.079712E-2</v>
      </c>
      <c r="D1551" s="354"/>
      <c r="E1551" s="129"/>
      <c r="H1551" s="72"/>
      <c r="I1551" s="73"/>
      <c r="J1551" s="49"/>
      <c r="K1551" s="49"/>
      <c r="L1551" s="49"/>
      <c r="M1551" s="49"/>
      <c r="N1551" s="49"/>
      <c r="O1551" s="49"/>
      <c r="P1551" s="49"/>
      <c r="Q1551" s="49"/>
      <c r="R1551" s="49"/>
      <c r="S1551" s="49"/>
      <c r="T1551" s="49"/>
      <c r="U1551" s="49"/>
      <c r="V1551" s="49"/>
      <c r="W1551" s="49"/>
      <c r="X1551" s="49"/>
      <c r="Y1551" s="49"/>
      <c r="Z1551" s="49"/>
      <c r="AA1551" s="49"/>
      <c r="AB1551" s="49"/>
      <c r="AC1551" s="49"/>
    </row>
    <row r="1552" spans="1:29">
      <c r="A1552" s="105">
        <v>17500</v>
      </c>
      <c r="B1552" s="111">
        <v>173.99109000000001</v>
      </c>
      <c r="C1552" s="112">
        <v>9.9348500000000003E-3</v>
      </c>
      <c r="D1552" s="354"/>
      <c r="E1552" s="129"/>
      <c r="H1552" s="72"/>
      <c r="I1552" s="73"/>
      <c r="J1552" s="49"/>
      <c r="K1552" s="49"/>
      <c r="L1552" s="49"/>
      <c r="M1552" s="49"/>
      <c r="N1552" s="49"/>
      <c r="O1552" s="49"/>
      <c r="P1552" s="49"/>
      <c r="Q1552" s="49"/>
      <c r="R1552" s="49"/>
      <c r="S1552" s="49"/>
      <c r="T1552" s="49"/>
      <c r="U1552" s="49"/>
      <c r="V1552" s="49"/>
      <c r="W1552" s="49"/>
      <c r="X1552" s="49"/>
      <c r="Y1552" s="49"/>
      <c r="Z1552" s="49"/>
      <c r="AA1552" s="49"/>
      <c r="AB1552" s="49"/>
      <c r="AC1552" s="49"/>
    </row>
    <row r="1553" spans="1:29" ht="15.75" thickBot="1">
      <c r="A1553" s="108">
        <v>0</v>
      </c>
      <c r="B1553" s="109">
        <v>1.8848959999999998E-2</v>
      </c>
      <c r="C1553" s="109" t="s">
        <v>392</v>
      </c>
      <c r="D1553" s="354"/>
      <c r="E1553" s="129"/>
      <c r="H1553" s="87"/>
      <c r="I1553" s="73"/>
      <c r="J1553" s="49"/>
      <c r="K1553" s="49"/>
      <c r="L1553" s="49"/>
      <c r="M1553" s="49"/>
      <c r="N1553" s="49"/>
      <c r="O1553" s="49"/>
      <c r="P1553" s="49"/>
      <c r="Q1553" s="49"/>
      <c r="R1553" s="49"/>
      <c r="S1553" s="49"/>
      <c r="T1553" s="49"/>
      <c r="U1553" s="49"/>
      <c r="V1553" s="49"/>
      <c r="W1553" s="49"/>
      <c r="X1553" s="49"/>
      <c r="Y1553" s="49"/>
      <c r="Z1553" s="49"/>
      <c r="AA1553" s="49"/>
      <c r="AB1553" s="49"/>
      <c r="AC1553" s="49"/>
    </row>
    <row r="1554" spans="1:29" s="51" customFormat="1">
      <c r="A1554" s="115"/>
      <c r="B1554" s="56"/>
      <c r="C1554" s="56"/>
      <c r="D1554" s="372"/>
      <c r="E1554" s="114"/>
    </row>
    <row r="1555" spans="1:29" ht="16.5" thickBot="1">
      <c r="A1555" s="240" t="s">
        <v>662</v>
      </c>
      <c r="B1555" s="232"/>
      <c r="C1555" s="272"/>
      <c r="D1555" s="375"/>
      <c r="E1555" s="268"/>
      <c r="F1555" s="49"/>
      <c r="G1555" s="49"/>
      <c r="I1555" s="49"/>
      <c r="J1555" s="49"/>
      <c r="K1555" s="49"/>
      <c r="L1555" s="49"/>
      <c r="M1555" s="49"/>
      <c r="N1555" s="49"/>
      <c r="O1555" s="49"/>
      <c r="P1555" s="49"/>
      <c r="Q1555" s="49"/>
      <c r="R1555" s="49"/>
      <c r="S1555" s="49"/>
      <c r="T1555" s="49"/>
      <c r="U1555" s="49"/>
      <c r="V1555" s="49"/>
      <c r="W1555" s="49"/>
      <c r="X1555" s="49"/>
      <c r="Y1555" s="49"/>
      <c r="Z1555" s="49"/>
      <c r="AA1555" s="49"/>
      <c r="AB1555" s="49"/>
      <c r="AC1555" s="49"/>
    </row>
    <row r="1556" spans="1:29" ht="31.5" customHeight="1" thickBot="1">
      <c r="A1556" s="416" t="s">
        <v>390</v>
      </c>
      <c r="B1556" s="417"/>
      <c r="C1556" s="417"/>
      <c r="D1556" s="373"/>
      <c r="E1556" s="277"/>
      <c r="F1556" s="58"/>
      <c r="G1556" s="49"/>
      <c r="H1556" s="51"/>
      <c r="I1556" s="51"/>
      <c r="J1556" s="51"/>
      <c r="K1556" s="49"/>
      <c r="L1556" s="49"/>
      <c r="M1556" s="49"/>
      <c r="N1556" s="49"/>
      <c r="O1556" s="49"/>
      <c r="P1556" s="49"/>
      <c r="Q1556" s="49"/>
      <c r="R1556" s="49"/>
      <c r="S1556" s="49"/>
      <c r="T1556" s="49"/>
      <c r="U1556" s="49"/>
      <c r="V1556" s="49"/>
      <c r="W1556" s="49"/>
      <c r="X1556" s="49"/>
      <c r="Y1556" s="49"/>
      <c r="Z1556" s="49"/>
      <c r="AA1556" s="49"/>
      <c r="AB1556" s="49"/>
      <c r="AC1556" s="49"/>
    </row>
    <row r="1557" spans="1:29" ht="30.75" customHeight="1" thickBot="1">
      <c r="A1557" s="95" t="s">
        <v>391</v>
      </c>
      <c r="B1557" s="96" t="s">
        <v>394</v>
      </c>
      <c r="C1557" s="97" t="s">
        <v>395</v>
      </c>
      <c r="D1557" s="374"/>
      <c r="E1557" s="278"/>
      <c r="G1557" s="49"/>
      <c r="H1557" s="51"/>
      <c r="I1557" s="51"/>
      <c r="J1557" s="51"/>
      <c r="K1557" s="49"/>
      <c r="L1557" s="49"/>
      <c r="M1557" s="49"/>
      <c r="N1557" s="49"/>
      <c r="O1557" s="49"/>
      <c r="P1557" s="49"/>
      <c r="Q1557" s="49"/>
      <c r="R1557" s="49"/>
      <c r="S1557" s="49"/>
      <c r="T1557" s="49"/>
      <c r="U1557" s="49"/>
      <c r="V1557" s="49"/>
      <c r="W1557" s="49"/>
      <c r="X1557" s="49"/>
      <c r="Y1557" s="49"/>
      <c r="Z1557" s="49"/>
      <c r="AA1557" s="49"/>
      <c r="AB1557" s="49"/>
      <c r="AC1557" s="49"/>
    </row>
    <row r="1558" spans="1:29">
      <c r="A1558" s="116">
        <v>2100</v>
      </c>
      <c r="B1558" s="117">
        <v>21.63</v>
      </c>
      <c r="C1558" s="118">
        <v>1.03E-2</v>
      </c>
      <c r="D1558" s="374"/>
      <c r="E1558" s="280"/>
      <c r="F1558" s="49"/>
      <c r="G1558" s="49"/>
      <c r="I1558" s="49"/>
      <c r="J1558" s="49"/>
      <c r="K1558" s="49"/>
      <c r="L1558" s="49"/>
      <c r="M1558" s="49"/>
      <c r="N1558" s="49"/>
      <c r="O1558" s="49"/>
      <c r="P1558" s="49"/>
      <c r="Q1558" s="49"/>
      <c r="R1558" s="49"/>
      <c r="S1558" s="49"/>
      <c r="T1558" s="49"/>
      <c r="U1558" s="49"/>
      <c r="V1558" s="49"/>
      <c r="W1558" s="49"/>
      <c r="X1558" s="49"/>
      <c r="Y1558" s="49"/>
      <c r="Z1558" s="49"/>
      <c r="AA1558" s="49"/>
      <c r="AB1558" s="49"/>
      <c r="AC1558" s="49"/>
    </row>
    <row r="1559" spans="1:29">
      <c r="A1559" s="119">
        <v>3100</v>
      </c>
      <c r="B1559" s="120">
        <v>31</v>
      </c>
      <c r="C1559" s="121">
        <v>0.01</v>
      </c>
      <c r="D1559" s="374"/>
      <c r="E1559" s="280"/>
      <c r="F1559" s="49"/>
      <c r="G1559" s="49"/>
      <c r="I1559" s="49"/>
      <c r="J1559" s="49"/>
      <c r="K1559" s="49"/>
      <c r="L1559" s="49"/>
      <c r="M1559" s="49"/>
      <c r="N1559" s="49"/>
      <c r="O1559" s="49"/>
      <c r="P1559" s="49"/>
      <c r="Q1559" s="49"/>
      <c r="R1559" s="49"/>
      <c r="S1559" s="49"/>
      <c r="T1559" s="49"/>
      <c r="U1559" s="49"/>
      <c r="V1559" s="49"/>
      <c r="W1559" s="49"/>
      <c r="X1559" s="49"/>
      <c r="Y1559" s="49"/>
      <c r="Z1559" s="49"/>
      <c r="AA1559" s="49"/>
      <c r="AB1559" s="49"/>
      <c r="AC1559" s="49"/>
    </row>
    <row r="1560" spans="1:29">
      <c r="A1560" s="119">
        <v>4200</v>
      </c>
      <c r="B1560" s="120">
        <v>41.16</v>
      </c>
      <c r="C1560" s="121">
        <v>9.7999999999999997E-3</v>
      </c>
      <c r="D1560" s="374"/>
      <c r="E1560" s="280"/>
      <c r="F1560" s="49"/>
      <c r="G1560" s="49"/>
      <c r="I1560" s="49"/>
      <c r="J1560" s="49"/>
      <c r="K1560" s="49"/>
      <c r="L1560" s="49"/>
      <c r="M1560" s="49"/>
      <c r="N1560" s="49"/>
      <c r="O1560" s="49"/>
      <c r="P1560" s="49"/>
      <c r="Q1560" s="49"/>
      <c r="R1560" s="49"/>
      <c r="S1560" s="49"/>
      <c r="T1560" s="49"/>
      <c r="U1560" s="49"/>
      <c r="V1560" s="49"/>
      <c r="W1560" s="49"/>
      <c r="X1560" s="49"/>
      <c r="Y1560" s="49"/>
      <c r="Z1560" s="49"/>
      <c r="AA1560" s="49"/>
      <c r="AB1560" s="49"/>
      <c r="AC1560" s="49"/>
    </row>
    <row r="1561" spans="1:29">
      <c r="A1561" s="119">
        <v>5200</v>
      </c>
      <c r="B1561" s="120">
        <v>50.44</v>
      </c>
      <c r="C1561" s="121">
        <v>9.6999999999999986E-3</v>
      </c>
      <c r="D1561" s="374"/>
      <c r="E1561" s="280"/>
      <c r="F1561" s="49"/>
      <c r="G1561" s="49"/>
      <c r="I1561" s="49"/>
      <c r="J1561" s="49"/>
      <c r="K1561" s="49"/>
      <c r="L1561" s="49"/>
      <c r="M1561" s="49"/>
      <c r="N1561" s="49"/>
      <c r="O1561" s="49"/>
      <c r="P1561" s="49"/>
      <c r="Q1561" s="49"/>
      <c r="R1561" s="49"/>
      <c r="S1561" s="49"/>
      <c r="T1561" s="49"/>
      <c r="U1561" s="49"/>
      <c r="V1561" s="49"/>
      <c r="W1561" s="49"/>
      <c r="X1561" s="49"/>
      <c r="Y1561" s="49"/>
      <c r="Z1561" s="49"/>
      <c r="AA1561" s="49"/>
      <c r="AB1561" s="49"/>
      <c r="AC1561" s="49"/>
    </row>
    <row r="1562" spans="1:29">
      <c r="A1562" s="119">
        <v>7800</v>
      </c>
      <c r="B1562" s="120">
        <v>74.099999999999994</v>
      </c>
      <c r="C1562" s="121">
        <v>9.4999999999999998E-3</v>
      </c>
      <c r="D1562" s="374"/>
      <c r="E1562" s="280"/>
      <c r="F1562" s="49"/>
      <c r="G1562" s="49"/>
      <c r="I1562" s="49"/>
      <c r="J1562" s="49"/>
      <c r="K1562" s="49"/>
      <c r="L1562" s="49"/>
      <c r="M1562" s="49"/>
      <c r="N1562" s="49"/>
      <c r="O1562" s="49"/>
      <c r="P1562" s="49"/>
      <c r="Q1562" s="49"/>
      <c r="R1562" s="49"/>
      <c r="S1562" s="49"/>
      <c r="T1562" s="49"/>
      <c r="U1562" s="49"/>
      <c r="V1562" s="49"/>
      <c r="W1562" s="49"/>
      <c r="X1562" s="49"/>
      <c r="Y1562" s="49"/>
      <c r="Z1562" s="49"/>
      <c r="AA1562" s="49"/>
      <c r="AB1562" s="49"/>
      <c r="AC1562" s="49"/>
    </row>
    <row r="1563" spans="1:29">
      <c r="A1563" s="119">
        <v>10400</v>
      </c>
      <c r="B1563" s="120">
        <v>96.72</v>
      </c>
      <c r="C1563" s="121">
        <v>9.2999999999999992E-3</v>
      </c>
      <c r="D1563" s="374"/>
      <c r="E1563" s="280"/>
      <c r="F1563" s="49"/>
      <c r="G1563" s="49"/>
      <c r="I1563" s="49"/>
      <c r="J1563" s="49"/>
      <c r="K1563" s="49"/>
      <c r="L1563" s="49"/>
      <c r="M1563" s="49"/>
      <c r="N1563" s="49"/>
      <c r="O1563" s="49"/>
      <c r="P1563" s="49"/>
      <c r="Q1563" s="49"/>
      <c r="R1563" s="49"/>
      <c r="S1563" s="49"/>
      <c r="T1563" s="49"/>
      <c r="U1563" s="49"/>
      <c r="V1563" s="49"/>
      <c r="W1563" s="49"/>
      <c r="X1563" s="49"/>
      <c r="Y1563" s="49"/>
      <c r="Z1563" s="49"/>
      <c r="AA1563" s="49"/>
      <c r="AB1563" s="49"/>
      <c r="AC1563" s="49"/>
    </row>
    <row r="1564" spans="1:29">
      <c r="A1564" s="119">
        <v>15600</v>
      </c>
      <c r="B1564" s="120">
        <v>141.96</v>
      </c>
      <c r="C1564" s="121">
        <v>9.0999999999999987E-3</v>
      </c>
      <c r="D1564" s="374"/>
      <c r="E1564" s="280"/>
      <c r="F1564" s="49"/>
      <c r="G1564" s="49"/>
      <c r="I1564" s="49"/>
      <c r="J1564" s="49"/>
      <c r="K1564" s="49"/>
      <c r="L1564" s="49"/>
      <c r="M1564" s="49"/>
      <c r="N1564" s="49"/>
      <c r="O1564" s="49"/>
      <c r="P1564" s="49"/>
      <c r="Q1564" s="49"/>
      <c r="R1564" s="49"/>
      <c r="S1564" s="49"/>
      <c r="T1564" s="49"/>
      <c r="U1564" s="49"/>
      <c r="V1564" s="49"/>
      <c r="W1564" s="49"/>
      <c r="X1564" s="49"/>
      <c r="Y1564" s="49"/>
      <c r="Z1564" s="49"/>
      <c r="AA1564" s="49"/>
      <c r="AB1564" s="49"/>
      <c r="AC1564" s="49"/>
    </row>
    <row r="1565" spans="1:29" ht="15.75" thickBot="1">
      <c r="A1565" s="178">
        <v>26000</v>
      </c>
      <c r="B1565" s="179">
        <v>231.4</v>
      </c>
      <c r="C1565" s="125">
        <v>8.8999999999999999E-3</v>
      </c>
      <c r="D1565" s="374"/>
      <c r="E1565" s="280"/>
      <c r="F1565" s="49"/>
      <c r="G1565" s="49"/>
      <c r="I1565" s="49"/>
      <c r="J1565" s="49"/>
      <c r="K1565" s="49"/>
      <c r="L1565" s="49"/>
      <c r="M1565" s="49"/>
      <c r="N1565" s="49"/>
      <c r="O1565" s="49"/>
      <c r="P1565" s="49"/>
      <c r="Q1565" s="49"/>
      <c r="R1565" s="49"/>
      <c r="S1565" s="49"/>
      <c r="T1565" s="49"/>
      <c r="U1565" s="49"/>
      <c r="V1565" s="49"/>
      <c r="W1565" s="49"/>
      <c r="X1565" s="49"/>
      <c r="Y1565" s="49"/>
      <c r="Z1565" s="49"/>
      <c r="AA1565" s="49"/>
      <c r="AB1565" s="49"/>
      <c r="AC1565" s="49"/>
    </row>
    <row r="1566" spans="1:29" s="51" customFormat="1">
      <c r="A1566" s="115"/>
      <c r="B1566" s="56"/>
      <c r="C1566" s="56"/>
      <c r="D1566" s="376"/>
      <c r="E1566" s="281"/>
    </row>
    <row r="1567" spans="1:29" ht="16.5" thickBot="1">
      <c r="A1567" s="240" t="s">
        <v>663</v>
      </c>
      <c r="B1567" s="232"/>
      <c r="C1567" s="272"/>
      <c r="D1567" s="377"/>
      <c r="E1567" s="282"/>
      <c r="F1567" s="49"/>
      <c r="G1567" s="49"/>
      <c r="I1567" s="49"/>
      <c r="J1567" s="49"/>
      <c r="K1567" s="49"/>
      <c r="L1567" s="49"/>
      <c r="M1567" s="49"/>
      <c r="N1567" s="49"/>
      <c r="O1567" s="49"/>
      <c r="P1567" s="49"/>
      <c r="Q1567" s="49"/>
      <c r="R1567" s="49"/>
      <c r="S1567" s="49"/>
      <c r="T1567" s="49"/>
      <c r="U1567" s="49"/>
      <c r="V1567" s="49"/>
      <c r="W1567" s="49"/>
      <c r="X1567" s="49"/>
      <c r="Y1567" s="49"/>
      <c r="Z1567" s="49"/>
      <c r="AA1567" s="49"/>
      <c r="AB1567" s="49"/>
      <c r="AC1567" s="49"/>
    </row>
    <row r="1568" spans="1:29" ht="31.5" customHeight="1" thickBot="1">
      <c r="A1568" s="416" t="s">
        <v>390</v>
      </c>
      <c r="B1568" s="417"/>
      <c r="C1568" s="417"/>
      <c r="D1568" s="373"/>
      <c r="E1568" s="277"/>
      <c r="F1568" s="58"/>
      <c r="G1568" s="49"/>
      <c r="H1568" s="51"/>
      <c r="I1568" s="51"/>
      <c r="J1568" s="51"/>
      <c r="K1568" s="49"/>
      <c r="L1568" s="49"/>
      <c r="M1568" s="49"/>
      <c r="N1568" s="49"/>
      <c r="O1568" s="49"/>
      <c r="P1568" s="49"/>
      <c r="Q1568" s="49"/>
      <c r="R1568" s="49"/>
      <c r="S1568" s="49"/>
      <c r="T1568" s="49"/>
      <c r="U1568" s="49"/>
      <c r="V1568" s="49"/>
      <c r="W1568" s="49"/>
      <c r="X1568" s="49"/>
      <c r="Y1568" s="49"/>
      <c r="Z1568" s="49"/>
      <c r="AA1568" s="49"/>
      <c r="AB1568" s="49"/>
      <c r="AC1568" s="49"/>
    </row>
    <row r="1569" spans="1:29" ht="30.75" customHeight="1" thickBot="1">
      <c r="A1569" s="95" t="s">
        <v>391</v>
      </c>
      <c r="B1569" s="96" t="s">
        <v>394</v>
      </c>
      <c r="C1569" s="97" t="s">
        <v>395</v>
      </c>
      <c r="D1569" s="374"/>
      <c r="E1569" s="278"/>
      <c r="G1569" s="49"/>
      <c r="H1569" s="51"/>
      <c r="I1569" s="51"/>
      <c r="J1569" s="51"/>
      <c r="K1569" s="49"/>
      <c r="L1569" s="49"/>
      <c r="M1569" s="49"/>
      <c r="N1569" s="49"/>
      <c r="O1569" s="49"/>
      <c r="P1569" s="49"/>
      <c r="Q1569" s="49"/>
      <c r="R1569" s="49"/>
      <c r="S1569" s="49"/>
      <c r="T1569" s="49"/>
      <c r="U1569" s="49"/>
      <c r="V1569" s="49"/>
      <c r="W1569" s="49"/>
      <c r="X1569" s="49"/>
      <c r="Y1569" s="49"/>
      <c r="Z1569" s="49"/>
      <c r="AA1569" s="49"/>
      <c r="AB1569" s="49"/>
      <c r="AC1569" s="49"/>
    </row>
    <row r="1570" spans="1:29">
      <c r="A1570" s="116">
        <v>2800</v>
      </c>
      <c r="B1570" s="117">
        <v>25.76</v>
      </c>
      <c r="C1570" s="118">
        <v>9.1999999999999998E-3</v>
      </c>
      <c r="D1570" s="374"/>
      <c r="E1570" s="280"/>
      <c r="F1570" s="49"/>
      <c r="G1570" s="49"/>
      <c r="I1570" s="49"/>
      <c r="J1570" s="49"/>
      <c r="K1570" s="51"/>
      <c r="L1570" s="49"/>
      <c r="M1570" s="49"/>
      <c r="N1570" s="49"/>
      <c r="O1570" s="49"/>
      <c r="P1570" s="49"/>
      <c r="Q1570" s="49"/>
      <c r="R1570" s="49"/>
      <c r="S1570" s="49"/>
      <c r="T1570" s="49"/>
      <c r="U1570" s="49"/>
      <c r="V1570" s="49"/>
      <c r="W1570" s="49"/>
      <c r="X1570" s="49"/>
      <c r="Y1570" s="49"/>
      <c r="Z1570" s="49"/>
      <c r="AA1570" s="49"/>
      <c r="AB1570" s="49"/>
      <c r="AC1570" s="49"/>
    </row>
    <row r="1571" spans="1:29">
      <c r="A1571" s="119">
        <v>4200</v>
      </c>
      <c r="B1571" s="120">
        <v>37.799999999999997</v>
      </c>
      <c r="C1571" s="121">
        <v>8.9999999999999993E-3</v>
      </c>
      <c r="D1571" s="374"/>
      <c r="E1571" s="280"/>
      <c r="F1571" s="49"/>
      <c r="G1571" s="49"/>
      <c r="I1571" s="49"/>
      <c r="J1571" s="49"/>
      <c r="K1571" s="51"/>
      <c r="L1571" s="49"/>
      <c r="M1571" s="49"/>
      <c r="N1571" s="49"/>
      <c r="O1571" s="49"/>
      <c r="P1571" s="49"/>
      <c r="Q1571" s="49"/>
      <c r="R1571" s="49"/>
      <c r="S1571" s="49"/>
      <c r="T1571" s="49"/>
      <c r="U1571" s="49"/>
      <c r="V1571" s="49"/>
      <c r="W1571" s="49"/>
      <c r="X1571" s="49"/>
      <c r="Y1571" s="49"/>
      <c r="Z1571" s="49"/>
      <c r="AA1571" s="49"/>
      <c r="AB1571" s="49"/>
      <c r="AC1571" s="49"/>
    </row>
    <row r="1572" spans="1:29">
      <c r="A1572" s="119">
        <v>5600</v>
      </c>
      <c r="B1572" s="120">
        <v>49.28</v>
      </c>
      <c r="C1572" s="121">
        <v>8.7999999999999988E-3</v>
      </c>
      <c r="D1572" s="374"/>
      <c r="E1572" s="280"/>
      <c r="F1572" s="49"/>
      <c r="G1572" s="49"/>
      <c r="I1572" s="49"/>
      <c r="J1572" s="49"/>
      <c r="K1572" s="51"/>
      <c r="L1572" s="49"/>
      <c r="M1572" s="49"/>
      <c r="N1572" s="49"/>
      <c r="O1572" s="49"/>
      <c r="P1572" s="49"/>
      <c r="Q1572" s="49"/>
      <c r="R1572" s="49"/>
      <c r="S1572" s="49"/>
      <c r="T1572" s="49"/>
      <c r="U1572" s="49"/>
      <c r="V1572" s="49"/>
      <c r="W1572" s="49"/>
      <c r="X1572" s="49"/>
      <c r="Y1572" s="49"/>
      <c r="Z1572" s="49"/>
      <c r="AA1572" s="49"/>
      <c r="AB1572" s="49"/>
      <c r="AC1572" s="49"/>
    </row>
    <row r="1573" spans="1:29">
      <c r="A1573" s="119">
        <v>7000</v>
      </c>
      <c r="B1573" s="120">
        <v>60.9</v>
      </c>
      <c r="C1573" s="121">
        <v>8.6999999999999994E-3</v>
      </c>
      <c r="D1573" s="374"/>
      <c r="E1573" s="280"/>
      <c r="F1573" s="49"/>
      <c r="G1573" s="49"/>
      <c r="I1573" s="49"/>
      <c r="J1573" s="49"/>
      <c r="K1573" s="51"/>
      <c r="L1573" s="49"/>
      <c r="M1573" s="49"/>
      <c r="N1573" s="49"/>
      <c r="O1573" s="49"/>
      <c r="P1573" s="49"/>
      <c r="Q1573" s="49"/>
      <c r="R1573" s="49"/>
      <c r="S1573" s="49"/>
      <c r="T1573" s="49"/>
      <c r="U1573" s="49"/>
      <c r="V1573" s="49"/>
      <c r="W1573" s="49"/>
      <c r="X1573" s="49"/>
      <c r="Y1573" s="49"/>
      <c r="Z1573" s="49"/>
      <c r="AA1573" s="49"/>
      <c r="AB1573" s="49"/>
      <c r="AC1573" s="49"/>
    </row>
    <row r="1574" spans="1:29">
      <c r="A1574" s="119">
        <v>10500</v>
      </c>
      <c r="B1574" s="120">
        <v>89.25</v>
      </c>
      <c r="C1574" s="121">
        <v>8.4999999999999989E-3</v>
      </c>
      <c r="D1574" s="374"/>
      <c r="E1574" s="280"/>
      <c r="F1574" s="49"/>
      <c r="G1574" s="49"/>
      <c r="I1574" s="49"/>
      <c r="J1574" s="49"/>
      <c r="K1574" s="51"/>
      <c r="L1574" s="49"/>
      <c r="M1574" s="49"/>
      <c r="N1574" s="49"/>
      <c r="O1574" s="49"/>
      <c r="P1574" s="49"/>
      <c r="Q1574" s="49"/>
      <c r="R1574" s="49"/>
      <c r="S1574" s="49"/>
      <c r="T1574" s="49"/>
      <c r="U1574" s="49"/>
      <c r="V1574" s="49"/>
      <c r="W1574" s="49"/>
      <c r="X1574" s="49"/>
      <c r="Y1574" s="49"/>
      <c r="Z1574" s="49"/>
      <c r="AA1574" s="49"/>
      <c r="AB1574" s="49"/>
      <c r="AC1574" s="49"/>
    </row>
    <row r="1575" spans="1:29">
      <c r="A1575" s="119">
        <v>14000</v>
      </c>
      <c r="B1575" s="120">
        <v>117.6</v>
      </c>
      <c r="C1575" s="121">
        <v>8.3999999999999995E-3</v>
      </c>
      <c r="D1575" s="374"/>
      <c r="E1575" s="280"/>
      <c r="F1575" s="49"/>
      <c r="G1575" s="49"/>
      <c r="I1575" s="49"/>
      <c r="J1575" s="49"/>
      <c r="K1575" s="51"/>
      <c r="L1575" s="49"/>
      <c r="M1575" s="49"/>
      <c r="N1575" s="49"/>
      <c r="O1575" s="49"/>
      <c r="P1575" s="49"/>
      <c r="Q1575" s="49"/>
      <c r="R1575" s="49"/>
      <c r="S1575" s="49"/>
      <c r="T1575" s="49"/>
      <c r="U1575" s="49"/>
      <c r="V1575" s="49"/>
      <c r="W1575" s="49"/>
      <c r="X1575" s="49"/>
      <c r="Y1575" s="49"/>
      <c r="Z1575" s="49"/>
      <c r="AA1575" s="49"/>
      <c r="AB1575" s="49"/>
      <c r="AC1575" s="49"/>
    </row>
    <row r="1576" spans="1:29">
      <c r="A1576" s="119">
        <v>21000</v>
      </c>
      <c r="B1576" s="120">
        <v>172.2</v>
      </c>
      <c r="C1576" s="121">
        <v>8.199999999999999E-3</v>
      </c>
      <c r="D1576" s="374"/>
      <c r="E1576" s="280"/>
      <c r="F1576" s="49"/>
      <c r="G1576" s="49"/>
      <c r="I1576" s="49"/>
      <c r="J1576" s="49"/>
      <c r="K1576" s="51"/>
      <c r="L1576" s="49"/>
      <c r="M1576" s="49"/>
      <c r="N1576" s="49"/>
      <c r="O1576" s="49"/>
      <c r="P1576" s="49"/>
      <c r="Q1576" s="49"/>
      <c r="R1576" s="49"/>
      <c r="S1576" s="49"/>
      <c r="T1576" s="49"/>
      <c r="U1576" s="49"/>
      <c r="V1576" s="49"/>
      <c r="W1576" s="49"/>
      <c r="X1576" s="49"/>
      <c r="Y1576" s="49"/>
      <c r="Z1576" s="49"/>
      <c r="AA1576" s="49"/>
      <c r="AB1576" s="49"/>
      <c r="AC1576" s="49"/>
    </row>
    <row r="1577" spans="1:29" ht="15.75" thickBot="1">
      <c r="A1577" s="178">
        <v>35000</v>
      </c>
      <c r="B1577" s="179">
        <v>280</v>
      </c>
      <c r="C1577" s="125">
        <v>8.0000000000000002E-3</v>
      </c>
      <c r="D1577" s="374"/>
      <c r="E1577" s="280"/>
      <c r="F1577" s="49"/>
      <c r="G1577" s="49"/>
      <c r="I1577" s="49"/>
      <c r="J1577" s="49"/>
      <c r="K1577" s="51"/>
      <c r="L1577" s="49"/>
      <c r="M1577" s="49"/>
      <c r="N1577" s="49"/>
      <c r="O1577" s="49"/>
      <c r="P1577" s="49"/>
      <c r="Q1577" s="49"/>
      <c r="R1577" s="49"/>
      <c r="S1577" s="49"/>
      <c r="T1577" s="49"/>
      <c r="U1577" s="49"/>
      <c r="V1577" s="49"/>
      <c r="W1577" s="49"/>
      <c r="X1577" s="49"/>
      <c r="Y1577" s="49"/>
      <c r="Z1577" s="49"/>
      <c r="AA1577" s="49"/>
      <c r="AB1577" s="49"/>
      <c r="AC1577" s="49"/>
    </row>
    <row r="1578" spans="1:29" s="51" customFormat="1">
      <c r="A1578" s="115"/>
      <c r="B1578" s="56"/>
      <c r="C1578" s="56"/>
      <c r="D1578" s="376"/>
      <c r="E1578" s="281"/>
    </row>
    <row r="1579" spans="1:29" ht="16.5" thickBot="1">
      <c r="A1579" s="240" t="s">
        <v>664</v>
      </c>
      <c r="B1579" s="232"/>
      <c r="C1579" s="272"/>
      <c r="D1579" s="377"/>
      <c r="E1579" s="282"/>
      <c r="F1579" s="49"/>
      <c r="G1579" s="49"/>
      <c r="I1579" s="49"/>
      <c r="J1579" s="49"/>
      <c r="K1579" s="51"/>
      <c r="L1579" s="49"/>
      <c r="M1579" s="49"/>
      <c r="N1579" s="49"/>
      <c r="O1579" s="49"/>
      <c r="P1579" s="49"/>
      <c r="Q1579" s="49"/>
      <c r="R1579" s="49"/>
      <c r="S1579" s="49"/>
      <c r="T1579" s="49"/>
      <c r="U1579" s="49"/>
      <c r="V1579" s="49"/>
      <c r="W1579" s="49"/>
      <c r="X1579" s="49"/>
      <c r="Y1579" s="49"/>
      <c r="Z1579" s="49"/>
      <c r="AA1579" s="49"/>
      <c r="AB1579" s="49"/>
      <c r="AC1579" s="49"/>
    </row>
    <row r="1580" spans="1:29" ht="31.5" customHeight="1" thickBot="1">
      <c r="A1580" s="416" t="s">
        <v>390</v>
      </c>
      <c r="B1580" s="417"/>
      <c r="C1580" s="417"/>
      <c r="D1580" s="373"/>
      <c r="E1580" s="277"/>
      <c r="F1580" s="58"/>
      <c r="G1580" s="49"/>
      <c r="H1580" s="51"/>
      <c r="I1580" s="51"/>
      <c r="J1580" s="51"/>
      <c r="K1580" s="51"/>
      <c r="L1580" s="49"/>
      <c r="M1580" s="49"/>
      <c r="N1580" s="49"/>
      <c r="O1580" s="49"/>
      <c r="P1580" s="49"/>
      <c r="Q1580" s="49"/>
      <c r="R1580" s="49"/>
      <c r="S1580" s="49"/>
      <c r="T1580" s="49"/>
      <c r="U1580" s="49"/>
      <c r="V1580" s="49"/>
      <c r="W1580" s="49"/>
      <c r="X1580" s="49"/>
      <c r="Y1580" s="49"/>
      <c r="Z1580" s="49"/>
      <c r="AA1580" s="49"/>
      <c r="AB1580" s="49"/>
      <c r="AC1580" s="49"/>
    </row>
    <row r="1581" spans="1:29" ht="30.75" customHeight="1" thickBot="1">
      <c r="A1581" s="95" t="s">
        <v>391</v>
      </c>
      <c r="B1581" s="247" t="s">
        <v>394</v>
      </c>
      <c r="C1581" s="97" t="s">
        <v>395</v>
      </c>
      <c r="D1581" s="374"/>
      <c r="E1581" s="278"/>
      <c r="G1581" s="49"/>
      <c r="H1581" s="51"/>
      <c r="I1581" s="51"/>
      <c r="J1581" s="51"/>
      <c r="K1581" s="51"/>
      <c r="L1581" s="49"/>
      <c r="M1581" s="49"/>
      <c r="N1581" s="49"/>
      <c r="O1581" s="49"/>
      <c r="P1581" s="49"/>
      <c r="Q1581" s="49"/>
      <c r="R1581" s="49"/>
      <c r="S1581" s="49"/>
      <c r="T1581" s="49"/>
      <c r="U1581" s="49"/>
      <c r="V1581" s="49"/>
      <c r="W1581" s="49"/>
      <c r="X1581" s="49"/>
      <c r="Y1581" s="49"/>
      <c r="Z1581" s="49"/>
      <c r="AA1581" s="49"/>
      <c r="AB1581" s="49"/>
      <c r="AC1581" s="49"/>
    </row>
    <row r="1582" spans="1:29">
      <c r="A1582" s="116">
        <v>4000</v>
      </c>
      <c r="B1582" s="117">
        <v>35.200000000000003</v>
      </c>
      <c r="C1582" s="118">
        <v>8.7999999999999988E-3</v>
      </c>
      <c r="D1582" s="374"/>
      <c r="E1582" s="280"/>
      <c r="F1582" s="49"/>
      <c r="G1582" s="49"/>
      <c r="I1582" s="49"/>
      <c r="J1582" s="49"/>
      <c r="K1582" s="51"/>
      <c r="L1582" s="49"/>
      <c r="M1582" s="49"/>
      <c r="N1582" s="49"/>
      <c r="O1582" s="49"/>
      <c r="P1582" s="49"/>
      <c r="Q1582" s="49"/>
      <c r="R1582" s="49"/>
      <c r="S1582" s="49"/>
      <c r="T1582" s="49"/>
      <c r="U1582" s="49"/>
      <c r="V1582" s="49"/>
      <c r="W1582" s="49"/>
      <c r="X1582" s="49"/>
      <c r="Y1582" s="49"/>
      <c r="Z1582" s="49"/>
      <c r="AA1582" s="49"/>
      <c r="AB1582" s="49"/>
      <c r="AC1582" s="49"/>
    </row>
    <row r="1583" spans="1:29">
      <c r="A1583" s="119">
        <v>6000</v>
      </c>
      <c r="B1583" s="120">
        <v>51.6</v>
      </c>
      <c r="C1583" s="121">
        <v>8.6E-3</v>
      </c>
      <c r="D1583" s="374"/>
      <c r="E1583" s="280"/>
      <c r="F1583" s="49"/>
      <c r="G1583" s="49"/>
      <c r="I1583" s="49"/>
      <c r="J1583" s="49"/>
      <c r="K1583" s="51"/>
      <c r="L1583" s="49"/>
      <c r="M1583" s="49"/>
      <c r="N1583" s="49"/>
      <c r="O1583" s="49"/>
      <c r="P1583" s="49"/>
      <c r="Q1583" s="49"/>
      <c r="R1583" s="49"/>
      <c r="S1583" s="49"/>
      <c r="T1583" s="49"/>
      <c r="U1583" s="49"/>
      <c r="V1583" s="49"/>
      <c r="W1583" s="49"/>
      <c r="X1583" s="49"/>
      <c r="Y1583" s="49"/>
      <c r="Z1583" s="49"/>
      <c r="AA1583" s="49"/>
      <c r="AB1583" s="49"/>
      <c r="AC1583" s="49"/>
    </row>
    <row r="1584" spans="1:29">
      <c r="A1584" s="119">
        <v>8000</v>
      </c>
      <c r="B1584" s="120">
        <v>67.2</v>
      </c>
      <c r="C1584" s="121">
        <v>8.3999999999999995E-3</v>
      </c>
      <c r="D1584" s="374"/>
      <c r="E1584" s="280"/>
      <c r="F1584" s="49"/>
      <c r="G1584" s="49"/>
      <c r="I1584" s="49"/>
      <c r="J1584" s="49"/>
      <c r="K1584" s="51"/>
      <c r="L1584" s="49"/>
      <c r="M1584" s="49"/>
      <c r="N1584" s="49"/>
      <c r="O1584" s="49"/>
      <c r="P1584" s="49"/>
      <c r="Q1584" s="49"/>
      <c r="R1584" s="49"/>
      <c r="S1584" s="49"/>
      <c r="T1584" s="49"/>
      <c r="U1584" s="49"/>
      <c r="V1584" s="49"/>
      <c r="W1584" s="49"/>
      <c r="X1584" s="49"/>
      <c r="Y1584" s="49"/>
      <c r="Z1584" s="49"/>
      <c r="AA1584" s="49"/>
      <c r="AB1584" s="49"/>
      <c r="AC1584" s="49"/>
    </row>
    <row r="1585" spans="1:29">
      <c r="A1585" s="119">
        <v>10000</v>
      </c>
      <c r="B1585" s="120">
        <v>83</v>
      </c>
      <c r="C1585" s="121">
        <v>8.3000000000000001E-3</v>
      </c>
      <c r="D1585" s="374"/>
      <c r="E1585" s="280"/>
      <c r="F1585" s="49"/>
      <c r="G1585" s="49"/>
      <c r="I1585" s="49"/>
      <c r="J1585" s="49"/>
      <c r="K1585" s="51"/>
      <c r="L1585" s="49"/>
      <c r="M1585" s="49"/>
      <c r="N1585" s="49"/>
      <c r="O1585" s="49"/>
      <c r="P1585" s="49"/>
      <c r="Q1585" s="49"/>
      <c r="R1585" s="49"/>
      <c r="S1585" s="49"/>
      <c r="T1585" s="49"/>
      <c r="U1585" s="49"/>
      <c r="V1585" s="49"/>
      <c r="W1585" s="49"/>
      <c r="X1585" s="49"/>
      <c r="Y1585" s="49"/>
      <c r="Z1585" s="49"/>
      <c r="AA1585" s="49"/>
      <c r="AB1585" s="49"/>
      <c r="AC1585" s="49"/>
    </row>
    <row r="1586" spans="1:29">
      <c r="A1586" s="119">
        <v>15000</v>
      </c>
      <c r="B1586" s="120">
        <v>123</v>
      </c>
      <c r="C1586" s="121">
        <v>8.199999999999999E-3</v>
      </c>
      <c r="D1586" s="374"/>
      <c r="E1586" s="280"/>
      <c r="F1586" s="49"/>
      <c r="G1586" s="49"/>
      <c r="I1586" s="49"/>
      <c r="J1586" s="49"/>
      <c r="K1586" s="51"/>
      <c r="L1586" s="49"/>
      <c r="M1586" s="49"/>
      <c r="N1586" s="49"/>
      <c r="O1586" s="49"/>
      <c r="P1586" s="49"/>
      <c r="Q1586" s="49"/>
      <c r="R1586" s="49"/>
      <c r="S1586" s="49"/>
      <c r="T1586" s="49"/>
      <c r="U1586" s="49"/>
      <c r="V1586" s="49"/>
      <c r="W1586" s="49"/>
      <c r="X1586" s="49"/>
      <c r="Y1586" s="49"/>
      <c r="Z1586" s="49"/>
      <c r="AA1586" s="49"/>
      <c r="AB1586" s="49"/>
      <c r="AC1586" s="49"/>
    </row>
    <row r="1587" spans="1:29">
      <c r="A1587" s="119">
        <v>20000</v>
      </c>
      <c r="B1587" s="120">
        <v>160</v>
      </c>
      <c r="C1587" s="121">
        <v>8.0000000000000002E-3</v>
      </c>
      <c r="D1587" s="374"/>
      <c r="E1587" s="280"/>
      <c r="F1587" s="49"/>
      <c r="G1587" s="49"/>
      <c r="I1587" s="49"/>
      <c r="J1587" s="49"/>
      <c r="K1587" s="51"/>
      <c r="L1587" s="49"/>
      <c r="M1587" s="49"/>
      <c r="N1587" s="49"/>
      <c r="O1587" s="49"/>
      <c r="P1587" s="49"/>
      <c r="Q1587" s="49"/>
      <c r="R1587" s="49"/>
      <c r="S1587" s="49"/>
      <c r="T1587" s="49"/>
      <c r="U1587" s="49"/>
      <c r="V1587" s="49"/>
      <c r="W1587" s="49"/>
      <c r="X1587" s="49"/>
      <c r="Y1587" s="49"/>
      <c r="Z1587" s="49"/>
      <c r="AA1587" s="49"/>
      <c r="AB1587" s="49"/>
      <c r="AC1587" s="49"/>
    </row>
    <row r="1588" spans="1:29">
      <c r="A1588" s="119">
        <v>30000</v>
      </c>
      <c r="B1588" s="120">
        <v>237</v>
      </c>
      <c r="C1588" s="121">
        <v>7.899999999999999E-3</v>
      </c>
      <c r="D1588" s="374"/>
      <c r="E1588" s="280"/>
      <c r="F1588" s="49"/>
      <c r="G1588" s="49"/>
      <c r="I1588" s="49"/>
      <c r="J1588" s="49"/>
      <c r="K1588" s="51"/>
      <c r="L1588" s="49"/>
      <c r="M1588" s="49"/>
      <c r="N1588" s="49"/>
      <c r="O1588" s="49"/>
      <c r="P1588" s="49"/>
      <c r="Q1588" s="49"/>
      <c r="R1588" s="49"/>
      <c r="S1588" s="49"/>
      <c r="T1588" s="49"/>
      <c r="U1588" s="49"/>
      <c r="V1588" s="49"/>
      <c r="W1588" s="49"/>
      <c r="X1588" s="49"/>
      <c r="Y1588" s="49"/>
      <c r="Z1588" s="49"/>
      <c r="AA1588" s="49"/>
      <c r="AB1588" s="49"/>
      <c r="AC1588" s="49"/>
    </row>
    <row r="1589" spans="1:29" ht="15.75" thickBot="1">
      <c r="A1589" s="178">
        <v>50000</v>
      </c>
      <c r="B1589" s="179">
        <v>385</v>
      </c>
      <c r="C1589" s="125">
        <v>7.7000000000000002E-3</v>
      </c>
      <c r="D1589" s="374"/>
      <c r="E1589" s="280"/>
      <c r="F1589" s="49"/>
      <c r="G1589" s="49"/>
      <c r="I1589" s="49"/>
      <c r="J1589" s="49"/>
      <c r="K1589" s="51"/>
      <c r="L1589" s="49"/>
      <c r="M1589" s="49"/>
      <c r="N1589" s="49"/>
      <c r="O1589" s="49"/>
      <c r="P1589" s="49"/>
      <c r="Q1589" s="49"/>
      <c r="R1589" s="49"/>
      <c r="S1589" s="49"/>
      <c r="T1589" s="49"/>
      <c r="U1589" s="49"/>
      <c r="V1589" s="49"/>
      <c r="W1589" s="49"/>
      <c r="X1589" s="49"/>
      <c r="Y1589" s="49"/>
      <c r="Z1589" s="49"/>
      <c r="AA1589" s="49"/>
      <c r="AB1589" s="49"/>
      <c r="AC1589" s="49"/>
    </row>
    <row r="1590" spans="1:29" s="51" customFormat="1">
      <c r="A1590" s="115"/>
      <c r="B1590" s="56"/>
      <c r="C1590" s="56"/>
      <c r="D1590" s="376"/>
      <c r="E1590" s="281"/>
    </row>
    <row r="1591" spans="1:29" ht="16.5" thickBot="1">
      <c r="A1591" s="240" t="s">
        <v>665</v>
      </c>
      <c r="B1591" s="232"/>
      <c r="C1591" s="272"/>
      <c r="D1591" s="377"/>
      <c r="E1591" s="282"/>
      <c r="F1591" s="49"/>
      <c r="G1591" s="49"/>
      <c r="I1591" s="49"/>
      <c r="J1591" s="49"/>
      <c r="K1591" s="51"/>
      <c r="L1591" s="49"/>
      <c r="M1591" s="49"/>
      <c r="N1591" s="49"/>
      <c r="O1591" s="49"/>
      <c r="P1591" s="49"/>
      <c r="Q1591" s="49"/>
      <c r="R1591" s="49"/>
      <c r="S1591" s="49"/>
      <c r="T1591" s="49"/>
      <c r="U1591" s="49"/>
      <c r="V1591" s="49"/>
      <c r="W1591" s="49"/>
      <c r="X1591" s="49"/>
      <c r="Y1591" s="49"/>
      <c r="Z1591" s="49"/>
      <c r="AA1591" s="49"/>
      <c r="AB1591" s="49"/>
      <c r="AC1591" s="49"/>
    </row>
    <row r="1592" spans="1:29" ht="31.5" customHeight="1" thickBot="1">
      <c r="A1592" s="416" t="s">
        <v>390</v>
      </c>
      <c r="B1592" s="417"/>
      <c r="C1592" s="417"/>
      <c r="D1592" s="373"/>
      <c r="E1592" s="277"/>
      <c r="F1592" s="58"/>
      <c r="G1592" s="49"/>
      <c r="H1592" s="51"/>
      <c r="I1592" s="51"/>
      <c r="J1592" s="51"/>
      <c r="K1592" s="51"/>
      <c r="L1592" s="49"/>
      <c r="M1592" s="49"/>
      <c r="N1592" s="49"/>
      <c r="O1592" s="49"/>
      <c r="P1592" s="49"/>
      <c r="Q1592" s="49"/>
      <c r="R1592" s="49"/>
      <c r="S1592" s="49"/>
      <c r="T1592" s="49"/>
      <c r="U1592" s="49"/>
      <c r="V1592" s="49"/>
      <c r="W1592" s="49"/>
      <c r="X1592" s="49"/>
      <c r="Y1592" s="49"/>
      <c r="Z1592" s="49"/>
      <c r="AA1592" s="49"/>
      <c r="AB1592" s="49"/>
      <c r="AC1592" s="49"/>
    </row>
    <row r="1593" spans="1:29" ht="30.75" customHeight="1" thickBot="1">
      <c r="A1593" s="95" t="s">
        <v>391</v>
      </c>
      <c r="B1593" s="96" t="s">
        <v>394</v>
      </c>
      <c r="C1593" s="97" t="s">
        <v>395</v>
      </c>
      <c r="D1593" s="374"/>
      <c r="E1593" s="278"/>
      <c r="G1593" s="49"/>
      <c r="H1593" s="51"/>
      <c r="I1593" s="51"/>
      <c r="J1593" s="51"/>
      <c r="K1593" s="51"/>
      <c r="L1593" s="49"/>
      <c r="M1593" s="49"/>
      <c r="N1593" s="49"/>
      <c r="O1593" s="49"/>
      <c r="P1593" s="49"/>
      <c r="Q1593" s="49"/>
      <c r="R1593" s="49"/>
      <c r="S1593" s="49"/>
      <c r="T1593" s="49"/>
      <c r="U1593" s="49"/>
      <c r="V1593" s="49"/>
      <c r="W1593" s="49"/>
      <c r="X1593" s="49"/>
      <c r="Y1593" s="49"/>
      <c r="Z1593" s="49"/>
      <c r="AA1593" s="49"/>
      <c r="AB1593" s="49"/>
      <c r="AC1593" s="49"/>
    </row>
    <row r="1594" spans="1:29">
      <c r="A1594" s="102">
        <v>4800</v>
      </c>
      <c r="B1594" s="103">
        <v>50.4</v>
      </c>
      <c r="C1594" s="104">
        <v>1.0500000000000001E-2</v>
      </c>
      <c r="D1594" s="374"/>
      <c r="E1594" s="279"/>
      <c r="F1594" s="49"/>
      <c r="G1594" s="49"/>
      <c r="I1594" s="49"/>
      <c r="J1594" s="49"/>
      <c r="K1594" s="51"/>
      <c r="L1594" s="49"/>
      <c r="M1594" s="49"/>
      <c r="N1594" s="49"/>
      <c r="O1594" s="49"/>
      <c r="P1594" s="49"/>
      <c r="Q1594" s="49"/>
      <c r="R1594" s="49"/>
      <c r="S1594" s="49"/>
      <c r="T1594" s="49"/>
      <c r="U1594" s="49"/>
      <c r="V1594" s="49"/>
      <c r="W1594" s="49"/>
      <c r="X1594" s="49"/>
      <c r="Y1594" s="49"/>
      <c r="Z1594" s="49"/>
      <c r="AA1594" s="49"/>
      <c r="AB1594" s="49"/>
      <c r="AC1594" s="49"/>
    </row>
    <row r="1595" spans="1:29">
      <c r="A1595" s="105">
        <v>7200</v>
      </c>
      <c r="B1595" s="106">
        <v>70.56</v>
      </c>
      <c r="C1595" s="107">
        <v>9.7999999999999997E-3</v>
      </c>
      <c r="D1595" s="374"/>
      <c r="E1595" s="279"/>
      <c r="F1595" s="49"/>
      <c r="G1595" s="49"/>
      <c r="I1595" s="49"/>
      <c r="J1595" s="49"/>
      <c r="K1595" s="51"/>
      <c r="L1595" s="49"/>
      <c r="M1595" s="49"/>
      <c r="N1595" s="49"/>
      <c r="O1595" s="49"/>
      <c r="P1595" s="49"/>
      <c r="Q1595" s="49"/>
      <c r="R1595" s="49"/>
      <c r="S1595" s="49"/>
      <c r="T1595" s="49"/>
      <c r="U1595" s="49"/>
      <c r="V1595" s="49"/>
      <c r="W1595" s="49"/>
      <c r="X1595" s="49"/>
      <c r="Y1595" s="49"/>
      <c r="Z1595" s="49"/>
      <c r="AA1595" s="49"/>
      <c r="AB1595" s="49"/>
      <c r="AC1595" s="49"/>
    </row>
    <row r="1596" spans="1:29">
      <c r="A1596" s="105">
        <v>9600</v>
      </c>
      <c r="B1596" s="106">
        <v>90.24</v>
      </c>
      <c r="C1596" s="107">
        <v>9.4000000000000004E-3</v>
      </c>
      <c r="D1596" s="374"/>
      <c r="E1596" s="279"/>
      <c r="F1596" s="49"/>
      <c r="G1596" s="49"/>
      <c r="I1596" s="49"/>
      <c r="J1596" s="49"/>
      <c r="K1596" s="51"/>
      <c r="L1596" s="49"/>
      <c r="M1596" s="49"/>
      <c r="N1596" s="49"/>
      <c r="O1596" s="49"/>
      <c r="P1596" s="49"/>
      <c r="Q1596" s="49"/>
      <c r="R1596" s="49"/>
      <c r="S1596" s="49"/>
      <c r="T1596" s="49"/>
      <c r="U1596" s="49"/>
      <c r="V1596" s="49"/>
      <c r="W1596" s="49"/>
      <c r="X1596" s="49"/>
      <c r="Y1596" s="49"/>
      <c r="Z1596" s="49"/>
      <c r="AA1596" s="49"/>
      <c r="AB1596" s="49"/>
      <c r="AC1596" s="49"/>
    </row>
    <row r="1597" spans="1:29">
      <c r="A1597" s="105">
        <v>12000</v>
      </c>
      <c r="B1597" s="106">
        <v>109.2</v>
      </c>
      <c r="C1597" s="107">
        <v>9.1000000000000004E-3</v>
      </c>
      <c r="D1597" s="374"/>
      <c r="E1597" s="279"/>
      <c r="F1597" s="49"/>
      <c r="G1597" s="49"/>
      <c r="I1597" s="49"/>
      <c r="J1597" s="49"/>
      <c r="K1597" s="51"/>
      <c r="L1597" s="49"/>
      <c r="M1597" s="49"/>
      <c r="N1597" s="49"/>
      <c r="O1597" s="49"/>
      <c r="P1597" s="49"/>
      <c r="Q1597" s="49"/>
      <c r="R1597" s="49"/>
      <c r="S1597" s="49"/>
      <c r="T1597" s="49"/>
      <c r="U1597" s="49"/>
      <c r="V1597" s="49"/>
      <c r="W1597" s="49"/>
      <c r="X1597" s="49"/>
      <c r="Y1597" s="49"/>
      <c r="Z1597" s="49"/>
      <c r="AA1597" s="49"/>
      <c r="AB1597" s="49"/>
      <c r="AC1597" s="49"/>
    </row>
    <row r="1598" spans="1:29">
      <c r="A1598" s="105">
        <v>18000</v>
      </c>
      <c r="B1598" s="106">
        <v>153</v>
      </c>
      <c r="C1598" s="107">
        <v>8.5000000000000006E-3</v>
      </c>
      <c r="D1598" s="374"/>
      <c r="E1598" s="279"/>
      <c r="F1598" s="49"/>
      <c r="G1598" s="49"/>
      <c r="I1598" s="49"/>
      <c r="J1598" s="49"/>
      <c r="K1598" s="51"/>
      <c r="L1598" s="49"/>
      <c r="M1598" s="49"/>
      <c r="N1598" s="49"/>
      <c r="O1598" s="49"/>
      <c r="P1598" s="49"/>
      <c r="Q1598" s="49"/>
      <c r="R1598" s="49"/>
      <c r="S1598" s="49"/>
      <c r="T1598" s="49"/>
      <c r="U1598" s="49"/>
      <c r="V1598" s="49"/>
      <c r="W1598" s="49"/>
      <c r="X1598" s="49"/>
      <c r="Y1598" s="49"/>
      <c r="Z1598" s="49"/>
      <c r="AA1598" s="49"/>
      <c r="AB1598" s="49"/>
      <c r="AC1598" s="49"/>
    </row>
    <row r="1599" spans="1:29">
      <c r="A1599" s="105">
        <v>24000</v>
      </c>
      <c r="B1599" s="106">
        <v>194.4</v>
      </c>
      <c r="C1599" s="107">
        <v>8.0999999999999996E-3</v>
      </c>
      <c r="D1599" s="374"/>
      <c r="E1599" s="279"/>
      <c r="F1599" s="49"/>
      <c r="G1599" s="49"/>
      <c r="I1599" s="49"/>
      <c r="J1599" s="49"/>
      <c r="K1599" s="51"/>
      <c r="L1599" s="49"/>
      <c r="M1599" s="49"/>
      <c r="N1599" s="49"/>
      <c r="O1599" s="49"/>
      <c r="P1599" s="49"/>
      <c r="Q1599" s="49"/>
      <c r="R1599" s="49"/>
      <c r="S1599" s="49"/>
      <c r="T1599" s="49"/>
      <c r="U1599" s="49"/>
      <c r="V1599" s="49"/>
      <c r="W1599" s="49"/>
      <c r="X1599" s="49"/>
      <c r="Y1599" s="49"/>
      <c r="Z1599" s="49"/>
      <c r="AA1599" s="49"/>
      <c r="AB1599" s="49"/>
      <c r="AC1599" s="49"/>
    </row>
    <row r="1600" spans="1:29">
      <c r="A1600" s="105">
        <v>36000</v>
      </c>
      <c r="B1600" s="106">
        <v>273.60000000000002</v>
      </c>
      <c r="C1600" s="107">
        <v>7.6E-3</v>
      </c>
      <c r="D1600" s="374"/>
      <c r="E1600" s="279"/>
      <c r="F1600" s="49"/>
      <c r="G1600" s="49"/>
      <c r="I1600" s="49"/>
      <c r="J1600" s="49"/>
      <c r="K1600" s="51"/>
      <c r="L1600" s="49"/>
      <c r="M1600" s="49"/>
      <c r="N1600" s="49"/>
      <c r="O1600" s="49"/>
      <c r="P1600" s="49"/>
      <c r="Q1600" s="49"/>
      <c r="R1600" s="49"/>
      <c r="S1600" s="49"/>
      <c r="T1600" s="49"/>
      <c r="U1600" s="49"/>
      <c r="V1600" s="49"/>
      <c r="W1600" s="49"/>
      <c r="X1600" s="49"/>
      <c r="Y1600" s="49"/>
      <c r="Z1600" s="49"/>
      <c r="AA1600" s="49"/>
      <c r="AB1600" s="49"/>
      <c r="AC1600" s="49"/>
    </row>
    <row r="1601" spans="1:29" ht="15.75" thickBot="1">
      <c r="A1601" s="108">
        <v>60000</v>
      </c>
      <c r="B1601" s="180">
        <v>420</v>
      </c>
      <c r="C1601" s="109">
        <v>7.0000000000000001E-3</v>
      </c>
      <c r="D1601" s="374"/>
      <c r="E1601" s="279"/>
      <c r="F1601" s="49"/>
      <c r="G1601" s="49"/>
      <c r="I1601" s="49"/>
      <c r="J1601" s="49"/>
      <c r="K1601" s="51"/>
      <c r="L1601" s="49"/>
      <c r="M1601" s="49"/>
      <c r="N1601" s="49"/>
      <c r="O1601" s="49"/>
      <c r="P1601" s="49"/>
      <c r="Q1601" s="49"/>
      <c r="R1601" s="49"/>
      <c r="S1601" s="49"/>
      <c r="T1601" s="49"/>
      <c r="U1601" s="49"/>
      <c r="V1601" s="49"/>
      <c r="W1601" s="49"/>
      <c r="X1601" s="49"/>
      <c r="Y1601" s="49"/>
      <c r="Z1601" s="49"/>
      <c r="AA1601" s="49"/>
      <c r="AB1601" s="49"/>
      <c r="AC1601" s="49"/>
    </row>
    <row r="1602" spans="1:29" s="51" customFormat="1">
      <c r="A1602" s="115"/>
      <c r="B1602" s="56"/>
      <c r="C1602" s="56"/>
      <c r="D1602" s="376"/>
      <c r="E1602" s="281"/>
    </row>
    <row r="1603" spans="1:29" ht="16.5" thickBot="1">
      <c r="A1603" s="240" t="s">
        <v>666</v>
      </c>
      <c r="B1603" s="232"/>
      <c r="C1603" s="272"/>
      <c r="D1603" s="377"/>
      <c r="E1603" s="282"/>
      <c r="F1603" s="49"/>
      <c r="G1603" s="49"/>
      <c r="I1603" s="49"/>
      <c r="J1603" s="49"/>
      <c r="K1603" s="51"/>
      <c r="L1603" s="49"/>
      <c r="M1603" s="49"/>
      <c r="N1603" s="49"/>
      <c r="O1603" s="49"/>
      <c r="P1603" s="49"/>
      <c r="Q1603" s="49"/>
      <c r="R1603" s="49"/>
      <c r="S1603" s="49"/>
      <c r="T1603" s="49"/>
      <c r="U1603" s="49"/>
      <c r="V1603" s="49"/>
      <c r="W1603" s="49"/>
      <c r="X1603" s="49"/>
      <c r="Y1603" s="49"/>
      <c r="Z1603" s="49"/>
      <c r="AA1603" s="49"/>
      <c r="AB1603" s="49"/>
      <c r="AC1603" s="49"/>
    </row>
    <row r="1604" spans="1:29" ht="31.5" customHeight="1" thickBot="1">
      <c r="A1604" s="416" t="s">
        <v>390</v>
      </c>
      <c r="B1604" s="417"/>
      <c r="C1604" s="417"/>
      <c r="D1604" s="373"/>
      <c r="E1604" s="277"/>
      <c r="F1604" s="58"/>
      <c r="G1604" s="49"/>
      <c r="H1604" s="51"/>
      <c r="I1604" s="51"/>
      <c r="J1604" s="51"/>
      <c r="K1604" s="51"/>
      <c r="L1604" s="49"/>
      <c r="M1604" s="49"/>
      <c r="N1604" s="49"/>
      <c r="O1604" s="49"/>
      <c r="P1604" s="49"/>
      <c r="Q1604" s="49"/>
      <c r="R1604" s="49"/>
      <c r="S1604" s="49"/>
      <c r="T1604" s="49"/>
      <c r="U1604" s="49"/>
      <c r="V1604" s="49"/>
      <c r="W1604" s="49"/>
      <c r="X1604" s="49"/>
      <c r="Y1604" s="49"/>
      <c r="Z1604" s="49"/>
      <c r="AA1604" s="49"/>
      <c r="AB1604" s="49"/>
      <c r="AC1604" s="49"/>
    </row>
    <row r="1605" spans="1:29" ht="30.75" customHeight="1" thickBot="1">
      <c r="A1605" s="95" t="s">
        <v>391</v>
      </c>
      <c r="B1605" s="96" t="s">
        <v>394</v>
      </c>
      <c r="C1605" s="97" t="s">
        <v>395</v>
      </c>
      <c r="D1605" s="374"/>
      <c r="E1605" s="278"/>
      <c r="G1605" s="49"/>
      <c r="H1605" s="51"/>
      <c r="I1605" s="51"/>
      <c r="J1605" s="51"/>
      <c r="K1605" s="51"/>
      <c r="L1605" s="49"/>
      <c r="M1605" s="49"/>
      <c r="N1605" s="49"/>
      <c r="O1605" s="49"/>
      <c r="P1605" s="49"/>
      <c r="Q1605" s="49"/>
      <c r="R1605" s="49"/>
      <c r="S1605" s="49"/>
      <c r="T1605" s="49"/>
      <c r="U1605" s="49"/>
      <c r="V1605" s="49"/>
      <c r="W1605" s="49"/>
      <c r="X1605" s="49"/>
      <c r="Y1605" s="49"/>
      <c r="Z1605" s="49"/>
      <c r="AA1605" s="49"/>
      <c r="AB1605" s="49"/>
      <c r="AC1605" s="49"/>
    </row>
    <row r="1606" spans="1:29">
      <c r="A1606" s="116">
        <v>7800</v>
      </c>
      <c r="B1606" s="117">
        <v>67.08</v>
      </c>
      <c r="C1606" s="118">
        <v>8.6E-3</v>
      </c>
      <c r="D1606" s="374"/>
      <c r="E1606" s="280"/>
      <c r="F1606" s="49"/>
      <c r="G1606" s="49"/>
      <c r="I1606" s="49"/>
      <c r="J1606" s="49"/>
      <c r="K1606" s="51"/>
      <c r="L1606" s="49"/>
      <c r="M1606" s="49"/>
      <c r="N1606" s="49"/>
      <c r="O1606" s="49"/>
      <c r="P1606" s="49"/>
      <c r="Q1606" s="49"/>
      <c r="R1606" s="49"/>
      <c r="S1606" s="49"/>
      <c r="T1606" s="49"/>
      <c r="U1606" s="49"/>
      <c r="V1606" s="49"/>
      <c r="W1606" s="49"/>
      <c r="X1606" s="49"/>
      <c r="Y1606" s="49"/>
      <c r="Z1606" s="49"/>
      <c r="AA1606" s="49"/>
      <c r="AB1606" s="49"/>
      <c r="AC1606" s="49"/>
    </row>
    <row r="1607" spans="1:29">
      <c r="A1607" s="119">
        <v>11700</v>
      </c>
      <c r="B1607" s="120">
        <v>93.6</v>
      </c>
      <c r="C1607" s="121">
        <v>8.0000000000000002E-3</v>
      </c>
      <c r="D1607" s="374"/>
      <c r="E1607" s="280"/>
      <c r="F1607" s="49"/>
      <c r="G1607" s="49"/>
      <c r="I1607" s="49"/>
      <c r="J1607" s="49"/>
      <c r="K1607" s="51"/>
      <c r="L1607" s="49"/>
      <c r="M1607" s="49"/>
      <c r="N1607" s="49"/>
      <c r="O1607" s="49"/>
      <c r="P1607" s="49"/>
      <c r="Q1607" s="49"/>
      <c r="R1607" s="49"/>
      <c r="S1607" s="49"/>
      <c r="T1607" s="49"/>
      <c r="U1607" s="49"/>
      <c r="V1607" s="49"/>
      <c r="W1607" s="49"/>
      <c r="X1607" s="49"/>
      <c r="Y1607" s="49"/>
      <c r="Z1607" s="49"/>
      <c r="AA1607" s="49"/>
      <c r="AB1607" s="49"/>
      <c r="AC1607" s="49"/>
    </row>
    <row r="1608" spans="1:29">
      <c r="A1608" s="119">
        <v>15600</v>
      </c>
      <c r="B1608" s="120">
        <v>120.12</v>
      </c>
      <c r="C1608" s="121">
        <v>7.7000000000000002E-3</v>
      </c>
      <c r="D1608" s="374"/>
      <c r="E1608" s="280"/>
      <c r="F1608" s="49"/>
      <c r="G1608" s="49"/>
      <c r="I1608" s="49"/>
      <c r="J1608" s="49"/>
      <c r="K1608" s="51"/>
      <c r="L1608" s="49"/>
      <c r="M1608" s="49"/>
      <c r="N1608" s="49"/>
      <c r="O1608" s="49"/>
      <c r="P1608" s="49"/>
      <c r="Q1608" s="49"/>
      <c r="R1608" s="49"/>
      <c r="S1608" s="49"/>
      <c r="T1608" s="49"/>
      <c r="U1608" s="49"/>
      <c r="V1608" s="49"/>
      <c r="W1608" s="49"/>
      <c r="X1608" s="49"/>
      <c r="Y1608" s="49"/>
      <c r="Z1608" s="49"/>
      <c r="AA1608" s="49"/>
      <c r="AB1608" s="49"/>
      <c r="AC1608" s="49"/>
    </row>
    <row r="1609" spans="1:29">
      <c r="A1609" s="119">
        <v>19500</v>
      </c>
      <c r="B1609" s="120">
        <v>144.30000000000001</v>
      </c>
      <c r="C1609" s="121">
        <v>7.4000000000000003E-3</v>
      </c>
      <c r="D1609" s="374"/>
      <c r="E1609" s="280"/>
      <c r="F1609" s="49"/>
      <c r="G1609" s="49"/>
      <c r="I1609" s="49"/>
      <c r="J1609" s="49"/>
      <c r="K1609" s="51"/>
      <c r="L1609" s="49"/>
      <c r="M1609" s="49"/>
      <c r="N1609" s="49"/>
      <c r="O1609" s="49"/>
      <c r="P1609" s="49"/>
      <c r="Q1609" s="49"/>
      <c r="R1609" s="49"/>
      <c r="S1609" s="49"/>
      <c r="T1609" s="49"/>
      <c r="U1609" s="49"/>
      <c r="V1609" s="49"/>
      <c r="W1609" s="49"/>
      <c r="X1609" s="49"/>
      <c r="Y1609" s="49"/>
      <c r="Z1609" s="49"/>
      <c r="AA1609" s="49"/>
      <c r="AB1609" s="49"/>
      <c r="AC1609" s="49"/>
    </row>
    <row r="1610" spans="1:29">
      <c r="A1610" s="119">
        <v>29300</v>
      </c>
      <c r="B1610" s="120">
        <v>205.1</v>
      </c>
      <c r="C1610" s="121">
        <v>7.0000000000000001E-3</v>
      </c>
      <c r="D1610" s="374"/>
      <c r="E1610" s="280"/>
      <c r="F1610" s="49"/>
      <c r="G1610" s="49"/>
      <c r="I1610" s="49"/>
      <c r="J1610" s="49"/>
      <c r="K1610" s="51"/>
      <c r="L1610" s="49"/>
      <c r="M1610" s="49"/>
      <c r="N1610" s="49"/>
      <c r="O1610" s="49"/>
      <c r="P1610" s="49"/>
      <c r="Q1610" s="49"/>
      <c r="R1610" s="49"/>
      <c r="S1610" s="49"/>
      <c r="T1610" s="49"/>
      <c r="U1610" s="49"/>
      <c r="V1610" s="49"/>
      <c r="W1610" s="49"/>
      <c r="X1610" s="49"/>
      <c r="Y1610" s="49"/>
      <c r="Z1610" s="49"/>
      <c r="AA1610" s="49"/>
      <c r="AB1610" s="49"/>
      <c r="AC1610" s="49"/>
    </row>
    <row r="1611" spans="1:29">
      <c r="A1611" s="119">
        <v>39000</v>
      </c>
      <c r="B1611" s="120">
        <v>257.39999999999998</v>
      </c>
      <c r="C1611" s="121">
        <v>6.6E-3</v>
      </c>
      <c r="D1611" s="374"/>
      <c r="E1611" s="280"/>
      <c r="F1611" s="49"/>
      <c r="G1611" s="49"/>
      <c r="I1611" s="49"/>
      <c r="J1611" s="49"/>
      <c r="K1611" s="51"/>
      <c r="L1611" s="49"/>
      <c r="M1611" s="49"/>
      <c r="N1611" s="49"/>
      <c r="O1611" s="49"/>
      <c r="P1611" s="49"/>
      <c r="Q1611" s="49"/>
      <c r="R1611" s="49"/>
      <c r="S1611" s="49"/>
      <c r="T1611" s="49"/>
      <c r="U1611" s="49"/>
      <c r="V1611" s="49"/>
      <c r="W1611" s="49"/>
      <c r="X1611" s="49"/>
      <c r="Y1611" s="49"/>
      <c r="Z1611" s="49"/>
      <c r="AA1611" s="49"/>
      <c r="AB1611" s="49"/>
      <c r="AC1611" s="49"/>
    </row>
    <row r="1612" spans="1:29">
      <c r="A1612" s="119">
        <v>58500</v>
      </c>
      <c r="B1612" s="120">
        <v>362.7</v>
      </c>
      <c r="C1612" s="121">
        <v>6.1999999999999998E-3</v>
      </c>
      <c r="D1612" s="374"/>
      <c r="E1612" s="280"/>
      <c r="F1612" s="49"/>
      <c r="G1612" s="49"/>
      <c r="I1612" s="49"/>
      <c r="J1612" s="49"/>
      <c r="K1612" s="51"/>
      <c r="L1612" s="49"/>
      <c r="M1612" s="49"/>
      <c r="N1612" s="49"/>
      <c r="O1612" s="49"/>
      <c r="P1612" s="49"/>
      <c r="Q1612" s="49"/>
      <c r="R1612" s="49"/>
      <c r="S1612" s="49"/>
      <c r="T1612" s="49"/>
      <c r="U1612" s="49"/>
      <c r="V1612" s="49"/>
      <c r="W1612" s="49"/>
      <c r="X1612" s="49"/>
      <c r="Y1612" s="49"/>
      <c r="Z1612" s="49"/>
      <c r="AA1612" s="49"/>
      <c r="AB1612" s="49"/>
      <c r="AC1612" s="49"/>
    </row>
    <row r="1613" spans="1:29">
      <c r="A1613" s="119">
        <v>97500</v>
      </c>
      <c r="B1613" s="120">
        <v>555.75</v>
      </c>
      <c r="C1613" s="121">
        <v>5.7000000000000002E-3</v>
      </c>
      <c r="D1613" s="374"/>
      <c r="E1613" s="280"/>
      <c r="F1613" s="49"/>
      <c r="G1613" s="49"/>
      <c r="I1613" s="49"/>
      <c r="J1613" s="49"/>
      <c r="K1613" s="51"/>
      <c r="L1613" s="49"/>
      <c r="M1613" s="49"/>
      <c r="N1613" s="49"/>
      <c r="O1613" s="49"/>
      <c r="P1613" s="49"/>
      <c r="Q1613" s="49"/>
      <c r="R1613" s="49"/>
      <c r="S1613" s="49"/>
      <c r="T1613" s="49"/>
      <c r="U1613" s="49"/>
      <c r="V1613" s="49"/>
      <c r="W1613" s="49"/>
      <c r="X1613" s="49"/>
      <c r="Y1613" s="49"/>
      <c r="Z1613" s="49"/>
      <c r="AA1613" s="49"/>
      <c r="AB1613" s="49"/>
      <c r="AC1613" s="49"/>
    </row>
    <row r="1614" spans="1:29">
      <c r="A1614" s="234"/>
      <c r="B1614" s="235"/>
      <c r="C1614" s="235"/>
      <c r="D1614" s="376"/>
      <c r="E1614" s="281"/>
      <c r="F1614" s="49"/>
      <c r="G1614" s="49"/>
      <c r="I1614" s="49"/>
      <c r="J1614" s="49"/>
      <c r="K1614" s="51"/>
      <c r="L1614" s="49"/>
      <c r="M1614" s="49"/>
      <c r="N1614" s="49"/>
      <c r="O1614" s="49"/>
      <c r="P1614" s="49"/>
      <c r="Q1614" s="49"/>
      <c r="R1614" s="49"/>
      <c r="S1614" s="49"/>
      <c r="T1614" s="49"/>
      <c r="U1614" s="49"/>
      <c r="V1614" s="49"/>
      <c r="W1614" s="49"/>
      <c r="X1614" s="49"/>
      <c r="Y1614" s="49"/>
      <c r="Z1614" s="49"/>
      <c r="AA1614" s="49"/>
      <c r="AB1614" s="49"/>
      <c r="AC1614" s="49"/>
    </row>
    <row r="1615" spans="1:29" ht="16.5" thickBot="1">
      <c r="A1615" s="240" t="s">
        <v>667</v>
      </c>
      <c r="B1615" s="232"/>
      <c r="C1615" s="272"/>
      <c r="D1615" s="377"/>
      <c r="E1615" s="282"/>
      <c r="F1615" s="49"/>
      <c r="G1615" s="49"/>
      <c r="I1615" s="49"/>
      <c r="J1615" s="49"/>
      <c r="K1615" s="51"/>
      <c r="L1615" s="49"/>
      <c r="M1615" s="49"/>
      <c r="N1615" s="49"/>
      <c r="O1615" s="49"/>
      <c r="P1615" s="49"/>
      <c r="Q1615" s="49"/>
      <c r="R1615" s="49"/>
      <c r="S1615" s="49"/>
      <c r="T1615" s="49"/>
      <c r="U1615" s="49"/>
      <c r="V1615" s="49"/>
      <c r="W1615" s="49"/>
      <c r="X1615" s="49"/>
      <c r="Y1615" s="49"/>
      <c r="Z1615" s="49"/>
      <c r="AA1615" s="49"/>
      <c r="AB1615" s="49"/>
      <c r="AC1615" s="49"/>
    </row>
    <row r="1616" spans="1:29" ht="31.5" customHeight="1" thickBot="1">
      <c r="A1616" s="416" t="s">
        <v>390</v>
      </c>
      <c r="B1616" s="417"/>
      <c r="C1616" s="417"/>
      <c r="D1616" s="373"/>
      <c r="E1616" s="277"/>
      <c r="F1616" s="58"/>
      <c r="G1616" s="49"/>
      <c r="H1616" s="51"/>
      <c r="I1616" s="51"/>
      <c r="J1616" s="51"/>
      <c r="K1616" s="51"/>
      <c r="L1616" s="49"/>
      <c r="M1616" s="49"/>
      <c r="N1616" s="49"/>
      <c r="O1616" s="49"/>
      <c r="P1616" s="49"/>
      <c r="Q1616" s="49"/>
      <c r="R1616" s="49"/>
      <c r="S1616" s="49"/>
      <c r="T1616" s="49"/>
      <c r="U1616" s="49"/>
      <c r="V1616" s="49"/>
      <c r="W1616" s="49"/>
      <c r="X1616" s="49"/>
      <c r="Y1616" s="49"/>
      <c r="Z1616" s="49"/>
      <c r="AA1616" s="49"/>
      <c r="AB1616" s="49"/>
      <c r="AC1616" s="49"/>
    </row>
    <row r="1617" spans="1:29" ht="30.75" customHeight="1" thickBot="1">
      <c r="A1617" s="95" t="s">
        <v>391</v>
      </c>
      <c r="B1617" s="96" t="s">
        <v>394</v>
      </c>
      <c r="C1617" s="97" t="s">
        <v>395</v>
      </c>
      <c r="D1617" s="374"/>
      <c r="E1617" s="278"/>
      <c r="G1617" s="49"/>
      <c r="H1617" s="51"/>
      <c r="I1617" s="51"/>
      <c r="J1617" s="51"/>
      <c r="K1617" s="51"/>
      <c r="L1617" s="49"/>
      <c r="M1617" s="49"/>
      <c r="N1617" s="49"/>
      <c r="O1617" s="49"/>
      <c r="P1617" s="49"/>
      <c r="Q1617" s="49"/>
      <c r="R1617" s="49"/>
      <c r="S1617" s="49"/>
      <c r="T1617" s="49"/>
      <c r="U1617" s="49"/>
      <c r="V1617" s="49"/>
      <c r="W1617" s="49"/>
      <c r="X1617" s="49"/>
      <c r="Y1617" s="49"/>
      <c r="Z1617" s="49"/>
      <c r="AA1617" s="49"/>
      <c r="AB1617" s="49"/>
      <c r="AC1617" s="49"/>
    </row>
    <row r="1618" spans="1:29">
      <c r="A1618" s="116">
        <v>9200</v>
      </c>
      <c r="B1618" s="117">
        <v>64.400000000000006</v>
      </c>
      <c r="C1618" s="118">
        <v>7.0000000000000001E-3</v>
      </c>
      <c r="D1618" s="374"/>
      <c r="E1618" s="280"/>
      <c r="F1618" s="49"/>
      <c r="G1618" s="49"/>
      <c r="I1618" s="49"/>
      <c r="J1618" s="49"/>
      <c r="K1618" s="51"/>
      <c r="L1618" s="49"/>
      <c r="M1618" s="49"/>
      <c r="N1618" s="49"/>
      <c r="O1618" s="49"/>
      <c r="P1618" s="49"/>
      <c r="Q1618" s="49"/>
      <c r="R1618" s="49"/>
      <c r="S1618" s="49"/>
      <c r="T1618" s="49"/>
      <c r="U1618" s="49"/>
      <c r="V1618" s="49"/>
      <c r="W1618" s="49"/>
      <c r="X1618" s="49"/>
      <c r="Y1618" s="49"/>
      <c r="Z1618" s="49"/>
      <c r="AA1618" s="49"/>
      <c r="AB1618" s="49"/>
      <c r="AC1618" s="49"/>
    </row>
    <row r="1619" spans="1:29">
      <c r="A1619" s="119">
        <v>13800</v>
      </c>
      <c r="B1619" s="120">
        <v>95.22</v>
      </c>
      <c r="C1619" s="121">
        <v>6.8999999999999999E-3</v>
      </c>
      <c r="D1619" s="374"/>
      <c r="E1619" s="280"/>
      <c r="F1619" s="49"/>
      <c r="G1619" s="49"/>
      <c r="I1619" s="49"/>
      <c r="J1619" s="49"/>
      <c r="K1619" s="51"/>
      <c r="L1619" s="49"/>
      <c r="M1619" s="49"/>
      <c r="N1619" s="49"/>
      <c r="O1619" s="49"/>
      <c r="P1619" s="49"/>
      <c r="Q1619" s="49"/>
      <c r="R1619" s="49"/>
      <c r="S1619" s="49"/>
      <c r="T1619" s="49"/>
      <c r="U1619" s="49"/>
      <c r="V1619" s="49"/>
      <c r="W1619" s="49"/>
      <c r="X1619" s="49"/>
      <c r="Y1619" s="49"/>
      <c r="Z1619" s="49"/>
      <c r="AA1619" s="49"/>
      <c r="AB1619" s="49"/>
      <c r="AC1619" s="49"/>
    </row>
    <row r="1620" spans="1:29">
      <c r="A1620" s="119">
        <v>18400</v>
      </c>
      <c r="B1620" s="120">
        <v>125.12</v>
      </c>
      <c r="C1620" s="121">
        <v>6.7999999999999996E-3</v>
      </c>
      <c r="D1620" s="374"/>
      <c r="E1620" s="280"/>
      <c r="F1620" s="49"/>
      <c r="G1620" s="49"/>
      <c r="I1620" s="49"/>
      <c r="J1620" s="49"/>
      <c r="K1620" s="51"/>
      <c r="L1620" s="49"/>
      <c r="M1620" s="49"/>
      <c r="N1620" s="49"/>
      <c r="O1620" s="49"/>
      <c r="P1620" s="49"/>
      <c r="Q1620" s="49"/>
      <c r="R1620" s="49"/>
      <c r="S1620" s="49"/>
      <c r="T1620" s="49"/>
      <c r="U1620" s="49"/>
      <c r="V1620" s="49"/>
      <c r="W1620" s="49"/>
      <c r="X1620" s="49"/>
      <c r="Y1620" s="49"/>
      <c r="Z1620" s="49"/>
      <c r="AA1620" s="49"/>
      <c r="AB1620" s="49"/>
      <c r="AC1620" s="49"/>
    </row>
    <row r="1621" spans="1:29">
      <c r="A1621" s="119">
        <v>23000</v>
      </c>
      <c r="B1621" s="120">
        <v>154.1</v>
      </c>
      <c r="C1621" s="121">
        <v>6.7000000000000002E-3</v>
      </c>
      <c r="D1621" s="374"/>
      <c r="E1621" s="280"/>
      <c r="F1621" s="49"/>
      <c r="G1621" s="49"/>
      <c r="I1621" s="49"/>
      <c r="J1621" s="49"/>
      <c r="K1621" s="51"/>
      <c r="L1621" s="49"/>
      <c r="M1621" s="49"/>
      <c r="N1621" s="49"/>
      <c r="O1621" s="49"/>
      <c r="P1621" s="49"/>
      <c r="Q1621" s="49"/>
      <c r="R1621" s="49"/>
      <c r="S1621" s="49"/>
      <c r="T1621" s="49"/>
      <c r="U1621" s="49"/>
      <c r="V1621" s="49"/>
      <c r="W1621" s="49"/>
      <c r="X1621" s="49"/>
      <c r="Y1621" s="49"/>
      <c r="Z1621" s="49"/>
      <c r="AA1621" s="49"/>
      <c r="AB1621" s="49"/>
      <c r="AC1621" s="49"/>
    </row>
    <row r="1622" spans="1:29">
      <c r="A1622" s="119">
        <v>34500</v>
      </c>
      <c r="B1622" s="120">
        <v>227.7</v>
      </c>
      <c r="C1622" s="121">
        <v>6.6E-3</v>
      </c>
      <c r="D1622" s="374"/>
      <c r="E1622" s="280"/>
      <c r="F1622" s="49"/>
      <c r="G1622" s="49"/>
      <c r="I1622" s="49"/>
      <c r="J1622" s="49"/>
      <c r="K1622" s="51"/>
      <c r="L1622" s="49"/>
      <c r="M1622" s="49"/>
      <c r="N1622" s="49"/>
      <c r="O1622" s="49"/>
      <c r="P1622" s="49"/>
      <c r="Q1622" s="49"/>
      <c r="R1622" s="49"/>
      <c r="S1622" s="49"/>
      <c r="T1622" s="49"/>
      <c r="U1622" s="49"/>
      <c r="V1622" s="49"/>
      <c r="W1622" s="49"/>
      <c r="X1622" s="49"/>
      <c r="Y1622" s="49"/>
      <c r="Z1622" s="49"/>
      <c r="AA1622" s="49"/>
      <c r="AB1622" s="49"/>
      <c r="AC1622" s="49"/>
    </row>
    <row r="1623" spans="1:29">
      <c r="A1623" s="119">
        <v>46000</v>
      </c>
      <c r="B1623" s="120">
        <v>299</v>
      </c>
      <c r="C1623" s="121">
        <v>6.4999999999999997E-3</v>
      </c>
      <c r="D1623" s="374"/>
      <c r="E1623" s="280"/>
      <c r="F1623" s="49"/>
      <c r="G1623" s="49"/>
      <c r="I1623" s="49"/>
      <c r="J1623" s="49"/>
      <c r="K1623" s="51"/>
      <c r="L1623" s="49"/>
      <c r="M1623" s="49"/>
      <c r="N1623" s="49"/>
      <c r="O1623" s="49"/>
      <c r="P1623" s="49"/>
      <c r="Q1623" s="49"/>
      <c r="R1623" s="49"/>
      <c r="S1623" s="49"/>
      <c r="T1623" s="49"/>
      <c r="U1623" s="49"/>
      <c r="V1623" s="49"/>
      <c r="W1623" s="49"/>
      <c r="X1623" s="49"/>
      <c r="Y1623" s="49"/>
      <c r="Z1623" s="49"/>
      <c r="AA1623" s="49"/>
      <c r="AB1623" s="49"/>
      <c r="AC1623" s="49"/>
    </row>
    <row r="1624" spans="1:29">
      <c r="A1624" s="119">
        <v>69000</v>
      </c>
      <c r="B1624" s="120">
        <v>441.6</v>
      </c>
      <c r="C1624" s="121">
        <v>6.4000000000000003E-3</v>
      </c>
      <c r="D1624" s="374"/>
      <c r="E1624" s="280"/>
      <c r="F1624" s="49"/>
      <c r="G1624" s="49"/>
      <c r="I1624" s="49"/>
      <c r="J1624" s="49"/>
      <c r="K1624" s="51"/>
      <c r="L1624" s="49"/>
      <c r="M1624" s="49"/>
      <c r="N1624" s="49"/>
      <c r="O1624" s="49"/>
      <c r="P1624" s="49"/>
      <c r="Q1624" s="49"/>
      <c r="R1624" s="49"/>
      <c r="S1624" s="49"/>
      <c r="T1624" s="49"/>
      <c r="U1624" s="49"/>
      <c r="V1624" s="49"/>
      <c r="W1624" s="49"/>
      <c r="X1624" s="49"/>
      <c r="Y1624" s="49"/>
      <c r="Z1624" s="49"/>
      <c r="AA1624" s="49"/>
      <c r="AB1624" s="49"/>
      <c r="AC1624" s="49"/>
    </row>
    <row r="1625" spans="1:29">
      <c r="A1625" s="119">
        <v>115000</v>
      </c>
      <c r="B1625" s="120">
        <v>713</v>
      </c>
      <c r="C1625" s="121">
        <v>6.1999999999999998E-3</v>
      </c>
      <c r="D1625" s="374"/>
      <c r="E1625" s="280"/>
      <c r="F1625" s="49"/>
      <c r="G1625" s="49"/>
      <c r="I1625" s="49"/>
      <c r="J1625" s="49"/>
      <c r="K1625" s="51"/>
      <c r="L1625" s="49"/>
      <c r="M1625" s="49"/>
      <c r="N1625" s="49"/>
      <c r="O1625" s="49"/>
      <c r="P1625" s="49"/>
      <c r="Q1625" s="49"/>
      <c r="R1625" s="49"/>
      <c r="S1625" s="49"/>
      <c r="T1625" s="49"/>
      <c r="U1625" s="49"/>
      <c r="V1625" s="49"/>
      <c r="W1625" s="49"/>
      <c r="X1625" s="49"/>
      <c r="Y1625" s="49"/>
      <c r="Z1625" s="49"/>
      <c r="AA1625" s="49"/>
      <c r="AB1625" s="49"/>
      <c r="AC1625" s="49"/>
    </row>
    <row r="1626" spans="1:29">
      <c r="A1626" s="128"/>
      <c r="B1626" s="129"/>
      <c r="C1626" s="129"/>
      <c r="D1626" s="378"/>
      <c r="E1626" s="283"/>
      <c r="F1626" s="49"/>
      <c r="G1626" s="49"/>
      <c r="I1626" s="49"/>
      <c r="J1626" s="49"/>
      <c r="K1626" s="51"/>
      <c r="L1626" s="49"/>
      <c r="M1626" s="49"/>
      <c r="N1626" s="49"/>
      <c r="O1626" s="49"/>
      <c r="P1626" s="49"/>
      <c r="Q1626" s="49"/>
      <c r="R1626" s="49"/>
      <c r="S1626" s="49"/>
      <c r="T1626" s="49"/>
      <c r="U1626" s="49"/>
      <c r="V1626" s="49"/>
      <c r="W1626" s="49"/>
      <c r="X1626" s="49"/>
      <c r="Y1626" s="49"/>
      <c r="Z1626" s="49"/>
      <c r="AA1626" s="49"/>
      <c r="AB1626" s="49"/>
      <c r="AC1626" s="49"/>
    </row>
    <row r="1627" spans="1:29" ht="15.75">
      <c r="A1627" s="237" t="s">
        <v>668</v>
      </c>
      <c r="B1627" s="129"/>
      <c r="C1627" s="129"/>
      <c r="D1627" s="378"/>
      <c r="E1627" s="283"/>
      <c r="G1627" s="49"/>
      <c r="I1627" s="49"/>
      <c r="J1627" s="49"/>
      <c r="K1627" s="51"/>
      <c r="L1627" s="49"/>
      <c r="M1627" s="49"/>
      <c r="N1627" s="49"/>
      <c r="O1627" s="49"/>
      <c r="P1627" s="49"/>
      <c r="Q1627" s="49"/>
      <c r="R1627" s="49"/>
      <c r="S1627" s="49"/>
      <c r="T1627" s="49"/>
      <c r="U1627" s="49"/>
      <c r="V1627" s="49"/>
      <c r="W1627" s="49"/>
      <c r="X1627" s="49"/>
      <c r="Y1627" s="49"/>
      <c r="Z1627" s="49"/>
      <c r="AA1627" s="49"/>
      <c r="AB1627" s="49"/>
      <c r="AC1627" s="49"/>
    </row>
    <row r="1628" spans="1:29" s="92" customFormat="1" ht="15.75" customHeight="1">
      <c r="A1628" s="425" t="s">
        <v>390</v>
      </c>
      <c r="B1628" s="426"/>
      <c r="C1628" s="426"/>
      <c r="D1628" s="373"/>
      <c r="E1628" s="277"/>
    </row>
    <row r="1629" spans="1:29" s="92" customFormat="1" ht="16.5" customHeight="1" thickBot="1">
      <c r="A1629" s="427"/>
      <c r="B1629" s="428"/>
      <c r="C1629" s="428"/>
      <c r="D1629" s="373"/>
      <c r="E1629" s="277"/>
    </row>
    <row r="1630" spans="1:29" s="92" customFormat="1" ht="24.75" thickBot="1">
      <c r="A1630" s="99" t="s">
        <v>391</v>
      </c>
      <c r="B1630" s="100" t="s">
        <v>394</v>
      </c>
      <c r="C1630" s="98" t="s">
        <v>395</v>
      </c>
      <c r="D1630" s="376"/>
      <c r="E1630" s="278"/>
    </row>
    <row r="1631" spans="1:29" s="92" customFormat="1">
      <c r="A1631" s="131">
        <v>34000</v>
      </c>
      <c r="B1631" s="126">
        <v>156.4</v>
      </c>
      <c r="C1631" s="124">
        <v>4.5999999999999999E-3</v>
      </c>
      <c r="D1631" s="376"/>
      <c r="E1631" s="280"/>
    </row>
    <row r="1632" spans="1:29" s="92" customFormat="1">
      <c r="A1632" s="119">
        <v>51000</v>
      </c>
      <c r="B1632" s="120">
        <v>229.5</v>
      </c>
      <c r="C1632" s="121">
        <v>4.5000000000000005E-3</v>
      </c>
      <c r="D1632" s="376"/>
      <c r="E1632" s="280"/>
    </row>
    <row r="1633" spans="1:5" s="92" customFormat="1">
      <c r="A1633" s="119">
        <v>68000</v>
      </c>
      <c r="B1633" s="120">
        <v>306</v>
      </c>
      <c r="C1633" s="121">
        <v>4.5000000000000005E-3</v>
      </c>
      <c r="D1633" s="376"/>
      <c r="E1633" s="280"/>
    </row>
    <row r="1634" spans="1:5" s="92" customFormat="1">
      <c r="A1634" s="119">
        <v>85000</v>
      </c>
      <c r="B1634" s="120">
        <v>382.5</v>
      </c>
      <c r="C1634" s="121">
        <v>4.5000000000000005E-3</v>
      </c>
      <c r="D1634" s="376"/>
      <c r="E1634" s="280"/>
    </row>
    <row r="1635" spans="1:5" s="92" customFormat="1">
      <c r="A1635" s="119">
        <v>127500</v>
      </c>
      <c r="B1635" s="120">
        <v>561</v>
      </c>
      <c r="C1635" s="121">
        <v>4.4000000000000003E-3</v>
      </c>
      <c r="D1635" s="376"/>
      <c r="E1635" s="280"/>
    </row>
    <row r="1636" spans="1:5" s="92" customFormat="1">
      <c r="A1636" s="119">
        <v>170000</v>
      </c>
      <c r="B1636" s="120">
        <v>748</v>
      </c>
      <c r="C1636" s="121">
        <v>4.4000000000000003E-3</v>
      </c>
      <c r="D1636" s="376"/>
      <c r="E1636" s="280"/>
    </row>
    <row r="1637" spans="1:5" s="92" customFormat="1">
      <c r="A1637" s="119">
        <v>255000</v>
      </c>
      <c r="B1637" s="120">
        <v>1096.5</v>
      </c>
      <c r="C1637" s="121">
        <v>4.3E-3</v>
      </c>
      <c r="D1637" s="376"/>
      <c r="E1637" s="280"/>
    </row>
    <row r="1638" spans="1:5" s="92" customFormat="1" ht="15.75" thickBot="1">
      <c r="A1638" s="178">
        <v>425000</v>
      </c>
      <c r="B1638" s="179">
        <v>1827.5</v>
      </c>
      <c r="C1638" s="125">
        <v>4.3E-3</v>
      </c>
      <c r="D1638" s="376"/>
      <c r="E1638" s="280"/>
    </row>
    <row r="1639" spans="1:5" s="92" customFormat="1">
      <c r="A1639" s="122"/>
      <c r="B1639" s="123"/>
      <c r="C1639" s="123"/>
      <c r="D1639" s="376"/>
      <c r="E1639" s="281"/>
    </row>
    <row r="1640" spans="1:5" s="92" customFormat="1" ht="16.5" thickBot="1">
      <c r="A1640" s="238" t="s">
        <v>669</v>
      </c>
      <c r="B1640" s="236"/>
      <c r="C1640" s="236"/>
      <c r="D1640" s="378"/>
      <c r="E1640" s="283"/>
    </row>
    <row r="1641" spans="1:5" s="92" customFormat="1" ht="15" customHeight="1">
      <c r="A1641" s="429" t="s">
        <v>390</v>
      </c>
      <c r="B1641" s="430"/>
      <c r="C1641" s="430"/>
      <c r="D1641" s="373"/>
      <c r="E1641" s="277"/>
    </row>
    <row r="1642" spans="1:5" s="92" customFormat="1" ht="15.75" customHeight="1" thickBot="1">
      <c r="A1642" s="427"/>
      <c r="B1642" s="428"/>
      <c r="C1642" s="428"/>
      <c r="D1642" s="373"/>
      <c r="E1642" s="277"/>
    </row>
    <row r="1643" spans="1:5" s="92" customFormat="1" ht="24.75" thickBot="1">
      <c r="A1643" s="99" t="s">
        <v>391</v>
      </c>
      <c r="B1643" s="100" t="s">
        <v>394</v>
      </c>
      <c r="C1643" s="98" t="s">
        <v>395</v>
      </c>
      <c r="D1643" s="376"/>
      <c r="E1643" s="278"/>
    </row>
    <row r="1644" spans="1:5" s="92" customFormat="1">
      <c r="A1644" s="116">
        <v>46000</v>
      </c>
      <c r="B1644" s="117">
        <v>234.60000000000002</v>
      </c>
      <c r="C1644" s="118">
        <v>5.1000000000000004E-3</v>
      </c>
      <c r="D1644" s="376"/>
      <c r="E1644" s="280"/>
    </row>
    <row r="1645" spans="1:5" s="92" customFormat="1">
      <c r="A1645" s="119">
        <v>69000</v>
      </c>
      <c r="B1645" s="120">
        <v>338.09999999999997</v>
      </c>
      <c r="C1645" s="121">
        <v>4.8999999999999998E-3</v>
      </c>
      <c r="D1645" s="376"/>
      <c r="E1645" s="280"/>
    </row>
    <row r="1646" spans="1:5" s="92" customFormat="1">
      <c r="A1646" s="119">
        <v>92000</v>
      </c>
      <c r="B1646" s="120">
        <v>432.40000000000003</v>
      </c>
      <c r="C1646" s="121">
        <v>4.7000000000000002E-3</v>
      </c>
      <c r="D1646" s="376"/>
      <c r="E1646" s="280"/>
    </row>
    <row r="1647" spans="1:5" s="92" customFormat="1">
      <c r="A1647" s="119">
        <v>115000</v>
      </c>
      <c r="B1647" s="120">
        <v>529</v>
      </c>
      <c r="C1647" s="121">
        <v>4.5999999999999999E-3</v>
      </c>
      <c r="D1647" s="376"/>
      <c r="E1647" s="280"/>
    </row>
    <row r="1648" spans="1:5" s="92" customFormat="1">
      <c r="A1648" s="119">
        <v>172500</v>
      </c>
      <c r="B1648" s="120">
        <v>776.25000000000011</v>
      </c>
      <c r="C1648" s="121">
        <v>4.5000000000000005E-3</v>
      </c>
      <c r="D1648" s="376"/>
      <c r="E1648" s="280"/>
    </row>
    <row r="1649" spans="1:29" s="92" customFormat="1">
      <c r="A1649" s="119">
        <v>230000</v>
      </c>
      <c r="B1649" s="120">
        <v>1012.0000000000001</v>
      </c>
      <c r="C1649" s="121">
        <v>4.4000000000000003E-3</v>
      </c>
      <c r="D1649" s="376"/>
      <c r="E1649" s="280"/>
    </row>
    <row r="1650" spans="1:29" s="92" customFormat="1">
      <c r="A1650" s="119">
        <v>345000</v>
      </c>
      <c r="B1650" s="120">
        <v>1449.0000000000002</v>
      </c>
      <c r="C1650" s="121">
        <v>4.2000000000000006E-3</v>
      </c>
      <c r="D1650" s="376"/>
      <c r="E1650" s="280"/>
    </row>
    <row r="1651" spans="1:29" s="92" customFormat="1" ht="15.75" thickBot="1">
      <c r="A1651" s="178">
        <v>575000</v>
      </c>
      <c r="B1651" s="179">
        <v>2300</v>
      </c>
      <c r="C1651" s="125">
        <v>4.0000000000000001E-3</v>
      </c>
      <c r="D1651" s="376"/>
      <c r="E1651" s="280"/>
    </row>
    <row r="1652" spans="1:29">
      <c r="A1652" s="115"/>
      <c r="B1652" s="56"/>
      <c r="C1652" s="56"/>
      <c r="D1652" s="376"/>
      <c r="E1652" s="281"/>
      <c r="V1652" s="49"/>
      <c r="W1652" s="49"/>
      <c r="X1652" s="49"/>
      <c r="Y1652" s="49"/>
      <c r="Z1652" s="49"/>
      <c r="AA1652" s="49"/>
      <c r="AB1652" s="49"/>
      <c r="AC1652" s="49"/>
    </row>
    <row r="1653" spans="1:29" s="136" customFormat="1" ht="16.5" thickBot="1">
      <c r="A1653" s="133" t="s">
        <v>415</v>
      </c>
      <c r="B1653" s="134"/>
      <c r="C1653" s="134"/>
      <c r="D1653" s="135"/>
      <c r="E1653" s="135"/>
      <c r="F1653" s="134"/>
      <c r="K1653" s="150"/>
      <c r="O1653" s="420"/>
      <c r="P1653" s="421"/>
      <c r="Q1653" s="421"/>
      <c r="R1653" s="420"/>
      <c r="S1653" s="421"/>
      <c r="T1653" s="421"/>
      <c r="U1653" s="137"/>
    </row>
    <row r="1654" spans="1:29" s="136" customFormat="1" ht="31.5" customHeight="1" thickBot="1">
      <c r="A1654" s="422" t="s">
        <v>398</v>
      </c>
      <c r="B1654" s="423"/>
      <c r="C1654" s="423"/>
      <c r="D1654" s="424"/>
      <c r="E1654" s="286"/>
      <c r="F1654" s="413" t="s">
        <v>399</v>
      </c>
      <c r="G1654" s="414"/>
      <c r="H1654" s="414"/>
      <c r="I1654" s="415"/>
      <c r="K1654" s="150"/>
      <c r="L1654" s="305"/>
      <c r="M1654" s="139"/>
      <c r="N1654" s="139"/>
      <c r="O1654" s="225"/>
      <c r="P1654" s="225"/>
      <c r="Q1654" s="140"/>
      <c r="R1654" s="225"/>
      <c r="S1654" s="225"/>
      <c r="T1654" s="140"/>
      <c r="U1654" s="137"/>
    </row>
    <row r="1655" spans="1:29" s="136" customFormat="1" ht="27" customHeight="1">
      <c r="A1655" s="296" t="s">
        <v>393</v>
      </c>
      <c r="B1655" s="296" t="s">
        <v>670</v>
      </c>
      <c r="C1655" s="296" t="s">
        <v>396</v>
      </c>
      <c r="D1655" s="379" t="s">
        <v>397</v>
      </c>
      <c r="E1655" s="287"/>
      <c r="F1655" s="248" t="s">
        <v>400</v>
      </c>
      <c r="G1655" s="248" t="s">
        <v>670</v>
      </c>
      <c r="H1655" s="248" t="s">
        <v>671</v>
      </c>
      <c r="I1655" s="248" t="s">
        <v>672</v>
      </c>
      <c r="K1655" s="150"/>
      <c r="L1655" s="141"/>
      <c r="M1655" s="141"/>
      <c r="N1655" s="142"/>
      <c r="O1655" s="143"/>
      <c r="P1655" s="144"/>
      <c r="Q1655" s="145"/>
      <c r="R1655" s="146"/>
      <c r="S1655" s="147"/>
      <c r="T1655" s="148"/>
      <c r="U1655" s="137"/>
    </row>
    <row r="1656" spans="1:29" s="136" customFormat="1" ht="15.75">
      <c r="A1656" s="249">
        <v>300</v>
      </c>
      <c r="B1656" s="250">
        <v>24.87</v>
      </c>
      <c r="C1656" s="251">
        <v>8.2900000000000001E-2</v>
      </c>
      <c r="D1656" s="380">
        <v>1.18E-2</v>
      </c>
      <c r="E1656" s="288"/>
      <c r="F1656" s="249">
        <v>1000</v>
      </c>
      <c r="G1656" s="250">
        <v>11.6</v>
      </c>
      <c r="H1656" s="251">
        <v>1.1599999999999999E-2</v>
      </c>
      <c r="I1656" s="251">
        <v>8.2299999999999998E-2</v>
      </c>
      <c r="K1656" s="150"/>
      <c r="L1656" s="149"/>
      <c r="M1656" s="149"/>
      <c r="N1656" s="149"/>
      <c r="O1656" s="137"/>
      <c r="P1656" s="144"/>
      <c r="Q1656" s="145"/>
      <c r="R1656" s="146"/>
      <c r="S1656" s="147"/>
      <c r="T1656" s="148"/>
      <c r="U1656" s="137"/>
    </row>
    <row r="1657" spans="1:29" s="136" customFormat="1" ht="15.75">
      <c r="A1657" s="249">
        <v>500</v>
      </c>
      <c r="B1657" s="250">
        <v>39.6</v>
      </c>
      <c r="C1657" s="251">
        <v>7.9200000000000007E-2</v>
      </c>
      <c r="D1657" s="380">
        <v>1.18E-2</v>
      </c>
      <c r="E1657" s="288"/>
      <c r="F1657" s="249">
        <v>1500</v>
      </c>
      <c r="G1657" s="250">
        <v>16.95</v>
      </c>
      <c r="H1657" s="251">
        <v>1.1299999999999999E-2</v>
      </c>
      <c r="I1657" s="251">
        <v>8.2299999999999998E-2</v>
      </c>
      <c r="K1657" s="150"/>
      <c r="O1657" s="137"/>
      <c r="P1657" s="144"/>
      <c r="Q1657" s="145"/>
      <c r="R1657" s="146"/>
      <c r="S1657" s="147"/>
      <c r="T1657" s="148"/>
      <c r="U1657" s="137"/>
    </row>
    <row r="1658" spans="1:29" s="136" customFormat="1" ht="15.75">
      <c r="A1658" s="249">
        <v>700</v>
      </c>
      <c r="B1658" s="250">
        <v>53.97</v>
      </c>
      <c r="C1658" s="251">
        <v>7.7100000000000002E-2</v>
      </c>
      <c r="D1658" s="380">
        <v>1.18E-2</v>
      </c>
      <c r="E1658" s="288"/>
      <c r="F1658" s="249">
        <v>2000</v>
      </c>
      <c r="G1658" s="250">
        <v>22.199999999999996</v>
      </c>
      <c r="H1658" s="251">
        <v>1.1099999999999999E-2</v>
      </c>
      <c r="I1658" s="251">
        <v>8.2299999999999998E-2</v>
      </c>
      <c r="K1658" s="150"/>
      <c r="O1658" s="137"/>
      <c r="P1658" s="144"/>
      <c r="Q1658" s="145"/>
      <c r="R1658" s="146"/>
      <c r="S1658" s="147"/>
      <c r="T1658" s="148"/>
      <c r="U1658" s="137"/>
    </row>
    <row r="1659" spans="1:29" s="136" customFormat="1" ht="15.75">
      <c r="A1659" s="249">
        <v>800</v>
      </c>
      <c r="B1659" s="250">
        <v>62.32</v>
      </c>
      <c r="C1659" s="251">
        <v>7.7899999999999997E-2</v>
      </c>
      <c r="D1659" s="380">
        <v>1.18E-2</v>
      </c>
      <c r="E1659" s="288"/>
      <c r="F1659" s="249">
        <v>2500</v>
      </c>
      <c r="G1659" s="250">
        <v>27.5</v>
      </c>
      <c r="H1659" s="251">
        <v>1.0999999999999999E-2</v>
      </c>
      <c r="I1659" s="251">
        <v>8.2299999999999998E-2</v>
      </c>
      <c r="K1659" s="150"/>
      <c r="O1659" s="137"/>
      <c r="P1659" s="144"/>
      <c r="Q1659" s="145"/>
      <c r="R1659" s="146"/>
      <c r="S1659" s="147"/>
      <c r="T1659" s="148"/>
      <c r="U1659" s="137"/>
    </row>
    <row r="1660" spans="1:29" s="136" customFormat="1" ht="15.75">
      <c r="A1660" s="249">
        <v>1200</v>
      </c>
      <c r="B1660" s="250">
        <v>91.2</v>
      </c>
      <c r="C1660" s="251">
        <v>7.5999999999999998E-2</v>
      </c>
      <c r="D1660" s="380">
        <v>1.18E-2</v>
      </c>
      <c r="E1660" s="288"/>
      <c r="F1660" s="249">
        <v>3700</v>
      </c>
      <c r="G1660" s="250">
        <v>39.22</v>
      </c>
      <c r="H1660" s="251">
        <v>1.06E-2</v>
      </c>
      <c r="I1660" s="251">
        <v>8.2299999999999998E-2</v>
      </c>
      <c r="K1660" s="150"/>
      <c r="O1660" s="150"/>
      <c r="P1660" s="150"/>
      <c r="Q1660" s="150"/>
      <c r="R1660" s="150"/>
      <c r="S1660" s="150"/>
      <c r="T1660" s="150"/>
      <c r="U1660" s="150"/>
    </row>
    <row r="1661" spans="1:29" s="136" customFormat="1" ht="15.75">
      <c r="A1661" s="249">
        <v>1700</v>
      </c>
      <c r="B1661" s="250">
        <v>126.48000000000002</v>
      </c>
      <c r="C1661" s="251">
        <v>7.4400000000000008E-2</v>
      </c>
      <c r="D1661" s="380">
        <v>1.18E-2</v>
      </c>
      <c r="E1661" s="288"/>
      <c r="F1661" s="249">
        <v>5000</v>
      </c>
      <c r="G1661" s="250">
        <v>52.499999999999993</v>
      </c>
      <c r="H1661" s="251">
        <v>1.0499999999999999E-2</v>
      </c>
      <c r="I1661" s="251">
        <v>8.2299999999999998E-2</v>
      </c>
      <c r="K1661" s="150"/>
      <c r="O1661" s="150"/>
      <c r="P1661" s="150"/>
      <c r="Q1661" s="150"/>
      <c r="R1661" s="150"/>
      <c r="S1661" s="150"/>
      <c r="T1661" s="150"/>
      <c r="U1661" s="150"/>
    </row>
    <row r="1662" spans="1:29" s="136" customFormat="1" ht="15.75">
      <c r="A1662" s="249">
        <v>2500</v>
      </c>
      <c r="B1662" s="250">
        <v>183.50000000000003</v>
      </c>
      <c r="C1662" s="251">
        <v>7.3400000000000007E-2</v>
      </c>
      <c r="D1662" s="380">
        <v>1.18E-2</v>
      </c>
      <c r="E1662" s="288"/>
      <c r="F1662" s="249">
        <v>7400</v>
      </c>
      <c r="G1662" s="250">
        <v>76.22</v>
      </c>
      <c r="H1662" s="251">
        <v>1.03E-2</v>
      </c>
      <c r="I1662" s="251">
        <v>8.2299999999999998E-2</v>
      </c>
      <c r="K1662" s="150"/>
    </row>
    <row r="1663" spans="1:29" s="136" customFormat="1" ht="16.5" thickBot="1">
      <c r="A1663" s="252">
        <v>12400</v>
      </c>
      <c r="B1663" s="253">
        <v>892.80000000000007</v>
      </c>
      <c r="C1663" s="254">
        <v>7.2000000000000008E-2</v>
      </c>
      <c r="D1663" s="381">
        <v>1.18E-2</v>
      </c>
      <c r="E1663" s="288"/>
      <c r="F1663" s="252">
        <v>12400</v>
      </c>
      <c r="G1663" s="253">
        <v>124</v>
      </c>
      <c r="H1663" s="254">
        <v>0.01</v>
      </c>
      <c r="I1663" s="254">
        <v>8.2299999999999998E-2</v>
      </c>
      <c r="K1663" s="150"/>
    </row>
    <row r="1664" spans="1:29" s="136" customFormat="1" ht="16.5" thickBot="1">
      <c r="A1664" s="151" t="s">
        <v>401</v>
      </c>
      <c r="B1664" s="241"/>
      <c r="C1664" s="241"/>
      <c r="D1664" s="295"/>
      <c r="E1664" s="289"/>
      <c r="F1664" s="151" t="s">
        <v>401</v>
      </c>
      <c r="G1664" s="241"/>
      <c r="H1664" s="242"/>
      <c r="I1664" s="243"/>
      <c r="K1664" s="150"/>
    </row>
    <row r="1665" spans="1:21" s="136" customFormat="1" ht="15.75">
      <c r="A1665" s="155"/>
      <c r="B1665" s="134"/>
      <c r="C1665" s="134"/>
      <c r="D1665" s="135"/>
      <c r="E1665" s="284"/>
      <c r="F1665" s="155"/>
      <c r="G1665" s="134"/>
      <c r="H1665" s="135"/>
      <c r="I1665" s="134"/>
      <c r="K1665" s="150"/>
    </row>
    <row r="1666" spans="1:21" s="136" customFormat="1" ht="16.5" thickBot="1">
      <c r="A1666" s="133" t="s">
        <v>786</v>
      </c>
      <c r="B1666" s="134"/>
      <c r="C1666" s="134"/>
      <c r="D1666" s="135"/>
      <c r="E1666" s="284"/>
      <c r="K1666" s="150"/>
      <c r="O1666" s="420"/>
      <c r="P1666" s="421"/>
      <c r="Q1666" s="421"/>
      <c r="R1666" s="420"/>
      <c r="S1666" s="421"/>
      <c r="T1666" s="421"/>
      <c r="U1666" s="137"/>
    </row>
    <row r="1667" spans="1:21" s="136" customFormat="1" ht="31.5" customHeight="1">
      <c r="A1667" s="413" t="s">
        <v>398</v>
      </c>
      <c r="B1667" s="414"/>
      <c r="C1667" s="414"/>
      <c r="D1667" s="414"/>
      <c r="E1667" s="286"/>
      <c r="F1667" s="413" t="s">
        <v>399</v>
      </c>
      <c r="G1667" s="414"/>
      <c r="H1667" s="414"/>
      <c r="I1667" s="415"/>
      <c r="K1667" s="150"/>
      <c r="L1667" s="305"/>
      <c r="M1667" s="139"/>
      <c r="N1667" s="139"/>
      <c r="O1667" s="225"/>
      <c r="P1667" s="225"/>
      <c r="Q1667" s="140"/>
      <c r="R1667" s="225"/>
      <c r="S1667" s="225"/>
      <c r="T1667" s="140"/>
      <c r="U1667" s="137"/>
    </row>
    <row r="1668" spans="1:21" s="136" customFormat="1" ht="27" customHeight="1">
      <c r="A1668" s="248" t="s">
        <v>393</v>
      </c>
      <c r="B1668" s="248" t="s">
        <v>670</v>
      </c>
      <c r="C1668" s="248" t="s">
        <v>396</v>
      </c>
      <c r="D1668" s="382" t="s">
        <v>397</v>
      </c>
      <c r="E1668" s="287"/>
      <c r="F1668" s="248" t="s">
        <v>400</v>
      </c>
      <c r="G1668" s="248" t="s">
        <v>670</v>
      </c>
      <c r="H1668" s="248" t="s">
        <v>671</v>
      </c>
      <c r="I1668" s="248" t="s">
        <v>672</v>
      </c>
      <c r="K1668" s="150"/>
      <c r="L1668" s="141"/>
      <c r="M1668" s="141"/>
      <c r="N1668" s="142"/>
      <c r="O1668" s="143"/>
      <c r="P1668" s="144"/>
      <c r="Q1668" s="145"/>
      <c r="R1668" s="146"/>
      <c r="S1668" s="147"/>
      <c r="T1668" s="148"/>
      <c r="U1668" s="137"/>
    </row>
    <row r="1669" spans="1:21" s="136" customFormat="1" ht="15.75">
      <c r="A1669" s="249">
        <v>500</v>
      </c>
      <c r="B1669" s="250">
        <v>37.950000000000003</v>
      </c>
      <c r="C1669" s="251">
        <v>7.5899999999999995E-2</v>
      </c>
      <c r="D1669" s="380">
        <v>1.03E-2</v>
      </c>
      <c r="E1669" s="288"/>
      <c r="F1669" s="249">
        <v>1400</v>
      </c>
      <c r="G1669" s="250">
        <v>14.14</v>
      </c>
      <c r="H1669" s="251">
        <v>1.01E-2</v>
      </c>
      <c r="I1669" s="251">
        <v>7.7499999999999999E-2</v>
      </c>
      <c r="K1669" s="150"/>
      <c r="L1669" s="149"/>
      <c r="M1669" s="149"/>
      <c r="N1669" s="149"/>
      <c r="O1669" s="137"/>
      <c r="P1669" s="144"/>
      <c r="Q1669" s="145"/>
      <c r="R1669" s="146"/>
      <c r="S1669" s="147"/>
      <c r="T1669" s="148"/>
      <c r="U1669" s="137"/>
    </row>
    <row r="1670" spans="1:21" s="136" customFormat="1" ht="15.75">
      <c r="A1670" s="249">
        <v>700</v>
      </c>
      <c r="B1670" s="250">
        <v>52.22</v>
      </c>
      <c r="C1670" s="251">
        <v>7.46E-2</v>
      </c>
      <c r="D1670" s="380">
        <v>1.03E-2</v>
      </c>
      <c r="E1670" s="288"/>
      <c r="F1670" s="249">
        <v>2100</v>
      </c>
      <c r="G1670" s="250">
        <v>20.58</v>
      </c>
      <c r="H1670" s="251">
        <v>9.7999999999999997E-3</v>
      </c>
      <c r="I1670" s="251">
        <v>7.7499999999999999E-2</v>
      </c>
      <c r="K1670" s="150"/>
      <c r="O1670" s="137"/>
      <c r="P1670" s="144"/>
      <c r="Q1670" s="145"/>
      <c r="R1670" s="146"/>
      <c r="S1670" s="147"/>
      <c r="T1670" s="148"/>
      <c r="U1670" s="137"/>
    </row>
    <row r="1671" spans="1:21" s="136" customFormat="1" ht="15.75">
      <c r="A1671" s="249">
        <v>900</v>
      </c>
      <c r="B1671" s="250">
        <v>66.33</v>
      </c>
      <c r="C1671" s="251">
        <v>7.3700000000000002E-2</v>
      </c>
      <c r="D1671" s="380">
        <v>1.03E-2</v>
      </c>
      <c r="E1671" s="288"/>
      <c r="F1671" s="249">
        <v>2800</v>
      </c>
      <c r="G1671" s="250">
        <v>27.16</v>
      </c>
      <c r="H1671" s="251">
        <v>9.7000000000000003E-3</v>
      </c>
      <c r="I1671" s="251">
        <v>7.7499999999999999E-2</v>
      </c>
      <c r="K1671" s="150"/>
      <c r="O1671" s="137"/>
      <c r="P1671" s="144"/>
      <c r="Q1671" s="145"/>
      <c r="R1671" s="146"/>
      <c r="S1671" s="147"/>
      <c r="T1671" s="148"/>
      <c r="U1671" s="137"/>
    </row>
    <row r="1672" spans="1:21" s="136" customFormat="1" ht="15.75">
      <c r="A1672" s="249">
        <v>1200</v>
      </c>
      <c r="B1672" s="250">
        <v>87.12</v>
      </c>
      <c r="C1672" s="251">
        <v>7.2599999999999998E-2</v>
      </c>
      <c r="D1672" s="380">
        <v>1.03E-2</v>
      </c>
      <c r="E1672" s="288"/>
      <c r="F1672" s="249">
        <v>3500</v>
      </c>
      <c r="G1672" s="250">
        <v>33.25</v>
      </c>
      <c r="H1672" s="251">
        <v>9.4999999999999998E-3</v>
      </c>
      <c r="I1672" s="251">
        <v>7.7499999999999999E-2</v>
      </c>
      <c r="K1672" s="150"/>
      <c r="O1672" s="137"/>
      <c r="P1672" s="144"/>
      <c r="Q1672" s="145"/>
      <c r="R1672" s="146"/>
      <c r="S1672" s="147"/>
      <c r="T1672" s="148"/>
      <c r="U1672" s="137"/>
    </row>
    <row r="1673" spans="1:21" s="136" customFormat="1" ht="15.75">
      <c r="A1673" s="249">
        <v>1700</v>
      </c>
      <c r="B1673" s="250">
        <v>121.38</v>
      </c>
      <c r="C1673" s="251">
        <v>7.1400000000000005E-2</v>
      </c>
      <c r="D1673" s="380">
        <v>1.03E-2</v>
      </c>
      <c r="E1673" s="288"/>
      <c r="F1673" s="249">
        <v>5200</v>
      </c>
      <c r="G1673" s="250">
        <v>48.36</v>
      </c>
      <c r="H1673" s="251">
        <v>9.2999999999999992E-3</v>
      </c>
      <c r="I1673" s="251">
        <v>7.7499999999999999E-2</v>
      </c>
      <c r="K1673" s="150"/>
      <c r="O1673" s="150"/>
      <c r="P1673" s="150"/>
      <c r="Q1673" s="150"/>
      <c r="R1673" s="150"/>
      <c r="S1673" s="150"/>
      <c r="T1673" s="150"/>
      <c r="U1673" s="150"/>
    </row>
    <row r="1674" spans="1:21" s="136" customFormat="1" ht="15.75">
      <c r="A1674" s="249">
        <v>2300</v>
      </c>
      <c r="B1674" s="250">
        <v>161.91999999999999</v>
      </c>
      <c r="C1674" s="251">
        <v>7.0400000000000004E-2</v>
      </c>
      <c r="D1674" s="380">
        <v>1.03E-2</v>
      </c>
      <c r="E1674" s="288"/>
      <c r="F1674" s="249">
        <v>6900</v>
      </c>
      <c r="G1674" s="250">
        <v>63.48</v>
      </c>
      <c r="H1674" s="251">
        <v>9.1999999999999998E-3</v>
      </c>
      <c r="I1674" s="251">
        <v>7.7499999999999999E-2</v>
      </c>
      <c r="K1674" s="150"/>
      <c r="O1674" s="150"/>
      <c r="P1674" s="150"/>
      <c r="Q1674" s="150"/>
      <c r="R1674" s="150"/>
      <c r="S1674" s="150"/>
      <c r="T1674" s="150"/>
      <c r="U1674" s="150"/>
    </row>
    <row r="1675" spans="1:21" s="136" customFormat="1" ht="15.75">
      <c r="A1675" s="249">
        <v>3500</v>
      </c>
      <c r="B1675" s="250">
        <v>242.2</v>
      </c>
      <c r="C1675" s="251">
        <v>6.9199999999999998E-2</v>
      </c>
      <c r="D1675" s="380">
        <v>1.03E-2</v>
      </c>
      <c r="E1675" s="288"/>
      <c r="F1675" s="249">
        <v>10400</v>
      </c>
      <c r="G1675" s="250">
        <v>93.6</v>
      </c>
      <c r="H1675" s="251">
        <v>8.9999999999999993E-3</v>
      </c>
      <c r="I1675" s="251">
        <v>7.7499999999999999E-2</v>
      </c>
      <c r="K1675" s="150"/>
    </row>
    <row r="1676" spans="1:21" s="136" customFormat="1" ht="16.5" thickBot="1">
      <c r="A1676" s="252">
        <v>5800</v>
      </c>
      <c r="B1676" s="253">
        <v>392.66</v>
      </c>
      <c r="C1676" s="254">
        <v>6.7699999999999996E-2</v>
      </c>
      <c r="D1676" s="381">
        <v>1.03E-2</v>
      </c>
      <c r="E1676" s="288"/>
      <c r="F1676" s="252">
        <v>17300</v>
      </c>
      <c r="G1676" s="253">
        <v>150.51</v>
      </c>
      <c r="H1676" s="254">
        <v>8.6999999999999994E-3</v>
      </c>
      <c r="I1676" s="254">
        <v>7.7499999999999999E-2</v>
      </c>
      <c r="K1676" s="150"/>
    </row>
    <row r="1677" spans="1:21" s="136" customFormat="1" ht="16.5" thickBot="1">
      <c r="A1677" s="151" t="s">
        <v>401</v>
      </c>
      <c r="B1677" s="241"/>
      <c r="C1677" s="241"/>
      <c r="D1677" s="295"/>
      <c r="E1677" s="289"/>
      <c r="F1677" s="151" t="s">
        <v>401</v>
      </c>
      <c r="G1677" s="241"/>
      <c r="H1677" s="242"/>
      <c r="I1677" s="243"/>
      <c r="K1677" s="150"/>
    </row>
    <row r="1678" spans="1:21" s="136" customFormat="1" ht="15.75">
      <c r="A1678" s="155"/>
      <c r="B1678" s="134"/>
      <c r="C1678" s="134"/>
      <c r="D1678" s="135"/>
      <c r="E1678" s="284"/>
      <c r="F1678" s="155"/>
      <c r="G1678" s="134"/>
      <c r="H1678" s="135"/>
      <c r="I1678" s="134"/>
      <c r="K1678" s="150"/>
    </row>
    <row r="1679" spans="1:21" s="136" customFormat="1" ht="16.5" thickBot="1">
      <c r="A1679" s="133" t="s">
        <v>787</v>
      </c>
      <c r="B1679" s="134"/>
      <c r="C1679" s="134"/>
      <c r="D1679" s="135"/>
      <c r="E1679" s="284"/>
      <c r="K1679" s="150"/>
    </row>
    <row r="1680" spans="1:21" s="138" customFormat="1" ht="31.5" customHeight="1">
      <c r="A1680" s="413" t="s">
        <v>398</v>
      </c>
      <c r="B1680" s="414"/>
      <c r="C1680" s="414"/>
      <c r="D1680" s="414"/>
      <c r="E1680" s="286"/>
      <c r="F1680" s="413" t="s">
        <v>399</v>
      </c>
      <c r="G1680" s="414"/>
      <c r="H1680" s="414"/>
      <c r="I1680" s="415"/>
      <c r="K1680" s="307"/>
      <c r="L1680" s="305"/>
      <c r="M1680" s="139"/>
      <c r="N1680" s="139"/>
    </row>
    <row r="1681" spans="1:14" s="138" customFormat="1" ht="27" customHeight="1">
      <c r="A1681" s="248" t="s">
        <v>393</v>
      </c>
      <c r="B1681" s="248" t="s">
        <v>670</v>
      </c>
      <c r="C1681" s="248" t="s">
        <v>396</v>
      </c>
      <c r="D1681" s="382" t="s">
        <v>397</v>
      </c>
      <c r="E1681" s="287"/>
      <c r="F1681" s="248" t="s">
        <v>400</v>
      </c>
      <c r="G1681" s="248" t="s">
        <v>670</v>
      </c>
      <c r="H1681" s="248" t="s">
        <v>671</v>
      </c>
      <c r="I1681" s="248" t="s">
        <v>672</v>
      </c>
      <c r="K1681" s="307"/>
      <c r="L1681" s="141"/>
      <c r="M1681" s="141"/>
      <c r="N1681" s="142"/>
    </row>
    <row r="1682" spans="1:14" s="138" customFormat="1" ht="15.75">
      <c r="A1682" s="249">
        <v>700</v>
      </c>
      <c r="B1682" s="250">
        <v>51.45000000000001</v>
      </c>
      <c r="C1682" s="251">
        <v>7.350000000000001E-2</v>
      </c>
      <c r="D1682" s="380">
        <v>9.2999999999999992E-3</v>
      </c>
      <c r="E1682" s="288"/>
      <c r="F1682" s="249">
        <v>2100</v>
      </c>
      <c r="G1682" s="250">
        <v>19.32</v>
      </c>
      <c r="H1682" s="251">
        <v>9.1999999999999998E-3</v>
      </c>
      <c r="I1682" s="251">
        <v>7.46E-2</v>
      </c>
      <c r="K1682" s="307"/>
      <c r="L1682" s="156"/>
      <c r="M1682" s="156"/>
      <c r="N1682" s="156"/>
    </row>
    <row r="1683" spans="1:14" s="138" customFormat="1" ht="15.75">
      <c r="A1683" s="249">
        <v>1100</v>
      </c>
      <c r="B1683" s="250">
        <v>79.09</v>
      </c>
      <c r="C1683" s="251">
        <v>7.1900000000000006E-2</v>
      </c>
      <c r="D1683" s="380">
        <v>9.2999999999999992E-3</v>
      </c>
      <c r="E1683" s="288"/>
      <c r="F1683" s="249">
        <v>3200</v>
      </c>
      <c r="G1683" s="250">
        <v>28.48</v>
      </c>
      <c r="H1683" s="251">
        <v>8.8999999999999999E-3</v>
      </c>
      <c r="I1683" s="251">
        <v>7.46E-2</v>
      </c>
      <c r="K1683" s="307"/>
    </row>
    <row r="1684" spans="1:14" s="138" customFormat="1" ht="15.75">
      <c r="A1684" s="249">
        <v>1400</v>
      </c>
      <c r="B1684" s="250">
        <v>99.4</v>
      </c>
      <c r="C1684" s="251">
        <v>7.1000000000000008E-2</v>
      </c>
      <c r="D1684" s="380">
        <v>9.2999999999999992E-3</v>
      </c>
      <c r="E1684" s="288"/>
      <c r="F1684" s="249">
        <v>4200</v>
      </c>
      <c r="G1684" s="250">
        <v>36.959999999999994</v>
      </c>
      <c r="H1684" s="251">
        <v>8.7999999999999988E-3</v>
      </c>
      <c r="I1684" s="251">
        <v>7.46E-2</v>
      </c>
      <c r="K1684" s="307"/>
    </row>
    <row r="1685" spans="1:14" s="138" customFormat="1" ht="15.75">
      <c r="A1685" s="249">
        <v>1800</v>
      </c>
      <c r="B1685" s="250">
        <v>126.36</v>
      </c>
      <c r="C1685" s="251">
        <v>7.0199999999999999E-2</v>
      </c>
      <c r="D1685" s="380">
        <v>9.2999999999999992E-3</v>
      </c>
      <c r="E1685" s="288"/>
      <c r="F1685" s="249">
        <v>5300</v>
      </c>
      <c r="G1685" s="250">
        <v>46.11</v>
      </c>
      <c r="H1685" s="251">
        <v>8.6999999999999994E-3</v>
      </c>
      <c r="I1685" s="251">
        <v>7.46E-2</v>
      </c>
      <c r="K1685" s="307"/>
    </row>
    <row r="1686" spans="1:14" s="138" customFormat="1" ht="15.75">
      <c r="A1686" s="249">
        <v>2600</v>
      </c>
      <c r="B1686" s="250">
        <v>179.4</v>
      </c>
      <c r="C1686" s="251">
        <v>6.9000000000000006E-2</v>
      </c>
      <c r="D1686" s="380">
        <v>9.2999999999999992E-3</v>
      </c>
      <c r="E1686" s="288"/>
      <c r="F1686" s="249">
        <v>7900</v>
      </c>
      <c r="G1686" s="250">
        <v>67.149999999999991</v>
      </c>
      <c r="H1686" s="251">
        <v>8.4999999999999989E-3</v>
      </c>
      <c r="I1686" s="251">
        <v>7.46E-2</v>
      </c>
      <c r="K1686" s="307"/>
    </row>
    <row r="1687" spans="1:14" s="138" customFormat="1" ht="15.75">
      <c r="A1687" s="249">
        <v>3500</v>
      </c>
      <c r="B1687" s="250">
        <v>238.35000000000002</v>
      </c>
      <c r="C1687" s="251">
        <v>6.8100000000000008E-2</v>
      </c>
      <c r="D1687" s="380">
        <v>9.2999999999999992E-3</v>
      </c>
      <c r="E1687" s="288"/>
      <c r="F1687" s="249">
        <v>10500</v>
      </c>
      <c r="G1687" s="250">
        <v>87.15</v>
      </c>
      <c r="H1687" s="251">
        <v>8.3000000000000001E-3</v>
      </c>
      <c r="I1687" s="251">
        <v>7.46E-2</v>
      </c>
      <c r="K1687" s="307"/>
    </row>
    <row r="1688" spans="1:14" s="138" customFormat="1" ht="15.75">
      <c r="A1688" s="249">
        <v>5300</v>
      </c>
      <c r="B1688" s="250">
        <v>354.03999999999996</v>
      </c>
      <c r="C1688" s="251">
        <v>6.6799999999999998E-2</v>
      </c>
      <c r="D1688" s="380">
        <v>9.2999999999999992E-3</v>
      </c>
      <c r="E1688" s="288"/>
      <c r="F1688" s="249">
        <v>15800</v>
      </c>
      <c r="G1688" s="250">
        <v>129.55999999999997</v>
      </c>
      <c r="H1688" s="251">
        <v>8.199999999999999E-3</v>
      </c>
      <c r="I1688" s="251">
        <v>7.46E-2</v>
      </c>
      <c r="K1688" s="307"/>
    </row>
    <row r="1689" spans="1:14" s="138" customFormat="1" ht="16.5" thickBot="1">
      <c r="A1689" s="252">
        <v>8800</v>
      </c>
      <c r="B1689" s="253">
        <v>574.64</v>
      </c>
      <c r="C1689" s="254">
        <v>6.5299999999999997E-2</v>
      </c>
      <c r="D1689" s="381">
        <v>9.2999999999999992E-3</v>
      </c>
      <c r="E1689" s="288"/>
      <c r="F1689" s="252">
        <v>26300</v>
      </c>
      <c r="G1689" s="253">
        <v>210.4</v>
      </c>
      <c r="H1689" s="254">
        <v>8.0000000000000002E-3</v>
      </c>
      <c r="I1689" s="254">
        <v>7.46E-2</v>
      </c>
      <c r="K1689" s="307"/>
    </row>
    <row r="1690" spans="1:14" s="136" customFormat="1" ht="16.5" thickBot="1">
      <c r="A1690" s="151" t="s">
        <v>401</v>
      </c>
      <c r="B1690" s="241"/>
      <c r="C1690" s="241"/>
      <c r="D1690" s="295"/>
      <c r="E1690" s="289"/>
      <c r="F1690" s="151" t="s">
        <v>401</v>
      </c>
      <c r="G1690" s="241"/>
      <c r="H1690" s="242"/>
      <c r="I1690" s="243"/>
      <c r="K1690" s="150"/>
    </row>
    <row r="1691" spans="1:14" s="136" customFormat="1" ht="15.75">
      <c r="A1691" s="155"/>
      <c r="B1691" s="134"/>
      <c r="C1691" s="134"/>
      <c r="D1691" s="135"/>
      <c r="E1691" s="284"/>
      <c r="F1691" s="155"/>
      <c r="G1691" s="134"/>
      <c r="H1691" s="135"/>
      <c r="I1691" s="134"/>
      <c r="K1691" s="150"/>
    </row>
    <row r="1692" spans="1:14" s="168" customFormat="1" ht="16.5" thickBot="1">
      <c r="A1692" s="165" t="s">
        <v>416</v>
      </c>
      <c r="B1692" s="166"/>
      <c r="C1692" s="166"/>
      <c r="D1692" s="167"/>
      <c r="E1692" s="284"/>
      <c r="K1692" s="308"/>
    </row>
    <row r="1693" spans="1:14" s="136" customFormat="1" ht="33" customHeight="1">
      <c r="A1693" s="413" t="s">
        <v>402</v>
      </c>
      <c r="B1693" s="414"/>
      <c r="C1693" s="414"/>
      <c r="D1693" s="414"/>
      <c r="E1693" s="286"/>
      <c r="F1693" s="413" t="s">
        <v>403</v>
      </c>
      <c r="G1693" s="414"/>
      <c r="H1693" s="414"/>
      <c r="I1693" s="415"/>
      <c r="K1693" s="150"/>
      <c r="L1693" s="132"/>
    </row>
    <row r="1694" spans="1:14" s="136" customFormat="1" ht="27" customHeight="1">
      <c r="A1694" s="248" t="s">
        <v>393</v>
      </c>
      <c r="B1694" s="248" t="s">
        <v>670</v>
      </c>
      <c r="C1694" s="248" t="s">
        <v>396</v>
      </c>
      <c r="D1694" s="382" t="s">
        <v>397</v>
      </c>
      <c r="E1694" s="287"/>
      <c r="F1694" s="248" t="s">
        <v>400</v>
      </c>
      <c r="G1694" s="248" t="s">
        <v>670</v>
      </c>
      <c r="H1694" s="248" t="s">
        <v>671</v>
      </c>
      <c r="I1694" s="248" t="s">
        <v>672</v>
      </c>
      <c r="K1694" s="150"/>
    </row>
    <row r="1695" spans="1:14" s="136" customFormat="1" ht="15.75">
      <c r="A1695" s="249">
        <v>200</v>
      </c>
      <c r="B1695" s="250">
        <v>16.7</v>
      </c>
      <c r="C1695" s="251">
        <v>8.3510000000000001E-2</v>
      </c>
      <c r="D1695" s="380">
        <v>1.678E-2</v>
      </c>
      <c r="E1695" s="288"/>
      <c r="F1695" s="249">
        <v>1000</v>
      </c>
      <c r="G1695" s="250">
        <v>16.02</v>
      </c>
      <c r="H1695" s="251">
        <v>1.602E-2</v>
      </c>
      <c r="I1695" s="251">
        <v>8.7419999999999998E-2</v>
      </c>
      <c r="K1695" s="150"/>
    </row>
    <row r="1696" spans="1:14" s="136" customFormat="1" ht="15.75">
      <c r="A1696" s="249">
        <v>300</v>
      </c>
      <c r="B1696" s="250">
        <v>23.48</v>
      </c>
      <c r="C1696" s="251">
        <v>7.8259999999999996E-2</v>
      </c>
      <c r="D1696" s="380">
        <v>1.678E-2</v>
      </c>
      <c r="E1696" s="288"/>
      <c r="F1696" s="249">
        <v>1500</v>
      </c>
      <c r="G1696" s="250">
        <v>22.52</v>
      </c>
      <c r="H1696" s="251">
        <v>1.502E-2</v>
      </c>
      <c r="I1696" s="251">
        <v>8.7419999999999998E-2</v>
      </c>
      <c r="K1696" s="150"/>
    </row>
    <row r="1697" spans="1:12" s="136" customFormat="1" ht="15.75">
      <c r="A1697" s="249">
        <v>400</v>
      </c>
      <c r="B1697" s="250">
        <v>29.9</v>
      </c>
      <c r="C1697" s="251">
        <v>7.4749999999999997E-2</v>
      </c>
      <c r="D1697" s="380">
        <v>1.678E-2</v>
      </c>
      <c r="E1697" s="288"/>
      <c r="F1697" s="249">
        <v>2000</v>
      </c>
      <c r="G1697" s="250">
        <v>28.68</v>
      </c>
      <c r="H1697" s="251">
        <v>1.434E-2</v>
      </c>
      <c r="I1697" s="251">
        <v>8.7419999999999998E-2</v>
      </c>
      <c r="K1697" s="150"/>
    </row>
    <row r="1698" spans="1:12" s="136" customFormat="1" ht="15.75">
      <c r="A1698" s="249">
        <v>500</v>
      </c>
      <c r="B1698" s="250">
        <v>36.06</v>
      </c>
      <c r="C1698" s="251">
        <v>7.2120000000000004E-2</v>
      </c>
      <c r="D1698" s="380">
        <v>1.678E-2</v>
      </c>
      <c r="E1698" s="288"/>
      <c r="F1698" s="249">
        <v>2500</v>
      </c>
      <c r="G1698" s="250">
        <v>35.49</v>
      </c>
      <c r="H1698" s="251">
        <v>1.384E-2</v>
      </c>
      <c r="I1698" s="251">
        <v>8.7419999999999998E-2</v>
      </c>
      <c r="K1698" s="150"/>
    </row>
    <row r="1699" spans="1:12" s="136" customFormat="1" ht="15.75">
      <c r="A1699" s="249">
        <v>800</v>
      </c>
      <c r="B1699" s="250">
        <v>53.52</v>
      </c>
      <c r="C1699" s="251">
        <v>6.6900000000000001E-2</v>
      </c>
      <c r="D1699" s="380">
        <v>1.678E-2</v>
      </c>
      <c r="E1699" s="288"/>
      <c r="F1699" s="249">
        <v>3700</v>
      </c>
      <c r="G1699" s="250">
        <v>48.08</v>
      </c>
      <c r="H1699" s="251">
        <v>1.2999999999999999E-2</v>
      </c>
      <c r="I1699" s="251">
        <v>8.7419999999999998E-2</v>
      </c>
      <c r="K1699" s="150"/>
    </row>
    <row r="1700" spans="1:12" s="136" customFormat="1" ht="15.75">
      <c r="A1700" s="249">
        <v>1000</v>
      </c>
      <c r="B1700" s="250">
        <v>64.55</v>
      </c>
      <c r="C1700" s="251">
        <v>6.4549999999999996E-2</v>
      </c>
      <c r="D1700" s="380">
        <v>1.678E-2</v>
      </c>
      <c r="E1700" s="288"/>
      <c r="F1700" s="249">
        <v>5000</v>
      </c>
      <c r="G1700" s="250">
        <v>61.92</v>
      </c>
      <c r="H1700" s="251">
        <v>1.238E-2</v>
      </c>
      <c r="I1700" s="251">
        <v>8.7419999999999998E-2</v>
      </c>
      <c r="K1700" s="150"/>
    </row>
    <row r="1701" spans="1:12" s="136" customFormat="1" ht="15.75">
      <c r="A1701" s="249">
        <v>1500</v>
      </c>
      <c r="B1701" s="250">
        <v>90.75</v>
      </c>
      <c r="C1701" s="251">
        <v>6.0499999999999998E-2</v>
      </c>
      <c r="D1701" s="380">
        <v>1.678E-2</v>
      </c>
      <c r="E1701" s="288"/>
      <c r="F1701" s="249">
        <v>7500</v>
      </c>
      <c r="G1701" s="250">
        <v>87.05</v>
      </c>
      <c r="H1701" s="251">
        <v>1.1610000000000001E-2</v>
      </c>
      <c r="I1701" s="251">
        <v>8.7419999999999998E-2</v>
      </c>
      <c r="K1701" s="150"/>
    </row>
    <row r="1702" spans="1:12" s="136" customFormat="1" ht="16.5" thickBot="1">
      <c r="A1702" s="252">
        <v>2500</v>
      </c>
      <c r="B1702" s="253">
        <v>139.37</v>
      </c>
      <c r="C1702" s="254">
        <v>5.5750000000000001E-2</v>
      </c>
      <c r="D1702" s="381">
        <v>1.678E-2</v>
      </c>
      <c r="E1702" s="288"/>
      <c r="F1702" s="252">
        <v>12500</v>
      </c>
      <c r="G1702" s="253">
        <v>133.69999999999999</v>
      </c>
      <c r="H1702" s="254">
        <v>1.0699999999999999E-2</v>
      </c>
      <c r="I1702" s="254">
        <v>8.7419999999999998E-2</v>
      </c>
      <c r="K1702" s="150"/>
    </row>
    <row r="1703" spans="1:12" s="136" customFormat="1" ht="16.5" thickBot="1">
      <c r="A1703" s="151" t="s">
        <v>401</v>
      </c>
      <c r="B1703" s="241"/>
      <c r="C1703" s="241"/>
      <c r="D1703" s="295"/>
      <c r="E1703" s="289"/>
      <c r="F1703" s="151" t="s">
        <v>401</v>
      </c>
      <c r="G1703" s="241"/>
      <c r="H1703" s="242"/>
      <c r="I1703" s="243"/>
      <c r="K1703" s="150"/>
    </row>
    <row r="1704" spans="1:12" s="136" customFormat="1" ht="15.75">
      <c r="A1704" s="155"/>
      <c r="B1704" s="134"/>
      <c r="C1704" s="134"/>
      <c r="D1704" s="135"/>
      <c r="E1704" s="284"/>
      <c r="F1704" s="155"/>
      <c r="G1704" s="134"/>
      <c r="H1704" s="135"/>
      <c r="I1704" s="134"/>
      <c r="K1704" s="150"/>
    </row>
    <row r="1705" spans="1:12" s="168" customFormat="1" ht="16.5" thickBot="1">
      <c r="A1705" s="165" t="s">
        <v>417</v>
      </c>
      <c r="B1705" s="166"/>
      <c r="C1705" s="166"/>
      <c r="D1705" s="167"/>
      <c r="E1705" s="284"/>
      <c r="K1705" s="308"/>
    </row>
    <row r="1706" spans="1:12" s="136" customFormat="1" ht="32.25" customHeight="1">
      <c r="A1706" s="413" t="s">
        <v>402</v>
      </c>
      <c r="B1706" s="414"/>
      <c r="C1706" s="414"/>
      <c r="D1706" s="414"/>
      <c r="E1706" s="286"/>
      <c r="F1706" s="413" t="s">
        <v>403</v>
      </c>
      <c r="G1706" s="414"/>
      <c r="H1706" s="414"/>
      <c r="I1706" s="415"/>
      <c r="K1706" s="150"/>
      <c r="L1706" s="132"/>
    </row>
    <row r="1707" spans="1:12" s="136" customFormat="1" ht="26.25" customHeight="1">
      <c r="A1707" s="248" t="s">
        <v>393</v>
      </c>
      <c r="B1707" s="248" t="s">
        <v>670</v>
      </c>
      <c r="C1707" s="248" t="s">
        <v>396</v>
      </c>
      <c r="D1707" s="382" t="s">
        <v>397</v>
      </c>
      <c r="E1707" s="287"/>
      <c r="F1707" s="248" t="s">
        <v>400</v>
      </c>
      <c r="G1707" s="248" t="s">
        <v>670</v>
      </c>
      <c r="H1707" s="248" t="s">
        <v>671</v>
      </c>
      <c r="I1707" s="248" t="s">
        <v>672</v>
      </c>
      <c r="K1707" s="150"/>
    </row>
    <row r="1708" spans="1:12" s="136" customFormat="1" ht="15.75">
      <c r="A1708" s="249">
        <v>200</v>
      </c>
      <c r="B1708" s="250">
        <v>15.87</v>
      </c>
      <c r="C1708" s="251">
        <v>7.9329999999999998E-2</v>
      </c>
      <c r="D1708" s="380">
        <v>1.5939999999999999E-2</v>
      </c>
      <c r="E1708" s="288"/>
      <c r="F1708" s="249">
        <v>1000</v>
      </c>
      <c r="G1708" s="250">
        <v>15.22</v>
      </c>
      <c r="H1708" s="251">
        <v>1.5219999999999999E-2</v>
      </c>
      <c r="I1708" s="251">
        <v>8.3040000000000003E-2</v>
      </c>
      <c r="K1708" s="150"/>
    </row>
    <row r="1709" spans="1:12" s="136" customFormat="1" ht="15.75">
      <c r="A1709" s="249">
        <v>300</v>
      </c>
      <c r="B1709" s="250">
        <v>22.31</v>
      </c>
      <c r="C1709" s="251">
        <v>7.4349999999999999E-2</v>
      </c>
      <c r="D1709" s="380">
        <v>1.5939999999999999E-2</v>
      </c>
      <c r="E1709" s="288"/>
      <c r="F1709" s="249">
        <v>1500</v>
      </c>
      <c r="G1709" s="250">
        <v>21.4</v>
      </c>
      <c r="H1709" s="251">
        <v>1.426E-2</v>
      </c>
      <c r="I1709" s="251">
        <v>8.3040000000000003E-2</v>
      </c>
      <c r="K1709" s="150"/>
    </row>
    <row r="1710" spans="1:12" s="136" customFormat="1" ht="15.75">
      <c r="A1710" s="249">
        <v>400</v>
      </c>
      <c r="B1710" s="250">
        <v>28.4</v>
      </c>
      <c r="C1710" s="251">
        <v>7.1010000000000004E-2</v>
      </c>
      <c r="D1710" s="380">
        <v>1.5939999999999999E-2</v>
      </c>
      <c r="E1710" s="288"/>
      <c r="F1710" s="249">
        <v>2000</v>
      </c>
      <c r="G1710" s="250">
        <v>27.24</v>
      </c>
      <c r="H1710" s="251">
        <v>1.362E-2</v>
      </c>
      <c r="I1710" s="251">
        <v>8.3040000000000003E-2</v>
      </c>
      <c r="K1710" s="150"/>
    </row>
    <row r="1711" spans="1:12" s="136" customFormat="1" ht="15.75">
      <c r="A1711" s="249">
        <v>500</v>
      </c>
      <c r="B1711" s="250">
        <v>34.26</v>
      </c>
      <c r="C1711" s="251">
        <v>6.8519999999999998E-2</v>
      </c>
      <c r="D1711" s="380">
        <v>1.5939999999999999E-2</v>
      </c>
      <c r="E1711" s="288"/>
      <c r="F1711" s="249">
        <v>2500</v>
      </c>
      <c r="G1711" s="250">
        <v>32.86</v>
      </c>
      <c r="H1711" s="251">
        <v>1.3140000000000001E-2</v>
      </c>
      <c r="I1711" s="251">
        <v>8.3040000000000003E-2</v>
      </c>
      <c r="K1711" s="150"/>
    </row>
    <row r="1712" spans="1:12" s="136" customFormat="1" ht="15.75">
      <c r="A1712" s="249">
        <v>800</v>
      </c>
      <c r="B1712" s="250">
        <v>50.84</v>
      </c>
      <c r="C1712" s="251">
        <v>6.3549999999999995E-2</v>
      </c>
      <c r="D1712" s="380">
        <v>1.5939999999999999E-2</v>
      </c>
      <c r="E1712" s="288"/>
      <c r="F1712" s="249">
        <v>3700</v>
      </c>
      <c r="G1712" s="250">
        <v>45.68</v>
      </c>
      <c r="H1712" s="251">
        <v>1.234E-2</v>
      </c>
      <c r="I1712" s="251">
        <v>8.3040000000000003E-2</v>
      </c>
      <c r="K1712" s="150"/>
    </row>
    <row r="1713" spans="1:14" s="136" customFormat="1" ht="15.75">
      <c r="A1713" s="249">
        <v>1000</v>
      </c>
      <c r="B1713" s="250">
        <v>61.32</v>
      </c>
      <c r="C1713" s="251">
        <v>6.132E-2</v>
      </c>
      <c r="D1713" s="380">
        <v>1.5939999999999999E-2</v>
      </c>
      <c r="E1713" s="288"/>
      <c r="F1713" s="249">
        <v>5000</v>
      </c>
      <c r="G1713" s="250">
        <v>58.82</v>
      </c>
      <c r="H1713" s="251">
        <v>1.176E-2</v>
      </c>
      <c r="I1713" s="251">
        <v>8.3040000000000003E-2</v>
      </c>
      <c r="K1713" s="150"/>
    </row>
    <row r="1714" spans="1:14" s="136" customFormat="1" ht="15.75">
      <c r="A1714" s="249">
        <v>1500</v>
      </c>
      <c r="B1714" s="250">
        <v>86.21</v>
      </c>
      <c r="C1714" s="251">
        <v>5.747E-2</v>
      </c>
      <c r="D1714" s="380">
        <v>1.5939999999999999E-2</v>
      </c>
      <c r="E1714" s="288"/>
      <c r="F1714" s="249">
        <v>7500</v>
      </c>
      <c r="G1714" s="250">
        <v>82.69</v>
      </c>
      <c r="H1714" s="251">
        <v>1.103E-2</v>
      </c>
      <c r="I1714" s="251">
        <v>8.3040000000000003E-2</v>
      </c>
      <c r="K1714" s="150"/>
    </row>
    <row r="1715" spans="1:14" s="136" customFormat="1" ht="16.5" thickBot="1">
      <c r="A1715" s="252">
        <v>2500</v>
      </c>
      <c r="B1715" s="253">
        <v>132.41</v>
      </c>
      <c r="C1715" s="254">
        <v>5.296E-2</v>
      </c>
      <c r="D1715" s="381">
        <v>1.5939999999999999E-2</v>
      </c>
      <c r="E1715" s="288"/>
      <c r="F1715" s="252">
        <v>12500</v>
      </c>
      <c r="G1715" s="253">
        <v>127.01</v>
      </c>
      <c r="H1715" s="254">
        <v>1.0160000000000001E-2</v>
      </c>
      <c r="I1715" s="254">
        <v>8.3040000000000003E-2</v>
      </c>
      <c r="K1715" s="150"/>
    </row>
    <row r="1716" spans="1:14" s="136" customFormat="1" ht="16.5" thickBot="1">
      <c r="A1716" s="151" t="s">
        <v>401</v>
      </c>
      <c r="B1716" s="241"/>
      <c r="C1716" s="241"/>
      <c r="D1716" s="295"/>
      <c r="E1716" s="289"/>
      <c r="F1716" s="151" t="s">
        <v>401</v>
      </c>
      <c r="G1716" s="241"/>
      <c r="H1716" s="242"/>
      <c r="I1716" s="243"/>
      <c r="K1716" s="150"/>
    </row>
    <row r="1717" spans="1:14" s="136" customFormat="1" ht="15.75">
      <c r="A1717" s="155"/>
      <c r="B1717" s="134"/>
      <c r="C1717" s="134"/>
      <c r="D1717" s="135"/>
      <c r="E1717" s="284"/>
      <c r="F1717" s="155"/>
      <c r="G1717" s="134"/>
      <c r="H1717" s="135"/>
      <c r="I1717" s="134"/>
      <c r="K1717" s="150"/>
    </row>
    <row r="1718" spans="1:14" s="159" customFormat="1" ht="16.5" thickBot="1">
      <c r="A1718" s="133" t="s">
        <v>404</v>
      </c>
      <c r="B1718" s="157"/>
      <c r="C1718" s="157"/>
      <c r="D1718" s="158"/>
      <c r="E1718" s="285"/>
      <c r="K1718" s="137"/>
    </row>
    <row r="1719" spans="1:14" s="160" customFormat="1" ht="33" customHeight="1">
      <c r="A1719" s="413" t="s">
        <v>398</v>
      </c>
      <c r="B1719" s="414"/>
      <c r="C1719" s="414"/>
      <c r="D1719" s="414"/>
      <c r="E1719" s="286"/>
      <c r="F1719" s="413" t="s">
        <v>399</v>
      </c>
      <c r="G1719" s="414"/>
      <c r="H1719" s="414"/>
      <c r="I1719" s="415"/>
      <c r="K1719" s="309"/>
      <c r="L1719" s="306"/>
      <c r="M1719" s="161"/>
      <c r="N1719" s="161"/>
    </row>
    <row r="1720" spans="1:14" s="160" customFormat="1" ht="27" customHeight="1">
      <c r="A1720" s="248" t="s">
        <v>393</v>
      </c>
      <c r="B1720" s="248" t="s">
        <v>670</v>
      </c>
      <c r="C1720" s="248" t="s">
        <v>396</v>
      </c>
      <c r="D1720" s="382" t="s">
        <v>397</v>
      </c>
      <c r="E1720" s="287"/>
      <c r="F1720" s="248" t="s">
        <v>400</v>
      </c>
      <c r="G1720" s="248" t="s">
        <v>670</v>
      </c>
      <c r="H1720" s="248" t="s">
        <v>671</v>
      </c>
      <c r="I1720" s="248" t="s">
        <v>672</v>
      </c>
      <c r="K1720" s="309"/>
      <c r="L1720" s="225"/>
      <c r="M1720" s="225"/>
      <c r="N1720" s="140"/>
    </row>
    <row r="1721" spans="1:14" s="160" customFormat="1" ht="15.75">
      <c r="A1721" s="249">
        <v>1100</v>
      </c>
      <c r="B1721" s="250">
        <v>71.17</v>
      </c>
      <c r="C1721" s="251">
        <v>6.4700000000000008E-2</v>
      </c>
      <c r="D1721" s="380">
        <v>8.7999999999999988E-3</v>
      </c>
      <c r="E1721" s="288"/>
      <c r="F1721" s="249">
        <v>3300</v>
      </c>
      <c r="G1721" s="250">
        <v>28.709999999999997</v>
      </c>
      <c r="H1721" s="251">
        <v>8.6999999999999994E-3</v>
      </c>
      <c r="I1721" s="251">
        <v>6.5700000000000008E-2</v>
      </c>
      <c r="K1721" s="309"/>
      <c r="L1721" s="162"/>
      <c r="M1721" s="162"/>
      <c r="N1721" s="162"/>
    </row>
    <row r="1722" spans="1:14" s="160" customFormat="1" ht="15.75">
      <c r="A1722" s="249">
        <v>1700</v>
      </c>
      <c r="B1722" s="250">
        <v>107.44000000000001</v>
      </c>
      <c r="C1722" s="251">
        <v>6.3200000000000006E-2</v>
      </c>
      <c r="D1722" s="380">
        <v>8.7999999999999988E-3</v>
      </c>
      <c r="E1722" s="288"/>
      <c r="F1722" s="249">
        <v>5000</v>
      </c>
      <c r="G1722" s="250">
        <v>42.499999999999993</v>
      </c>
      <c r="H1722" s="251">
        <v>8.4999999999999989E-3</v>
      </c>
      <c r="I1722" s="251">
        <v>6.5700000000000008E-2</v>
      </c>
      <c r="K1722" s="309"/>
      <c r="L1722" s="162"/>
      <c r="M1722" s="162"/>
      <c r="N1722" s="162"/>
    </row>
    <row r="1723" spans="1:14" s="160" customFormat="1" ht="15.75">
      <c r="A1723" s="249">
        <v>2200</v>
      </c>
      <c r="B1723" s="250">
        <v>137.06</v>
      </c>
      <c r="C1723" s="251">
        <v>6.2300000000000001E-2</v>
      </c>
      <c r="D1723" s="380">
        <v>8.7999999999999988E-3</v>
      </c>
      <c r="E1723" s="288"/>
      <c r="F1723" s="249">
        <v>6600</v>
      </c>
      <c r="G1723" s="250">
        <v>54.78</v>
      </c>
      <c r="H1723" s="251">
        <v>8.3000000000000001E-3</v>
      </c>
      <c r="I1723" s="251">
        <v>6.5700000000000008E-2</v>
      </c>
      <c r="K1723" s="309"/>
      <c r="L1723" s="162"/>
      <c r="M1723" s="162"/>
      <c r="N1723" s="162"/>
    </row>
    <row r="1724" spans="1:14" s="160" customFormat="1" ht="15.75">
      <c r="A1724" s="249">
        <v>2800</v>
      </c>
      <c r="B1724" s="250">
        <v>172.48000000000002</v>
      </c>
      <c r="C1724" s="251">
        <v>6.1600000000000002E-2</v>
      </c>
      <c r="D1724" s="380">
        <v>8.7999999999999988E-3</v>
      </c>
      <c r="E1724" s="288"/>
      <c r="F1724" s="249">
        <v>8300</v>
      </c>
      <c r="G1724" s="250">
        <v>68.89</v>
      </c>
      <c r="H1724" s="251">
        <v>8.3000000000000001E-3</v>
      </c>
      <c r="I1724" s="251">
        <v>6.5700000000000008E-2</v>
      </c>
      <c r="K1724" s="309"/>
      <c r="L1724" s="162"/>
      <c r="M1724" s="162"/>
      <c r="N1724" s="162"/>
    </row>
    <row r="1725" spans="1:14" s="160" customFormat="1" ht="15.75">
      <c r="A1725" s="249">
        <v>4100</v>
      </c>
      <c r="B1725" s="250">
        <v>247.64000000000001</v>
      </c>
      <c r="C1725" s="251">
        <v>6.0400000000000002E-2</v>
      </c>
      <c r="D1725" s="380">
        <v>8.7999999999999988E-3</v>
      </c>
      <c r="E1725" s="288"/>
      <c r="F1725" s="249">
        <v>12400</v>
      </c>
      <c r="G1725" s="250">
        <v>100.44</v>
      </c>
      <c r="H1725" s="251">
        <v>8.0999999999999996E-3</v>
      </c>
      <c r="I1725" s="251">
        <v>6.5700000000000008E-2</v>
      </c>
      <c r="L1725" s="162"/>
      <c r="M1725" s="162"/>
      <c r="N1725" s="162"/>
    </row>
    <row r="1726" spans="1:14" s="160" customFormat="1" ht="15.75">
      <c r="A1726" s="249">
        <v>5500</v>
      </c>
      <c r="B1726" s="250">
        <v>327.8</v>
      </c>
      <c r="C1726" s="251">
        <v>5.96E-2</v>
      </c>
      <c r="D1726" s="380">
        <v>8.7999999999999988E-3</v>
      </c>
      <c r="E1726" s="288"/>
      <c r="F1726" s="249">
        <v>16500</v>
      </c>
      <c r="G1726" s="250">
        <v>132</v>
      </c>
      <c r="H1726" s="251">
        <v>8.0000000000000002E-3</v>
      </c>
      <c r="I1726" s="251">
        <v>6.5700000000000008E-2</v>
      </c>
      <c r="L1726" s="162"/>
      <c r="M1726" s="162"/>
      <c r="N1726" s="162"/>
    </row>
    <row r="1727" spans="1:14" s="160" customFormat="1" ht="15.75">
      <c r="A1727" s="249">
        <v>8300</v>
      </c>
      <c r="B1727" s="250">
        <v>485.55</v>
      </c>
      <c r="C1727" s="251">
        <v>5.8500000000000003E-2</v>
      </c>
      <c r="D1727" s="380">
        <v>8.7999999999999988E-3</v>
      </c>
      <c r="E1727" s="288"/>
      <c r="F1727" s="249">
        <v>24800</v>
      </c>
      <c r="G1727" s="250">
        <v>193.44000000000003</v>
      </c>
      <c r="H1727" s="251">
        <v>7.8000000000000005E-3</v>
      </c>
      <c r="I1727" s="251">
        <v>6.5700000000000008E-2</v>
      </c>
      <c r="L1727" s="162"/>
      <c r="M1727" s="162"/>
      <c r="N1727" s="162"/>
    </row>
    <row r="1728" spans="1:14" s="160" customFormat="1" ht="16.5" thickBot="1">
      <c r="A1728" s="252">
        <v>13800</v>
      </c>
      <c r="B1728" s="253">
        <v>790.74</v>
      </c>
      <c r="C1728" s="254">
        <v>5.7300000000000004E-2</v>
      </c>
      <c r="D1728" s="381">
        <v>8.7999999999999988E-3</v>
      </c>
      <c r="E1728" s="288"/>
      <c r="F1728" s="252">
        <v>41300</v>
      </c>
      <c r="G1728" s="253">
        <v>318.01</v>
      </c>
      <c r="H1728" s="254">
        <v>7.7000000000000002E-3</v>
      </c>
      <c r="I1728" s="254">
        <v>6.5700000000000008E-2</v>
      </c>
    </row>
    <row r="1729" spans="1:12" s="136" customFormat="1" ht="16.5" thickBot="1">
      <c r="A1729" s="151" t="s">
        <v>401</v>
      </c>
      <c r="B1729" s="241"/>
      <c r="C1729" s="241"/>
      <c r="D1729" s="295"/>
      <c r="E1729" s="289"/>
      <c r="F1729" s="151" t="s">
        <v>401</v>
      </c>
      <c r="G1729" s="241"/>
      <c r="H1729" s="242"/>
      <c r="I1729" s="243"/>
    </row>
    <row r="1730" spans="1:12" s="136" customFormat="1" ht="15.75">
      <c r="A1730" s="155"/>
      <c r="B1730" s="134"/>
      <c r="C1730" s="134"/>
      <c r="D1730" s="135"/>
      <c r="E1730" s="284"/>
    </row>
    <row r="1731" spans="1:12" s="136" customFormat="1" ht="16.5" thickBot="1">
      <c r="A1731" s="133" t="s">
        <v>405</v>
      </c>
      <c r="B1731" s="134"/>
      <c r="C1731" s="134"/>
      <c r="D1731" s="135"/>
      <c r="E1731" s="284"/>
    </row>
    <row r="1732" spans="1:12" s="138" customFormat="1" ht="34.5" customHeight="1">
      <c r="A1732" s="413" t="s">
        <v>398</v>
      </c>
      <c r="B1732" s="414"/>
      <c r="C1732" s="414"/>
      <c r="D1732" s="414"/>
      <c r="E1732" s="286"/>
      <c r="F1732" s="413" t="s">
        <v>399</v>
      </c>
      <c r="G1732" s="414"/>
      <c r="H1732" s="414"/>
      <c r="I1732" s="415"/>
      <c r="L1732" s="163"/>
    </row>
    <row r="1733" spans="1:12" s="138" customFormat="1" ht="27" customHeight="1">
      <c r="A1733" s="248" t="s">
        <v>393</v>
      </c>
      <c r="B1733" s="248" t="s">
        <v>670</v>
      </c>
      <c r="C1733" s="248" t="s">
        <v>396</v>
      </c>
      <c r="D1733" s="382" t="s">
        <v>397</v>
      </c>
      <c r="E1733" s="287"/>
      <c r="F1733" s="248" t="s">
        <v>400</v>
      </c>
      <c r="G1733" s="248" t="s">
        <v>670</v>
      </c>
      <c r="H1733" s="248" t="s">
        <v>671</v>
      </c>
      <c r="I1733" s="248" t="s">
        <v>672</v>
      </c>
      <c r="L1733" s="141"/>
    </row>
    <row r="1734" spans="1:12" s="138" customFormat="1" ht="15.75">
      <c r="A1734" s="249">
        <v>1600</v>
      </c>
      <c r="B1734" s="250">
        <v>126.72000000000001</v>
      </c>
      <c r="C1734" s="251">
        <v>7.9200000000000007E-2</v>
      </c>
      <c r="D1734" s="380">
        <v>1.09E-2</v>
      </c>
      <c r="E1734" s="288"/>
      <c r="F1734" s="249">
        <v>4800</v>
      </c>
      <c r="G1734" s="250">
        <v>49.919999999999995</v>
      </c>
      <c r="H1734" s="251">
        <v>1.04E-2</v>
      </c>
      <c r="I1734" s="251">
        <v>8.3000000000000004E-2</v>
      </c>
      <c r="L1734" s="156"/>
    </row>
    <row r="1735" spans="1:12" s="138" customFormat="1" ht="15.75">
      <c r="A1735" s="249">
        <v>2400</v>
      </c>
      <c r="B1735" s="250">
        <v>178.32000000000002</v>
      </c>
      <c r="C1735" s="251">
        <v>7.4300000000000005E-2</v>
      </c>
      <c r="D1735" s="380">
        <v>1.09E-2</v>
      </c>
      <c r="E1735" s="288"/>
      <c r="F1735" s="249">
        <v>7200</v>
      </c>
      <c r="G1735" s="250">
        <v>69.839999999999989</v>
      </c>
      <c r="H1735" s="251">
        <v>9.6999999999999986E-3</v>
      </c>
      <c r="I1735" s="251">
        <v>8.3000000000000004E-2</v>
      </c>
    </row>
    <row r="1736" spans="1:12" s="138" customFormat="1" ht="15.75">
      <c r="A1736" s="249">
        <v>3200</v>
      </c>
      <c r="B1736" s="250">
        <v>227.20000000000002</v>
      </c>
      <c r="C1736" s="251">
        <v>7.1000000000000008E-2</v>
      </c>
      <c r="D1736" s="380">
        <v>1.09E-2</v>
      </c>
      <c r="E1736" s="288"/>
      <c r="F1736" s="249">
        <v>9600</v>
      </c>
      <c r="G1736" s="250">
        <v>89.279999999999987</v>
      </c>
      <c r="H1736" s="251">
        <v>9.2999999999999992E-3</v>
      </c>
      <c r="I1736" s="251">
        <v>8.3000000000000004E-2</v>
      </c>
    </row>
    <row r="1737" spans="1:12" s="138" customFormat="1" ht="15.75">
      <c r="A1737" s="249">
        <v>4000</v>
      </c>
      <c r="B1737" s="250">
        <v>274</v>
      </c>
      <c r="C1737" s="251">
        <v>6.8500000000000005E-2</v>
      </c>
      <c r="D1737" s="380">
        <v>1.09E-2</v>
      </c>
      <c r="E1737" s="288"/>
      <c r="F1737" s="249">
        <v>12000</v>
      </c>
      <c r="G1737" s="250">
        <v>107.99999999999999</v>
      </c>
      <c r="H1737" s="251">
        <v>8.9999999999999993E-3</v>
      </c>
      <c r="I1737" s="251">
        <v>8.3000000000000004E-2</v>
      </c>
    </row>
    <row r="1738" spans="1:12" s="138" customFormat="1" ht="15.75">
      <c r="A1738" s="249">
        <v>6000</v>
      </c>
      <c r="B1738" s="250">
        <v>384.6</v>
      </c>
      <c r="C1738" s="251">
        <v>6.4100000000000004E-2</v>
      </c>
      <c r="D1738" s="380">
        <v>1.09E-2</v>
      </c>
      <c r="E1738" s="288"/>
      <c r="F1738" s="249">
        <v>18000</v>
      </c>
      <c r="G1738" s="250">
        <v>151.19999999999999</v>
      </c>
      <c r="H1738" s="251">
        <v>8.3999999999999995E-3</v>
      </c>
      <c r="I1738" s="251">
        <v>8.3000000000000004E-2</v>
      </c>
    </row>
    <row r="1739" spans="1:12" s="138" customFormat="1" ht="15.75">
      <c r="A1739" s="249">
        <v>8000</v>
      </c>
      <c r="B1739" s="250">
        <v>490.4</v>
      </c>
      <c r="C1739" s="251">
        <v>6.13E-2</v>
      </c>
      <c r="D1739" s="380">
        <v>1.09E-2</v>
      </c>
      <c r="E1739" s="288"/>
      <c r="F1739" s="249">
        <v>24000</v>
      </c>
      <c r="G1739" s="250">
        <v>192</v>
      </c>
      <c r="H1739" s="251">
        <v>8.0000000000000002E-3</v>
      </c>
      <c r="I1739" s="251">
        <v>8.3000000000000004E-2</v>
      </c>
    </row>
    <row r="1740" spans="1:12" s="138" customFormat="1" ht="15.75">
      <c r="A1740" s="249">
        <v>12000</v>
      </c>
      <c r="B1740" s="250">
        <v>688.8</v>
      </c>
      <c r="C1740" s="251">
        <v>5.74E-2</v>
      </c>
      <c r="D1740" s="380">
        <v>1.09E-2</v>
      </c>
      <c r="E1740" s="288"/>
      <c r="F1740" s="249">
        <v>36000</v>
      </c>
      <c r="G1740" s="250">
        <v>270</v>
      </c>
      <c r="H1740" s="251">
        <v>7.5000000000000006E-3</v>
      </c>
      <c r="I1740" s="251">
        <v>8.3000000000000004E-2</v>
      </c>
    </row>
    <row r="1741" spans="1:12" s="138" customFormat="1" ht="16.5" thickBot="1">
      <c r="A1741" s="252">
        <v>20000</v>
      </c>
      <c r="B1741" s="253">
        <v>1058</v>
      </c>
      <c r="C1741" s="254">
        <v>5.2900000000000003E-2</v>
      </c>
      <c r="D1741" s="381">
        <v>1.09E-2</v>
      </c>
      <c r="E1741" s="288"/>
      <c r="F1741" s="252">
        <v>60000</v>
      </c>
      <c r="G1741" s="253">
        <v>420</v>
      </c>
      <c r="H1741" s="254">
        <v>7.0000000000000001E-3</v>
      </c>
      <c r="I1741" s="254">
        <v>8.3000000000000004E-2</v>
      </c>
    </row>
    <row r="1742" spans="1:12" s="136" customFormat="1" ht="16.5" thickBot="1">
      <c r="A1742" s="151" t="s">
        <v>401</v>
      </c>
      <c r="B1742" s="241"/>
      <c r="C1742" s="241"/>
      <c r="D1742" s="295"/>
      <c r="E1742" s="289"/>
      <c r="F1742" s="151" t="s">
        <v>401</v>
      </c>
      <c r="G1742" s="241"/>
      <c r="H1742" s="242"/>
      <c r="I1742" s="243"/>
    </row>
    <row r="1743" spans="1:12" s="136" customFormat="1" ht="15.75">
      <c r="A1743" s="155"/>
      <c r="B1743" s="134"/>
      <c r="C1743" s="134"/>
      <c r="D1743" s="135"/>
      <c r="E1743" s="284"/>
    </row>
    <row r="1744" spans="1:12" s="136" customFormat="1" ht="16.5" thickBot="1">
      <c r="A1744" s="133" t="s">
        <v>406</v>
      </c>
      <c r="B1744" s="134"/>
      <c r="C1744" s="134"/>
      <c r="D1744" s="135"/>
      <c r="E1744" s="284"/>
    </row>
    <row r="1745" spans="1:12" s="138" customFormat="1" ht="30.75" customHeight="1">
      <c r="A1745" s="413" t="s">
        <v>398</v>
      </c>
      <c r="B1745" s="414"/>
      <c r="C1745" s="414"/>
      <c r="D1745" s="414"/>
      <c r="E1745" s="290"/>
      <c r="F1745" s="413" t="s">
        <v>399</v>
      </c>
      <c r="G1745" s="414"/>
      <c r="H1745" s="414"/>
      <c r="I1745" s="415"/>
      <c r="L1745" s="163"/>
    </row>
    <row r="1746" spans="1:12" s="138" customFormat="1" ht="24.75" customHeight="1">
      <c r="A1746" s="248" t="s">
        <v>393</v>
      </c>
      <c r="B1746" s="248" t="s">
        <v>670</v>
      </c>
      <c r="C1746" s="248" t="s">
        <v>396</v>
      </c>
      <c r="D1746" s="382" t="s">
        <v>397</v>
      </c>
      <c r="E1746" s="287"/>
      <c r="F1746" s="248" t="s">
        <v>400</v>
      </c>
      <c r="G1746" s="248" t="s">
        <v>670</v>
      </c>
      <c r="H1746" s="248" t="s">
        <v>671</v>
      </c>
      <c r="I1746" s="248" t="s">
        <v>672</v>
      </c>
      <c r="L1746" s="141"/>
    </row>
    <row r="1747" spans="1:12" s="138" customFormat="1" ht="15.75">
      <c r="A1747" s="249">
        <v>2000</v>
      </c>
      <c r="B1747" s="250">
        <v>154.79999999999998</v>
      </c>
      <c r="C1747" s="251">
        <v>7.7399999999999997E-2</v>
      </c>
      <c r="D1747" s="380">
        <v>1.0699999999999999E-2</v>
      </c>
      <c r="E1747" s="288"/>
      <c r="F1747" s="249">
        <v>5900</v>
      </c>
      <c r="G1747" s="250">
        <v>60.179999999999993</v>
      </c>
      <c r="H1747" s="251">
        <v>1.0199999999999999E-2</v>
      </c>
      <c r="I1747" s="251">
        <v>8.14E-2</v>
      </c>
      <c r="L1747" s="156"/>
    </row>
    <row r="1748" spans="1:12" s="138" customFormat="1" ht="15.75">
      <c r="A1748" s="249">
        <v>2900</v>
      </c>
      <c r="B1748" s="250">
        <v>211.41000000000003</v>
      </c>
      <c r="C1748" s="251">
        <v>7.2900000000000006E-2</v>
      </c>
      <c r="D1748" s="380">
        <v>1.0699999999999999E-2</v>
      </c>
      <c r="E1748" s="288"/>
      <c r="F1748" s="249">
        <v>8800</v>
      </c>
      <c r="G1748" s="250">
        <v>84.47999999999999</v>
      </c>
      <c r="H1748" s="251">
        <v>9.5999999999999992E-3</v>
      </c>
      <c r="I1748" s="251">
        <v>8.14E-2</v>
      </c>
    </row>
    <row r="1749" spans="1:12" s="138" customFormat="1" ht="15.75">
      <c r="A1749" s="249">
        <v>3900</v>
      </c>
      <c r="B1749" s="250">
        <v>271.44000000000005</v>
      </c>
      <c r="C1749" s="251">
        <v>6.9600000000000009E-2</v>
      </c>
      <c r="D1749" s="380">
        <v>1.0699999999999999E-2</v>
      </c>
      <c r="E1749" s="288"/>
      <c r="F1749" s="249">
        <v>11700</v>
      </c>
      <c r="G1749" s="250">
        <v>107.64</v>
      </c>
      <c r="H1749" s="251">
        <v>9.1999999999999998E-3</v>
      </c>
      <c r="I1749" s="251">
        <v>8.14E-2</v>
      </c>
    </row>
    <row r="1750" spans="1:12" s="138" customFormat="1" ht="15.75">
      <c r="A1750" s="249">
        <v>4900</v>
      </c>
      <c r="B1750" s="250">
        <v>328.3</v>
      </c>
      <c r="C1750" s="251">
        <v>6.7000000000000004E-2</v>
      </c>
      <c r="D1750" s="380">
        <v>1.0699999999999999E-2</v>
      </c>
      <c r="E1750" s="288"/>
      <c r="F1750" s="249">
        <v>14600</v>
      </c>
      <c r="G1750" s="250">
        <v>129.94</v>
      </c>
      <c r="H1750" s="251">
        <v>8.8999999999999999E-3</v>
      </c>
      <c r="I1750" s="251">
        <v>8.14E-2</v>
      </c>
    </row>
    <row r="1751" spans="1:12" s="138" customFormat="1" ht="15.75">
      <c r="A1751" s="249">
        <v>7300</v>
      </c>
      <c r="B1751" s="250">
        <v>459.16999999999996</v>
      </c>
      <c r="C1751" s="251">
        <v>6.2899999999999998E-2</v>
      </c>
      <c r="D1751" s="380">
        <v>1.0699999999999999E-2</v>
      </c>
      <c r="E1751" s="288"/>
      <c r="F1751" s="249">
        <v>21900</v>
      </c>
      <c r="G1751" s="250">
        <v>181.77</v>
      </c>
      <c r="H1751" s="251">
        <v>8.3000000000000001E-3</v>
      </c>
      <c r="I1751" s="251">
        <v>8.14E-2</v>
      </c>
    </row>
    <row r="1752" spans="1:12" s="138" customFormat="1" ht="15.75">
      <c r="A1752" s="249">
        <v>9800</v>
      </c>
      <c r="B1752" s="250">
        <v>588</v>
      </c>
      <c r="C1752" s="251">
        <v>6.0000000000000005E-2</v>
      </c>
      <c r="D1752" s="380">
        <v>1.0699999999999999E-2</v>
      </c>
      <c r="E1752" s="288"/>
      <c r="F1752" s="249">
        <v>29300</v>
      </c>
      <c r="G1752" s="250">
        <v>231.46999999999997</v>
      </c>
      <c r="H1752" s="251">
        <v>7.899999999999999E-3</v>
      </c>
      <c r="I1752" s="251">
        <v>8.14E-2</v>
      </c>
    </row>
    <row r="1753" spans="1:12" s="138" customFormat="1" ht="15.75">
      <c r="A1753" s="249">
        <v>14600</v>
      </c>
      <c r="B1753" s="250">
        <v>821.98</v>
      </c>
      <c r="C1753" s="251">
        <v>5.6300000000000003E-2</v>
      </c>
      <c r="D1753" s="380">
        <v>1.0699999999999999E-2</v>
      </c>
      <c r="E1753" s="288"/>
      <c r="F1753" s="249">
        <v>43900</v>
      </c>
      <c r="G1753" s="250">
        <v>324.86</v>
      </c>
      <c r="H1753" s="251">
        <v>7.4000000000000003E-3</v>
      </c>
      <c r="I1753" s="251">
        <v>8.14E-2</v>
      </c>
    </row>
    <row r="1754" spans="1:12" s="138" customFormat="1" ht="16.5" thickBot="1">
      <c r="A1754" s="252">
        <v>24400</v>
      </c>
      <c r="B1754" s="253">
        <v>1263.92</v>
      </c>
      <c r="C1754" s="254">
        <v>5.1800000000000006E-2</v>
      </c>
      <c r="D1754" s="381">
        <v>1.0699999999999999E-2</v>
      </c>
      <c r="E1754" s="288"/>
      <c r="F1754" s="252">
        <v>73100</v>
      </c>
      <c r="G1754" s="253">
        <v>504.39</v>
      </c>
      <c r="H1754" s="254">
        <v>6.8999999999999999E-3</v>
      </c>
      <c r="I1754" s="254">
        <v>8.14E-2</v>
      </c>
    </row>
    <row r="1755" spans="1:12" s="136" customFormat="1" ht="16.5" thickBot="1">
      <c r="A1755" s="151" t="s">
        <v>401</v>
      </c>
      <c r="B1755" s="241"/>
      <c r="C1755" s="241"/>
      <c r="D1755" s="295"/>
      <c r="E1755" s="289"/>
      <c r="F1755" s="151" t="s">
        <v>401</v>
      </c>
      <c r="G1755" s="241"/>
      <c r="H1755" s="242"/>
      <c r="I1755" s="243"/>
    </row>
    <row r="1756" spans="1:12" s="136" customFormat="1" ht="15.75">
      <c r="A1756" s="155"/>
      <c r="B1756" s="134"/>
      <c r="C1756" s="134"/>
      <c r="D1756" s="135"/>
      <c r="E1756" s="284"/>
      <c r="F1756" s="155"/>
      <c r="G1756" s="134"/>
      <c r="H1756" s="135"/>
      <c r="I1756" s="134"/>
    </row>
    <row r="1757" spans="1:12" s="136" customFormat="1" ht="16.5" thickBot="1">
      <c r="A1757" s="133" t="s">
        <v>407</v>
      </c>
      <c r="B1757" s="134"/>
      <c r="C1757" s="134"/>
      <c r="D1757" s="135"/>
      <c r="E1757" s="284"/>
    </row>
    <row r="1758" spans="1:12" s="138" customFormat="1" ht="33.75" customHeight="1">
      <c r="A1758" s="413" t="s">
        <v>398</v>
      </c>
      <c r="B1758" s="414"/>
      <c r="C1758" s="414"/>
      <c r="D1758" s="414"/>
      <c r="E1758" s="290"/>
      <c r="F1758" s="413" t="s">
        <v>399</v>
      </c>
      <c r="G1758" s="414"/>
      <c r="H1758" s="414"/>
      <c r="I1758" s="415"/>
      <c r="L1758" s="163"/>
    </row>
    <row r="1759" spans="1:12" s="138" customFormat="1" ht="25.5" customHeight="1">
      <c r="A1759" s="248" t="s">
        <v>393</v>
      </c>
      <c r="B1759" s="248" t="s">
        <v>670</v>
      </c>
      <c r="C1759" s="248" t="s">
        <v>396</v>
      </c>
      <c r="D1759" s="382" t="s">
        <v>397</v>
      </c>
      <c r="E1759" s="287"/>
      <c r="F1759" s="248" t="s">
        <v>400</v>
      </c>
      <c r="G1759" s="248" t="s">
        <v>670</v>
      </c>
      <c r="H1759" s="248" t="s">
        <v>671</v>
      </c>
      <c r="I1759" s="248" t="s">
        <v>672</v>
      </c>
      <c r="L1759" s="141"/>
    </row>
    <row r="1760" spans="1:12" s="138" customFormat="1" ht="15.75">
      <c r="A1760" s="249">
        <v>2200</v>
      </c>
      <c r="B1760" s="250">
        <v>143.88</v>
      </c>
      <c r="C1760" s="251">
        <v>6.54E-2</v>
      </c>
      <c r="D1760" s="380">
        <v>7.3000000000000001E-3</v>
      </c>
      <c r="E1760" s="288"/>
      <c r="F1760" s="249">
        <v>6500</v>
      </c>
      <c r="G1760" s="250">
        <v>46.800000000000004</v>
      </c>
      <c r="H1760" s="251">
        <v>7.2000000000000007E-3</v>
      </c>
      <c r="I1760" s="251">
        <v>6.6400000000000001E-2</v>
      </c>
      <c r="L1760" s="156"/>
    </row>
    <row r="1761" spans="1:12" s="138" customFormat="1" ht="15.75">
      <c r="A1761" s="249">
        <v>3200</v>
      </c>
      <c r="B1761" s="250">
        <v>205.44000000000003</v>
      </c>
      <c r="C1761" s="251">
        <v>6.4200000000000007E-2</v>
      </c>
      <c r="D1761" s="380">
        <v>7.3000000000000001E-3</v>
      </c>
      <c r="E1761" s="288"/>
      <c r="F1761" s="249">
        <v>9700</v>
      </c>
      <c r="G1761" s="250">
        <v>68.87</v>
      </c>
      <c r="H1761" s="251">
        <v>7.1000000000000004E-3</v>
      </c>
      <c r="I1761" s="251">
        <v>6.6400000000000001E-2</v>
      </c>
    </row>
    <row r="1762" spans="1:12" s="138" customFormat="1" ht="15.75">
      <c r="A1762" s="249">
        <v>4300</v>
      </c>
      <c r="B1762" s="250">
        <v>272.19000000000005</v>
      </c>
      <c r="C1762" s="251">
        <v>6.3300000000000009E-2</v>
      </c>
      <c r="D1762" s="380">
        <v>7.3000000000000001E-3</v>
      </c>
      <c r="E1762" s="288"/>
      <c r="F1762" s="249">
        <v>12900</v>
      </c>
      <c r="G1762" s="250">
        <v>89.01</v>
      </c>
      <c r="H1762" s="251">
        <v>6.8999999999999999E-3</v>
      </c>
      <c r="I1762" s="251">
        <v>6.6400000000000001E-2</v>
      </c>
    </row>
    <row r="1763" spans="1:12" s="138" customFormat="1" ht="15.75">
      <c r="A1763" s="249">
        <v>5400</v>
      </c>
      <c r="B1763" s="250">
        <v>338.58000000000004</v>
      </c>
      <c r="C1763" s="251">
        <v>6.2700000000000006E-2</v>
      </c>
      <c r="D1763" s="380">
        <v>7.3000000000000001E-3</v>
      </c>
      <c r="E1763" s="288"/>
      <c r="F1763" s="249">
        <v>16100</v>
      </c>
      <c r="G1763" s="250">
        <v>111.09</v>
      </c>
      <c r="H1763" s="251">
        <v>6.8999999999999999E-3</v>
      </c>
      <c r="I1763" s="251">
        <v>6.6400000000000001E-2</v>
      </c>
    </row>
    <row r="1764" spans="1:12" s="138" customFormat="1" ht="15.75">
      <c r="A1764" s="249">
        <v>8100</v>
      </c>
      <c r="B1764" s="250">
        <v>498.96000000000004</v>
      </c>
      <c r="C1764" s="251">
        <v>6.1600000000000002E-2</v>
      </c>
      <c r="D1764" s="380">
        <v>7.3000000000000001E-3</v>
      </c>
      <c r="E1764" s="288"/>
      <c r="F1764" s="249">
        <v>24200</v>
      </c>
      <c r="G1764" s="250">
        <v>162.14000000000001</v>
      </c>
      <c r="H1764" s="251">
        <v>6.7000000000000002E-3</v>
      </c>
      <c r="I1764" s="251">
        <v>6.6400000000000001E-2</v>
      </c>
    </row>
    <row r="1765" spans="1:12" s="138" customFormat="1" ht="15.75">
      <c r="A1765" s="249">
        <v>10800</v>
      </c>
      <c r="B1765" s="250">
        <v>657.72</v>
      </c>
      <c r="C1765" s="251">
        <v>6.0900000000000003E-2</v>
      </c>
      <c r="D1765" s="380">
        <v>7.3000000000000001E-3</v>
      </c>
      <c r="E1765" s="288"/>
      <c r="F1765" s="249">
        <v>32300</v>
      </c>
      <c r="G1765" s="250">
        <v>213.18</v>
      </c>
      <c r="H1765" s="251">
        <v>6.6E-3</v>
      </c>
      <c r="I1765" s="251">
        <v>6.6400000000000001E-2</v>
      </c>
    </row>
    <row r="1766" spans="1:12" s="138" customFormat="1" ht="15.75">
      <c r="A1766" s="249">
        <v>16100</v>
      </c>
      <c r="B1766" s="250">
        <v>966.00000000000011</v>
      </c>
      <c r="C1766" s="251">
        <v>6.0000000000000005E-2</v>
      </c>
      <c r="D1766" s="380">
        <v>7.3000000000000001E-3</v>
      </c>
      <c r="E1766" s="288"/>
      <c r="F1766" s="249">
        <v>48400</v>
      </c>
      <c r="G1766" s="250">
        <v>314.60000000000002</v>
      </c>
      <c r="H1766" s="251">
        <v>6.5000000000000006E-3</v>
      </c>
      <c r="I1766" s="251">
        <v>6.6400000000000001E-2</v>
      </c>
    </row>
    <row r="1767" spans="1:12" s="138" customFormat="1" ht="16.5" thickBot="1">
      <c r="A1767" s="252">
        <v>26900</v>
      </c>
      <c r="B1767" s="253">
        <v>1581.72</v>
      </c>
      <c r="C1767" s="254">
        <v>5.8800000000000005E-2</v>
      </c>
      <c r="D1767" s="381">
        <v>7.3000000000000001E-3</v>
      </c>
      <c r="E1767" s="288"/>
      <c r="F1767" s="252">
        <v>80600</v>
      </c>
      <c r="G1767" s="253">
        <v>507.78000000000003</v>
      </c>
      <c r="H1767" s="254">
        <v>6.3E-3</v>
      </c>
      <c r="I1767" s="254">
        <v>6.6400000000000001E-2</v>
      </c>
    </row>
    <row r="1768" spans="1:12" s="136" customFormat="1" ht="16.5" thickBot="1">
      <c r="A1768" s="151" t="s">
        <v>401</v>
      </c>
      <c r="B1768" s="241"/>
      <c r="C1768" s="241"/>
      <c r="D1768" s="295"/>
      <c r="E1768" s="289"/>
      <c r="F1768" s="151" t="s">
        <v>401</v>
      </c>
      <c r="G1768" s="241"/>
      <c r="H1768" s="242"/>
      <c r="I1768" s="243"/>
    </row>
    <row r="1769" spans="1:12" s="136" customFormat="1" ht="15.75">
      <c r="A1769" s="155"/>
      <c r="B1769" s="134"/>
      <c r="C1769" s="134"/>
      <c r="D1769" s="135"/>
      <c r="E1769" s="284"/>
      <c r="F1769" s="155"/>
      <c r="G1769" s="134"/>
      <c r="H1769" s="135"/>
      <c r="I1769" s="134"/>
    </row>
    <row r="1770" spans="1:12" s="136" customFormat="1" ht="16.5" thickBot="1">
      <c r="A1770" s="133" t="s">
        <v>418</v>
      </c>
      <c r="B1770" s="134"/>
      <c r="C1770" s="134"/>
      <c r="D1770" s="135"/>
      <c r="E1770" s="284"/>
    </row>
    <row r="1771" spans="1:12" s="136" customFormat="1" ht="34.5" customHeight="1">
      <c r="A1771" s="413" t="s">
        <v>402</v>
      </c>
      <c r="B1771" s="414"/>
      <c r="C1771" s="414"/>
      <c r="D1771" s="414"/>
      <c r="E1771" s="286"/>
      <c r="F1771" s="413" t="s">
        <v>408</v>
      </c>
      <c r="G1771" s="414"/>
      <c r="H1771" s="414"/>
      <c r="I1771" s="415"/>
      <c r="L1771" s="132"/>
    </row>
    <row r="1772" spans="1:12" s="136" customFormat="1" ht="25.5" customHeight="1">
      <c r="A1772" s="248" t="s">
        <v>393</v>
      </c>
      <c r="B1772" s="248" t="s">
        <v>670</v>
      </c>
      <c r="C1772" s="248" t="s">
        <v>396</v>
      </c>
      <c r="D1772" s="382" t="s">
        <v>397</v>
      </c>
      <c r="E1772" s="287"/>
      <c r="F1772" s="248" t="s">
        <v>400</v>
      </c>
      <c r="G1772" s="248" t="s">
        <v>670</v>
      </c>
      <c r="H1772" s="248" t="s">
        <v>671</v>
      </c>
      <c r="I1772" s="248" t="s">
        <v>672</v>
      </c>
    </row>
    <row r="1773" spans="1:12" s="136" customFormat="1" ht="15.75">
      <c r="A1773" s="249">
        <v>7000</v>
      </c>
      <c r="B1773" s="250">
        <v>436.79999999999995</v>
      </c>
      <c r="C1773" s="255">
        <v>6.2399999999999997E-2</v>
      </c>
      <c r="D1773" s="383">
        <v>1.3729099999999999E-2</v>
      </c>
      <c r="E1773" s="291"/>
      <c r="F1773" s="249">
        <v>3000</v>
      </c>
      <c r="G1773" s="250">
        <v>41.1</v>
      </c>
      <c r="H1773" s="255">
        <v>1.37E-2</v>
      </c>
      <c r="I1773" s="255">
        <v>0.05</v>
      </c>
    </row>
    <row r="1774" spans="1:12" s="136" customFormat="1" ht="15.75">
      <c r="A1774" s="249">
        <v>14000</v>
      </c>
      <c r="B1774" s="250">
        <v>782.6</v>
      </c>
      <c r="C1774" s="255">
        <v>5.5899999999999998E-2</v>
      </c>
      <c r="D1774" s="383">
        <v>1.3729099999999999E-2</v>
      </c>
      <c r="E1774" s="291"/>
      <c r="F1774" s="249">
        <v>6000</v>
      </c>
      <c r="G1774" s="250">
        <v>82.2</v>
      </c>
      <c r="H1774" s="255">
        <v>1.37E-2</v>
      </c>
      <c r="I1774" s="255">
        <v>0.05</v>
      </c>
    </row>
    <row r="1775" spans="1:12" s="136" customFormat="1" ht="15.75">
      <c r="A1775" s="249">
        <v>21000</v>
      </c>
      <c r="B1775" s="250">
        <v>1100.4000000000001</v>
      </c>
      <c r="C1775" s="255">
        <v>5.2400000000000002E-2</v>
      </c>
      <c r="D1775" s="383">
        <v>1.3729099999999999E-2</v>
      </c>
      <c r="E1775" s="291"/>
      <c r="F1775" s="249">
        <v>9000</v>
      </c>
      <c r="G1775" s="250">
        <v>123.3</v>
      </c>
      <c r="H1775" s="255">
        <v>1.37E-2</v>
      </c>
      <c r="I1775" s="255">
        <v>0.05</v>
      </c>
    </row>
    <row r="1776" spans="1:12" s="136" customFormat="1" ht="15.75">
      <c r="A1776" s="249">
        <v>28000</v>
      </c>
      <c r="B1776" s="250">
        <v>1400</v>
      </c>
      <c r="C1776" s="255">
        <v>0.05</v>
      </c>
      <c r="D1776" s="383">
        <v>1.3729099999999999E-2</v>
      </c>
      <c r="E1776" s="291"/>
      <c r="F1776" s="249">
        <v>12000</v>
      </c>
      <c r="G1776" s="250">
        <v>164.4</v>
      </c>
      <c r="H1776" s="255">
        <v>1.37E-2</v>
      </c>
      <c r="I1776" s="255">
        <v>0.05</v>
      </c>
    </row>
    <row r="1777" spans="1:12" s="136" customFormat="1" ht="15.75">
      <c r="A1777" s="249">
        <v>35000</v>
      </c>
      <c r="B1777" s="250">
        <v>1697.5</v>
      </c>
      <c r="C1777" s="255">
        <v>4.8500000000000001E-2</v>
      </c>
      <c r="D1777" s="383">
        <v>1.3729099999999999E-2</v>
      </c>
      <c r="E1777" s="291"/>
      <c r="F1777" s="249">
        <v>15000</v>
      </c>
      <c r="G1777" s="250">
        <v>205.5</v>
      </c>
      <c r="H1777" s="255">
        <v>1.37E-2</v>
      </c>
      <c r="I1777" s="255">
        <v>0.05</v>
      </c>
    </row>
    <row r="1778" spans="1:12" s="136" customFormat="1" ht="15.75">
      <c r="A1778" s="249">
        <v>42000</v>
      </c>
      <c r="B1778" s="250">
        <v>1982.3999999999999</v>
      </c>
      <c r="C1778" s="255">
        <v>4.7199999999999999E-2</v>
      </c>
      <c r="D1778" s="383">
        <v>1.3729099999999999E-2</v>
      </c>
      <c r="E1778" s="291"/>
      <c r="F1778" s="249">
        <v>18000</v>
      </c>
      <c r="G1778" s="250">
        <v>246.6</v>
      </c>
      <c r="H1778" s="255">
        <v>1.37E-2</v>
      </c>
      <c r="I1778" s="255">
        <v>0.05</v>
      </c>
    </row>
    <row r="1779" spans="1:12" s="136" customFormat="1" ht="15.75">
      <c r="A1779" s="249">
        <v>49000</v>
      </c>
      <c r="B1779" s="250">
        <v>2263.7999999999997</v>
      </c>
      <c r="C1779" s="255">
        <v>4.6199999999999998E-2</v>
      </c>
      <c r="D1779" s="383">
        <v>1.3729099999999999E-2</v>
      </c>
      <c r="E1779" s="291"/>
      <c r="F1779" s="249">
        <v>21000</v>
      </c>
      <c r="G1779" s="250">
        <v>287.7</v>
      </c>
      <c r="H1779" s="255">
        <v>1.37E-2</v>
      </c>
      <c r="I1779" s="255">
        <v>0.05</v>
      </c>
    </row>
    <row r="1780" spans="1:12" s="136" customFormat="1" ht="16.5" thickBot="1">
      <c r="A1780" s="252">
        <v>56000</v>
      </c>
      <c r="B1780" s="253">
        <v>2542.4</v>
      </c>
      <c r="C1780" s="256">
        <v>4.5400000000000003E-2</v>
      </c>
      <c r="D1780" s="384">
        <v>1.3729099999999999E-2</v>
      </c>
      <c r="E1780" s="291"/>
      <c r="F1780" s="252">
        <v>24000</v>
      </c>
      <c r="G1780" s="253">
        <v>328.8</v>
      </c>
      <c r="H1780" s="256">
        <v>1.37E-2</v>
      </c>
      <c r="I1780" s="256">
        <v>0.05</v>
      </c>
    </row>
    <row r="1781" spans="1:12" s="136" customFormat="1" ht="16.5" thickBot="1">
      <c r="A1781" s="151" t="s">
        <v>401</v>
      </c>
      <c r="B1781" s="244"/>
      <c r="C1781" s="244"/>
      <c r="D1781" s="385"/>
      <c r="E1781" s="292"/>
      <c r="F1781" s="151" t="s">
        <v>401</v>
      </c>
      <c r="G1781" s="241"/>
      <c r="H1781" s="242"/>
      <c r="I1781" s="243"/>
    </row>
    <row r="1782" spans="1:12" s="136" customFormat="1" ht="16.5" thickBot="1">
      <c r="A1782" s="246" t="s">
        <v>673</v>
      </c>
      <c r="B1782" s="245"/>
      <c r="C1782" s="241"/>
      <c r="D1782" s="386"/>
      <c r="E1782" s="273"/>
    </row>
    <row r="1783" spans="1:12" s="136" customFormat="1" ht="15.75">
      <c r="A1783" s="257" t="s">
        <v>409</v>
      </c>
      <c r="B1783" s="258"/>
      <c r="C1783" s="265" t="s">
        <v>410</v>
      </c>
      <c r="D1783" s="387"/>
      <c r="E1783" s="293"/>
    </row>
    <row r="1784" spans="1:12" s="136" customFormat="1" ht="15.75">
      <c r="A1784" s="259" t="s">
        <v>411</v>
      </c>
      <c r="B1784" s="260"/>
      <c r="C1784" s="266">
        <v>42.667700000000004</v>
      </c>
      <c r="D1784" s="388"/>
      <c r="E1784" s="261"/>
    </row>
    <row r="1785" spans="1:12" s="136" customFormat="1" ht="15.75">
      <c r="A1785" s="259" t="s">
        <v>412</v>
      </c>
      <c r="B1785" s="260"/>
      <c r="C1785" s="266">
        <v>31.030999999999999</v>
      </c>
      <c r="D1785" s="388"/>
      <c r="E1785" s="261"/>
    </row>
    <row r="1786" spans="1:12" s="136" customFormat="1" ht="15.75">
      <c r="A1786" s="262" t="s">
        <v>413</v>
      </c>
      <c r="B1786" s="260"/>
      <c r="C1786" s="266">
        <v>42.667700000000004</v>
      </c>
      <c r="D1786" s="388"/>
      <c r="E1786" s="261"/>
    </row>
    <row r="1787" spans="1:12" s="136" customFormat="1" ht="16.5" thickBot="1">
      <c r="A1787" s="263" t="s">
        <v>414</v>
      </c>
      <c r="B1787" s="264"/>
      <c r="C1787" s="267">
        <v>56.631600000000006</v>
      </c>
      <c r="D1787" s="389"/>
      <c r="E1787" s="261"/>
    </row>
    <row r="1788" spans="1:12" s="136" customFormat="1" ht="15.75">
      <c r="A1788" s="134"/>
      <c r="B1788" s="134"/>
      <c r="C1788" s="134"/>
      <c r="D1788" s="135"/>
      <c r="E1788" s="284"/>
    </row>
    <row r="1789" spans="1:12" s="136" customFormat="1" ht="16.5" thickBot="1">
      <c r="A1789" s="133" t="s">
        <v>419</v>
      </c>
      <c r="B1789" s="134"/>
      <c r="C1789" s="134"/>
      <c r="D1789" s="135"/>
      <c r="E1789" s="284"/>
    </row>
    <row r="1790" spans="1:12" s="136" customFormat="1" ht="33.75" customHeight="1">
      <c r="A1790" s="413" t="s">
        <v>402</v>
      </c>
      <c r="B1790" s="414"/>
      <c r="C1790" s="414"/>
      <c r="D1790" s="414"/>
      <c r="E1790" s="286"/>
      <c r="F1790" s="413" t="s">
        <v>408</v>
      </c>
      <c r="G1790" s="414"/>
      <c r="H1790" s="414"/>
      <c r="I1790" s="415"/>
      <c r="L1790" s="132"/>
    </row>
    <row r="1791" spans="1:12" s="136" customFormat="1" ht="26.25" customHeight="1">
      <c r="A1791" s="248" t="s">
        <v>393</v>
      </c>
      <c r="B1791" s="248" t="s">
        <v>670</v>
      </c>
      <c r="C1791" s="248" t="s">
        <v>396</v>
      </c>
      <c r="D1791" s="382" t="s">
        <v>397</v>
      </c>
      <c r="E1791" s="287"/>
      <c r="F1791" s="248" t="s">
        <v>400</v>
      </c>
      <c r="G1791" s="248" t="s">
        <v>670</v>
      </c>
      <c r="H1791" s="248" t="s">
        <v>671</v>
      </c>
      <c r="I1791" s="248" t="s">
        <v>672</v>
      </c>
    </row>
    <row r="1792" spans="1:12" s="136" customFormat="1" ht="15.75">
      <c r="A1792" s="249">
        <v>22500</v>
      </c>
      <c r="B1792" s="250">
        <v>1181.25</v>
      </c>
      <c r="C1792" s="255">
        <v>5.2499999999999998E-2</v>
      </c>
      <c r="D1792" s="383">
        <v>1.23E-2</v>
      </c>
      <c r="E1792" s="291"/>
      <c r="F1792" s="249">
        <v>7500</v>
      </c>
      <c r="G1792" s="250">
        <v>92.25</v>
      </c>
      <c r="H1792" s="255">
        <v>1.23E-2</v>
      </c>
      <c r="I1792" s="255">
        <v>4.7E-2</v>
      </c>
    </row>
    <row r="1793" spans="1:9" s="136" customFormat="1" ht="15.75">
      <c r="A1793" s="249">
        <v>30000</v>
      </c>
      <c r="B1793" s="250">
        <v>1506</v>
      </c>
      <c r="C1793" s="255">
        <v>5.0200000000000002E-2</v>
      </c>
      <c r="D1793" s="383">
        <v>1.23E-2</v>
      </c>
      <c r="E1793" s="291"/>
      <c r="F1793" s="249">
        <v>10000</v>
      </c>
      <c r="G1793" s="250">
        <v>123</v>
      </c>
      <c r="H1793" s="255">
        <v>1.23E-2</v>
      </c>
      <c r="I1793" s="255">
        <v>4.7E-2</v>
      </c>
    </row>
    <row r="1794" spans="1:9" s="136" customFormat="1" ht="15.75">
      <c r="A1794" s="249">
        <v>37500</v>
      </c>
      <c r="B1794" s="250">
        <v>1815</v>
      </c>
      <c r="C1794" s="255">
        <v>4.8399999999999999E-2</v>
      </c>
      <c r="D1794" s="383">
        <v>1.23E-2</v>
      </c>
      <c r="E1794" s="291"/>
      <c r="F1794" s="249">
        <v>12500</v>
      </c>
      <c r="G1794" s="250">
        <v>153.75</v>
      </c>
      <c r="H1794" s="255">
        <v>1.23E-2</v>
      </c>
      <c r="I1794" s="255">
        <v>4.7E-2</v>
      </c>
    </row>
    <row r="1795" spans="1:9" s="136" customFormat="1" ht="15.75">
      <c r="A1795" s="249">
        <v>45000</v>
      </c>
      <c r="B1795" s="250">
        <v>2115</v>
      </c>
      <c r="C1795" s="255">
        <v>4.7E-2</v>
      </c>
      <c r="D1795" s="383">
        <v>1.23E-2</v>
      </c>
      <c r="E1795" s="291"/>
      <c r="F1795" s="249">
        <v>15000</v>
      </c>
      <c r="G1795" s="250">
        <v>184.5</v>
      </c>
      <c r="H1795" s="255">
        <v>1.23E-2</v>
      </c>
      <c r="I1795" s="255">
        <v>4.7E-2</v>
      </c>
    </row>
    <row r="1796" spans="1:9" s="136" customFormat="1" ht="15.75">
      <c r="A1796" s="249">
        <v>52500</v>
      </c>
      <c r="B1796" s="250">
        <v>2430.75</v>
      </c>
      <c r="C1796" s="255">
        <v>4.6300000000000001E-2</v>
      </c>
      <c r="D1796" s="383">
        <v>1.23E-2</v>
      </c>
      <c r="E1796" s="291"/>
      <c r="F1796" s="249">
        <v>17500</v>
      </c>
      <c r="G1796" s="250">
        <v>215.25</v>
      </c>
      <c r="H1796" s="255">
        <v>1.23E-2</v>
      </c>
      <c r="I1796" s="255">
        <v>4.7E-2</v>
      </c>
    </row>
    <row r="1797" spans="1:9" s="136" customFormat="1" ht="15.75">
      <c r="A1797" s="249">
        <v>60000</v>
      </c>
      <c r="B1797" s="250">
        <v>2748</v>
      </c>
      <c r="C1797" s="255">
        <v>4.58E-2</v>
      </c>
      <c r="D1797" s="383">
        <v>1.23E-2</v>
      </c>
      <c r="E1797" s="291"/>
      <c r="F1797" s="249">
        <v>20000</v>
      </c>
      <c r="G1797" s="250">
        <v>246</v>
      </c>
      <c r="H1797" s="255">
        <v>1.23E-2</v>
      </c>
      <c r="I1797" s="255">
        <v>4.7E-2</v>
      </c>
    </row>
    <row r="1798" spans="1:9" s="136" customFormat="1" ht="15.75">
      <c r="A1798" s="249">
        <v>67500</v>
      </c>
      <c r="B1798" s="250">
        <v>3057.75</v>
      </c>
      <c r="C1798" s="255">
        <v>4.53E-2</v>
      </c>
      <c r="D1798" s="383">
        <v>1.23E-2</v>
      </c>
      <c r="E1798" s="291"/>
      <c r="F1798" s="249">
        <v>22500</v>
      </c>
      <c r="G1798" s="250">
        <v>276.75</v>
      </c>
      <c r="H1798" s="255">
        <v>1.23E-2</v>
      </c>
      <c r="I1798" s="255">
        <v>4.7E-2</v>
      </c>
    </row>
    <row r="1799" spans="1:9" s="136" customFormat="1" ht="16.5" thickBot="1">
      <c r="A1799" s="252">
        <v>75000</v>
      </c>
      <c r="B1799" s="253">
        <v>3367.5</v>
      </c>
      <c r="C1799" s="256">
        <v>4.4900000000000002E-2</v>
      </c>
      <c r="D1799" s="384">
        <v>1.23E-2</v>
      </c>
      <c r="E1799" s="291"/>
      <c r="F1799" s="252">
        <v>25000</v>
      </c>
      <c r="G1799" s="253">
        <v>307.5</v>
      </c>
      <c r="H1799" s="256">
        <v>1.23E-2</v>
      </c>
      <c r="I1799" s="256">
        <v>4.7E-2</v>
      </c>
    </row>
    <row r="1800" spans="1:9" s="136" customFormat="1" ht="16.5" thickBot="1">
      <c r="A1800" s="151" t="s">
        <v>401</v>
      </c>
      <c r="B1800" s="244"/>
      <c r="C1800" s="244"/>
      <c r="D1800" s="390"/>
      <c r="E1800" s="292"/>
      <c r="F1800" s="151" t="s">
        <v>401</v>
      </c>
      <c r="G1800" s="241"/>
      <c r="H1800" s="242"/>
      <c r="I1800" s="243"/>
    </row>
    <row r="1801" spans="1:9" s="136" customFormat="1" ht="16.5" thickBot="1">
      <c r="A1801" s="246" t="s">
        <v>673</v>
      </c>
      <c r="B1801" s="245"/>
      <c r="C1801" s="300"/>
      <c r="D1801" s="391"/>
      <c r="E1801" s="273"/>
    </row>
    <row r="1802" spans="1:9" s="136" customFormat="1" ht="15.75">
      <c r="A1802" s="301" t="s">
        <v>409</v>
      </c>
      <c r="B1802" s="302"/>
      <c r="C1802" s="297" t="s">
        <v>410</v>
      </c>
      <c r="D1802" s="392"/>
      <c r="E1802" s="293"/>
    </row>
    <row r="1803" spans="1:9" s="136" customFormat="1" ht="15.75">
      <c r="A1803" s="259" t="s">
        <v>411</v>
      </c>
      <c r="B1803" s="260"/>
      <c r="C1803" s="266">
        <v>42.667700000000004</v>
      </c>
      <c r="D1803" s="388"/>
      <c r="E1803" s="261"/>
    </row>
    <row r="1804" spans="1:9" s="136" customFormat="1" ht="15.75">
      <c r="A1804" s="259" t="s">
        <v>412</v>
      </c>
      <c r="B1804" s="260"/>
      <c r="C1804" s="266">
        <v>31.030999999999999</v>
      </c>
      <c r="D1804" s="388"/>
      <c r="E1804" s="261"/>
    </row>
    <row r="1805" spans="1:9" s="136" customFormat="1" ht="15.75">
      <c r="A1805" s="262" t="s">
        <v>413</v>
      </c>
      <c r="B1805" s="260"/>
      <c r="C1805" s="266">
        <v>42.667700000000004</v>
      </c>
      <c r="D1805" s="388"/>
      <c r="E1805" s="261"/>
    </row>
    <row r="1806" spans="1:9" s="136" customFormat="1" ht="16.5" thickBot="1">
      <c r="A1806" s="263" t="s">
        <v>414</v>
      </c>
      <c r="B1806" s="264"/>
      <c r="C1806" s="267">
        <v>56.631600000000006</v>
      </c>
      <c r="D1806" s="389"/>
      <c r="E1806" s="261"/>
    </row>
    <row r="1807" spans="1:9" s="136" customFormat="1" ht="15.75">
      <c r="A1807" s="134"/>
      <c r="B1807" s="134"/>
      <c r="C1807" s="134"/>
      <c r="D1807" s="135"/>
      <c r="E1807" s="284"/>
    </row>
    <row r="1808" spans="1:9" s="136" customFormat="1" ht="16.5" thickBot="1">
      <c r="A1808" s="133" t="s">
        <v>617</v>
      </c>
      <c r="B1808" s="134"/>
      <c r="C1808" s="134"/>
      <c r="D1808" s="135"/>
      <c r="E1808" s="284"/>
    </row>
    <row r="1809" spans="1:12" s="136" customFormat="1" ht="31.5" customHeight="1">
      <c r="A1809" s="413" t="s">
        <v>402</v>
      </c>
      <c r="B1809" s="414"/>
      <c r="C1809" s="414"/>
      <c r="D1809" s="414"/>
      <c r="E1809" s="286"/>
      <c r="F1809" s="413" t="s">
        <v>408</v>
      </c>
      <c r="G1809" s="414"/>
      <c r="H1809" s="414"/>
      <c r="I1809" s="415"/>
      <c r="L1809" s="132"/>
    </row>
    <row r="1810" spans="1:12" s="136" customFormat="1" ht="27" customHeight="1">
      <c r="A1810" s="248" t="s">
        <v>393</v>
      </c>
      <c r="B1810" s="248" t="s">
        <v>670</v>
      </c>
      <c r="C1810" s="248" t="s">
        <v>396</v>
      </c>
      <c r="D1810" s="382" t="s">
        <v>397</v>
      </c>
      <c r="E1810" s="287"/>
      <c r="F1810" s="248" t="s">
        <v>400</v>
      </c>
      <c r="G1810" s="248" t="s">
        <v>670</v>
      </c>
      <c r="H1810" s="248" t="s">
        <v>671</v>
      </c>
      <c r="I1810" s="248" t="s">
        <v>672</v>
      </c>
    </row>
    <row r="1811" spans="1:12" s="136" customFormat="1" ht="15.75">
      <c r="A1811" s="249">
        <v>34000</v>
      </c>
      <c r="B1811" s="250">
        <v>1513.0000000000002</v>
      </c>
      <c r="C1811" s="255">
        <v>4.4500000000000005E-2</v>
      </c>
      <c r="D1811" s="383">
        <v>1.15E-2</v>
      </c>
      <c r="E1811" s="291"/>
      <c r="F1811" s="249">
        <v>6000</v>
      </c>
      <c r="G1811" s="250">
        <v>69</v>
      </c>
      <c r="H1811" s="255">
        <v>1.15E-2</v>
      </c>
      <c r="I1811" s="255">
        <v>3.95E-2</v>
      </c>
    </row>
    <row r="1812" spans="1:12" s="136" customFormat="1" ht="15.75">
      <c r="A1812" s="249">
        <v>51000</v>
      </c>
      <c r="B1812" s="250">
        <v>2217.3000000000002</v>
      </c>
      <c r="C1812" s="255">
        <v>4.3479999999999998E-2</v>
      </c>
      <c r="D1812" s="383">
        <v>1.15E-2</v>
      </c>
      <c r="E1812" s="291"/>
      <c r="F1812" s="249">
        <v>9000</v>
      </c>
      <c r="G1812" s="250">
        <v>103.5</v>
      </c>
      <c r="H1812" s="255">
        <v>1.15E-2</v>
      </c>
      <c r="I1812" s="255">
        <v>3.95E-2</v>
      </c>
    </row>
    <row r="1813" spans="1:12" s="136" customFormat="1" ht="15.75">
      <c r="A1813" s="249">
        <v>68000</v>
      </c>
      <c r="B1813" s="250">
        <v>2888.4</v>
      </c>
      <c r="C1813" s="255">
        <v>4.2479999999999997E-2</v>
      </c>
      <c r="D1813" s="383">
        <v>1.15E-2</v>
      </c>
      <c r="E1813" s="291"/>
      <c r="F1813" s="249">
        <v>12000</v>
      </c>
      <c r="G1813" s="250">
        <v>138</v>
      </c>
      <c r="H1813" s="255">
        <v>1.15E-2</v>
      </c>
      <c r="I1813" s="255">
        <v>3.95E-2</v>
      </c>
    </row>
    <row r="1814" spans="1:12" s="136" customFormat="1" ht="15.75">
      <c r="A1814" s="249">
        <v>85000</v>
      </c>
      <c r="B1814" s="250">
        <v>3527.46</v>
      </c>
      <c r="C1814" s="255">
        <v>4.1500000000000002E-2</v>
      </c>
      <c r="D1814" s="383">
        <v>1.15E-2</v>
      </c>
      <c r="E1814" s="291"/>
      <c r="F1814" s="249">
        <v>15000</v>
      </c>
      <c r="G1814" s="250">
        <v>172.5</v>
      </c>
      <c r="H1814" s="255">
        <v>1.15E-2</v>
      </c>
      <c r="I1814" s="255">
        <v>3.95E-2</v>
      </c>
    </row>
    <row r="1815" spans="1:12" s="136" customFormat="1" ht="15.75">
      <c r="A1815" s="249">
        <v>127500</v>
      </c>
      <c r="B1815" s="250">
        <v>5169.5</v>
      </c>
      <c r="C1815" s="255">
        <v>4.0550000000000003E-2</v>
      </c>
      <c r="D1815" s="383">
        <v>1.15E-2</v>
      </c>
      <c r="E1815" s="291"/>
      <c r="F1815" s="249">
        <v>22500</v>
      </c>
      <c r="G1815" s="250">
        <v>258.75</v>
      </c>
      <c r="H1815" s="255">
        <v>1.15E-2</v>
      </c>
      <c r="I1815" s="255">
        <v>3.95E-2</v>
      </c>
    </row>
    <row r="1816" spans="1:12" s="136" customFormat="1" ht="15.75">
      <c r="A1816" s="249">
        <v>170000</v>
      </c>
      <c r="B1816" s="250">
        <v>6734.13</v>
      </c>
      <c r="C1816" s="255">
        <v>3.9609999999999999E-2</v>
      </c>
      <c r="D1816" s="383">
        <v>1.15E-2</v>
      </c>
      <c r="E1816" s="291"/>
      <c r="F1816" s="249">
        <v>30000</v>
      </c>
      <c r="G1816" s="250">
        <v>345</v>
      </c>
      <c r="H1816" s="255">
        <v>1.15E-2</v>
      </c>
      <c r="I1816" s="255">
        <v>3.95E-2</v>
      </c>
    </row>
    <row r="1817" spans="1:12" s="136" customFormat="1" ht="15.75">
      <c r="A1817" s="249">
        <v>255000</v>
      </c>
      <c r="B1817" s="250">
        <v>9868.8700000000008</v>
      </c>
      <c r="C1817" s="255">
        <v>3.8699999999999998E-2</v>
      </c>
      <c r="D1817" s="383">
        <v>1.15E-2</v>
      </c>
      <c r="E1817" s="291"/>
      <c r="F1817" s="249">
        <v>45000</v>
      </c>
      <c r="G1817" s="250">
        <v>517.5</v>
      </c>
      <c r="H1817" s="255">
        <v>1.15E-2</v>
      </c>
      <c r="I1817" s="255">
        <v>3.95E-2</v>
      </c>
    </row>
    <row r="1818" spans="1:12" s="136" customFormat="1" ht="16.5" thickBot="1">
      <c r="A1818" s="252">
        <v>425000</v>
      </c>
      <c r="B1818" s="253">
        <v>16069.82</v>
      </c>
      <c r="C1818" s="256">
        <v>3.7810000000000003E-2</v>
      </c>
      <c r="D1818" s="384">
        <v>1.15E-2</v>
      </c>
      <c r="E1818" s="291"/>
      <c r="F1818" s="252">
        <v>75000</v>
      </c>
      <c r="G1818" s="253">
        <v>862.5</v>
      </c>
      <c r="H1818" s="256">
        <v>1.15E-2</v>
      </c>
      <c r="I1818" s="256">
        <v>3.95E-2</v>
      </c>
    </row>
    <row r="1819" spans="1:12" s="136" customFormat="1" ht="16.5" thickBot="1">
      <c r="A1819" s="151" t="s">
        <v>401</v>
      </c>
      <c r="B1819" s="164"/>
      <c r="C1819" s="164"/>
      <c r="D1819" s="393"/>
      <c r="E1819" s="294"/>
      <c r="F1819" s="151" t="s">
        <v>401</v>
      </c>
      <c r="G1819" s="152"/>
      <c r="H1819" s="153"/>
      <c r="I1819" s="154"/>
    </row>
    <row r="1820" spans="1:12" s="136" customFormat="1" ht="16.5" thickBot="1">
      <c r="A1820" s="246" t="s">
        <v>673</v>
      </c>
      <c r="B1820" s="304"/>
      <c r="C1820" s="241"/>
      <c r="D1820" s="391"/>
      <c r="E1820" s="273"/>
    </row>
    <row r="1821" spans="1:12" s="136" customFormat="1" ht="15.75">
      <c r="A1821" s="257" t="s">
        <v>409</v>
      </c>
      <c r="B1821" s="302"/>
      <c r="C1821" s="303" t="s">
        <v>410</v>
      </c>
      <c r="D1821" s="392"/>
      <c r="E1821" s="293"/>
    </row>
    <row r="1822" spans="1:12" s="136" customFormat="1" ht="15.75">
      <c r="A1822" s="259" t="s">
        <v>411</v>
      </c>
      <c r="B1822" s="260"/>
      <c r="C1822" s="298">
        <v>42.667700000000004</v>
      </c>
      <c r="D1822" s="388"/>
      <c r="E1822" s="261"/>
    </row>
    <row r="1823" spans="1:12" s="136" customFormat="1" ht="15.75">
      <c r="A1823" s="259" t="s">
        <v>412</v>
      </c>
      <c r="B1823" s="260"/>
      <c r="C1823" s="298">
        <v>31.030999999999999</v>
      </c>
      <c r="D1823" s="388"/>
      <c r="E1823" s="261"/>
    </row>
    <row r="1824" spans="1:12" s="136" customFormat="1" ht="15.75">
      <c r="A1824" s="262" t="s">
        <v>413</v>
      </c>
      <c r="B1824" s="260"/>
      <c r="C1824" s="298">
        <v>42.667700000000004</v>
      </c>
      <c r="D1824" s="388"/>
      <c r="E1824" s="261"/>
    </row>
    <row r="1825" spans="1:12" s="136" customFormat="1" ht="16.5" thickBot="1">
      <c r="A1825" s="263" t="s">
        <v>414</v>
      </c>
      <c r="B1825" s="264"/>
      <c r="C1825" s="299">
        <v>56.631600000000006</v>
      </c>
      <c r="D1825" s="389"/>
      <c r="E1825" s="261"/>
    </row>
    <row r="1826" spans="1:12" s="136" customFormat="1" ht="15.75">
      <c r="A1826" s="134"/>
      <c r="B1826" s="134"/>
      <c r="C1826" s="134"/>
      <c r="D1826" s="135"/>
      <c r="E1826" s="284"/>
    </row>
    <row r="1827" spans="1:12" s="136" customFormat="1" ht="16.5" thickBot="1">
      <c r="A1827" s="133" t="s">
        <v>641</v>
      </c>
      <c r="B1827" s="134"/>
      <c r="C1827" s="134"/>
      <c r="D1827" s="135"/>
      <c r="E1827" s="284"/>
    </row>
    <row r="1828" spans="1:12" s="136" customFormat="1" ht="34.5" customHeight="1">
      <c r="A1828" s="413" t="s">
        <v>402</v>
      </c>
      <c r="B1828" s="414"/>
      <c r="C1828" s="414"/>
      <c r="D1828" s="414"/>
      <c r="E1828" s="286"/>
      <c r="F1828" s="413" t="s">
        <v>408</v>
      </c>
      <c r="G1828" s="414"/>
      <c r="H1828" s="414"/>
      <c r="I1828" s="415"/>
      <c r="L1828" s="132"/>
    </row>
    <row r="1829" spans="1:12" s="136" customFormat="1" ht="26.25" customHeight="1">
      <c r="A1829" s="248" t="s">
        <v>393</v>
      </c>
      <c r="B1829" s="248" t="s">
        <v>670</v>
      </c>
      <c r="C1829" s="248" t="s">
        <v>396</v>
      </c>
      <c r="D1829" s="382" t="s">
        <v>397</v>
      </c>
      <c r="E1829" s="287"/>
      <c r="F1829" s="248" t="s">
        <v>400</v>
      </c>
      <c r="G1829" s="248" t="s">
        <v>670</v>
      </c>
      <c r="H1829" s="248" t="s">
        <v>671</v>
      </c>
      <c r="I1829" s="248" t="s">
        <v>672</v>
      </c>
    </row>
    <row r="1830" spans="1:12" s="136" customFormat="1" ht="15.75">
      <c r="A1830" s="249">
        <v>54400</v>
      </c>
      <c r="B1830" s="250">
        <v>2653.88</v>
      </c>
      <c r="C1830" s="255">
        <v>4.8800000000000003E-2</v>
      </c>
      <c r="D1830" s="383">
        <v>1.15E-2</v>
      </c>
      <c r="E1830" s="291"/>
      <c r="F1830" s="249">
        <v>9600</v>
      </c>
      <c r="G1830" s="250">
        <v>110.4</v>
      </c>
      <c r="H1830" s="255">
        <v>1.15E-2</v>
      </c>
      <c r="I1830" s="255">
        <v>4.8800000000000003E-2</v>
      </c>
    </row>
    <row r="1831" spans="1:12" s="136" customFormat="1" ht="15.75">
      <c r="A1831" s="249">
        <v>81600</v>
      </c>
      <c r="B1831" s="250">
        <v>3842.71</v>
      </c>
      <c r="C1831" s="255">
        <v>4.709E-2</v>
      </c>
      <c r="D1831" s="383">
        <v>1.15E-2</v>
      </c>
      <c r="E1831" s="291"/>
      <c r="F1831" s="249">
        <v>14400</v>
      </c>
      <c r="G1831" s="250">
        <v>165.6</v>
      </c>
      <c r="H1831" s="255">
        <v>1.15E-2</v>
      </c>
      <c r="I1831" s="255">
        <v>4.5699999999999998E-2</v>
      </c>
    </row>
    <row r="1832" spans="1:12" s="136" customFormat="1" ht="15.75">
      <c r="A1832" s="249">
        <v>108800</v>
      </c>
      <c r="B1832" s="250">
        <v>4944.28</v>
      </c>
      <c r="C1832" s="255">
        <v>4.5440000000000001E-2</v>
      </c>
      <c r="D1832" s="383">
        <v>1.15E-2</v>
      </c>
      <c r="E1832" s="291"/>
      <c r="F1832" s="249">
        <v>19200</v>
      </c>
      <c r="G1832" s="250">
        <v>220.8</v>
      </c>
      <c r="H1832" s="255">
        <v>1.15E-2</v>
      </c>
      <c r="I1832" s="255">
        <v>4.3700000000000003E-2</v>
      </c>
    </row>
    <row r="1833" spans="1:12" s="136" customFormat="1" ht="15.75">
      <c r="A1833" s="249">
        <v>136000</v>
      </c>
      <c r="B1833" s="250">
        <v>5964.04</v>
      </c>
      <c r="C1833" s="255">
        <v>4.385E-2</v>
      </c>
      <c r="D1833" s="383">
        <v>1.15E-2</v>
      </c>
      <c r="E1833" s="291"/>
      <c r="F1833" s="249">
        <v>24000</v>
      </c>
      <c r="G1833" s="250">
        <v>276</v>
      </c>
      <c r="H1833" s="255">
        <v>1.15E-2</v>
      </c>
      <c r="I1833" s="255">
        <v>4.2099999999999999E-2</v>
      </c>
    </row>
    <row r="1834" spans="1:12" s="136" customFormat="1" ht="15.75">
      <c r="A1834" s="249">
        <v>204000</v>
      </c>
      <c r="B1834" s="250">
        <v>8632.9500000000007</v>
      </c>
      <c r="C1834" s="255">
        <v>4.2320000000000003E-2</v>
      </c>
      <c r="D1834" s="383">
        <v>1.15E-2</v>
      </c>
      <c r="E1834" s="291"/>
      <c r="F1834" s="249">
        <v>36000</v>
      </c>
      <c r="G1834" s="250">
        <v>414</v>
      </c>
      <c r="H1834" s="255">
        <v>1.15E-2</v>
      </c>
      <c r="I1834" s="255">
        <v>3.95E-2</v>
      </c>
    </row>
    <row r="1835" spans="1:12" s="136" customFormat="1" ht="15.75">
      <c r="A1835" s="249">
        <v>272000</v>
      </c>
      <c r="B1835" s="250">
        <v>11107.73</v>
      </c>
      <c r="C1835" s="255">
        <v>4.0840000000000001E-2</v>
      </c>
      <c r="D1835" s="383">
        <v>1.15E-2</v>
      </c>
      <c r="E1835" s="291"/>
      <c r="F1835" s="249">
        <v>48000</v>
      </c>
      <c r="G1835" s="250">
        <v>552</v>
      </c>
      <c r="H1835" s="255">
        <v>1.15E-2</v>
      </c>
      <c r="I1835" s="255">
        <v>3.7699999999999997E-2</v>
      </c>
    </row>
    <row r="1836" spans="1:12" s="136" customFormat="1" ht="15.75">
      <c r="A1836" s="249">
        <v>408000</v>
      </c>
      <c r="B1836" s="250">
        <v>16078.44</v>
      </c>
      <c r="C1836" s="255">
        <v>3.9410000000000001E-2</v>
      </c>
      <c r="D1836" s="383">
        <v>1.15E-2</v>
      </c>
      <c r="E1836" s="291"/>
      <c r="F1836" s="249">
        <v>72000</v>
      </c>
      <c r="G1836" s="250">
        <v>828</v>
      </c>
      <c r="H1836" s="255">
        <v>1.15E-2</v>
      </c>
      <c r="I1836" s="255">
        <v>3.5299999999999998E-2</v>
      </c>
    </row>
    <row r="1837" spans="1:12" s="136" customFormat="1" ht="16.5" thickBot="1">
      <c r="A1837" s="252">
        <v>680000</v>
      </c>
      <c r="B1837" s="253">
        <v>25859.49</v>
      </c>
      <c r="C1837" s="256">
        <v>3.8030000000000001E-2</v>
      </c>
      <c r="D1837" s="384">
        <v>1.15E-2</v>
      </c>
      <c r="E1837" s="291"/>
      <c r="F1837" s="252">
        <v>120000</v>
      </c>
      <c r="G1837" s="253">
        <v>1380</v>
      </c>
      <c r="H1837" s="256">
        <v>1.15E-2</v>
      </c>
      <c r="I1837" s="256">
        <v>3.3599999999999998E-2</v>
      </c>
    </row>
    <row r="1838" spans="1:12" s="136" customFormat="1" ht="16.5" thickBot="1">
      <c r="A1838" s="151" t="s">
        <v>401</v>
      </c>
      <c r="B1838" s="244"/>
      <c r="C1838" s="244"/>
      <c r="D1838" s="385"/>
      <c r="E1838" s="292"/>
      <c r="F1838" s="151" t="s">
        <v>401</v>
      </c>
      <c r="G1838" s="241"/>
      <c r="H1838" s="242"/>
      <c r="I1838" s="243"/>
    </row>
    <row r="1846" spans="1:5" ht="18.75">
      <c r="A1846" s="419" t="s">
        <v>6426</v>
      </c>
      <c r="B1846" s="419"/>
      <c r="C1846" s="419"/>
      <c r="D1846" s="419"/>
      <c r="E1846" s="398"/>
    </row>
    <row r="1847" spans="1:5">
      <c r="A1847" s="399" t="s">
        <v>6427</v>
      </c>
      <c r="B1847" s="396"/>
      <c r="C1847" s="396"/>
      <c r="D1847" s="397"/>
      <c r="E1847" s="397"/>
    </row>
    <row r="1848" spans="1:5" customFormat="1" ht="12.75">
      <c r="A1848" s="333"/>
      <c r="D1848" s="394"/>
    </row>
    <row r="1849" spans="1:5" s="335" customFormat="1" ht="15" customHeight="1">
      <c r="A1849" s="334"/>
      <c r="B1849" s="418" t="s">
        <v>788</v>
      </c>
      <c r="C1849" s="418"/>
      <c r="D1849" s="418"/>
      <c r="E1849" s="418"/>
    </row>
    <row r="1850" spans="1:5" s="335" customFormat="1" ht="25.5">
      <c r="A1850" s="336" t="s">
        <v>789</v>
      </c>
      <c r="B1850" s="336" t="s">
        <v>409</v>
      </c>
      <c r="C1850" s="336" t="s">
        <v>26</v>
      </c>
      <c r="D1850" s="337" t="s">
        <v>6425</v>
      </c>
    </row>
    <row r="1851" spans="1:5" s="335" customFormat="1" ht="26.25">
      <c r="A1851" s="342" t="s">
        <v>790</v>
      </c>
      <c r="B1851" s="342" t="s">
        <v>790</v>
      </c>
      <c r="C1851" s="342" t="s">
        <v>6105</v>
      </c>
      <c r="D1851" s="338" t="s">
        <v>791</v>
      </c>
      <c r="E1851" s="343"/>
    </row>
    <row r="1852" spans="1:5" s="335" customFormat="1" ht="12.75">
      <c r="A1852" s="403" t="s">
        <v>792</v>
      </c>
      <c r="B1852" s="403"/>
      <c r="C1852" s="403"/>
      <c r="D1852" s="403"/>
      <c r="E1852" s="343"/>
    </row>
    <row r="1853" spans="1:5" s="335" customFormat="1" ht="24">
      <c r="A1853" s="342" t="s">
        <v>793</v>
      </c>
      <c r="B1853" s="342" t="s">
        <v>794</v>
      </c>
      <c r="C1853" s="342" t="s">
        <v>6106</v>
      </c>
      <c r="D1853" s="340">
        <v>919</v>
      </c>
      <c r="E1853" s="343"/>
    </row>
    <row r="1854" spans="1:5" s="335" customFormat="1" ht="24">
      <c r="A1854" s="342" t="s">
        <v>795</v>
      </c>
      <c r="B1854" s="342" t="s">
        <v>796</v>
      </c>
      <c r="C1854" s="342" t="str">
        <f>("7640016702")</f>
        <v>7640016702</v>
      </c>
      <c r="D1854" s="340">
        <v>7536</v>
      </c>
      <c r="E1854" s="343"/>
    </row>
    <row r="1855" spans="1:5" s="335" customFormat="1" ht="24">
      <c r="A1855" s="342" t="s">
        <v>797</v>
      </c>
      <c r="B1855" s="342" t="s">
        <v>798</v>
      </c>
      <c r="C1855" s="342" t="str">
        <f>("7640016703")</f>
        <v>7640016703</v>
      </c>
      <c r="D1855" s="340">
        <v>18380</v>
      </c>
      <c r="E1855" s="343"/>
    </row>
    <row r="1856" spans="1:5" s="335" customFormat="1" ht="24">
      <c r="A1856" s="342" t="s">
        <v>799</v>
      </c>
      <c r="B1856" s="342" t="s">
        <v>800</v>
      </c>
      <c r="C1856" s="342" t="str">
        <f>("7640016704")</f>
        <v>7640016704</v>
      </c>
      <c r="D1856" s="340">
        <v>35841</v>
      </c>
      <c r="E1856" s="343"/>
    </row>
    <row r="1857" spans="1:5" s="335" customFormat="1" ht="24">
      <c r="A1857" s="342" t="s">
        <v>801</v>
      </c>
      <c r="B1857" s="342" t="s">
        <v>802</v>
      </c>
      <c r="C1857" s="342" t="str">
        <f>("7640016705")</f>
        <v>7640016705</v>
      </c>
      <c r="D1857" s="340">
        <v>68925</v>
      </c>
      <c r="E1857" s="343"/>
    </row>
    <row r="1858" spans="1:5" s="335" customFormat="1" ht="12.75">
      <c r="A1858" s="403" t="s">
        <v>803</v>
      </c>
      <c r="B1858" s="403"/>
      <c r="C1858" s="403"/>
      <c r="D1858" s="403"/>
      <c r="E1858" s="343"/>
    </row>
    <row r="1859" spans="1:5" s="335" customFormat="1" ht="24">
      <c r="A1859" s="342" t="s">
        <v>804</v>
      </c>
      <c r="B1859" s="342" t="s">
        <v>805</v>
      </c>
      <c r="C1859" s="342" t="str">
        <f>("7640016706")</f>
        <v>7640016706</v>
      </c>
      <c r="D1859" s="340">
        <v>184</v>
      </c>
      <c r="E1859" s="343"/>
    </row>
    <row r="1860" spans="1:5" s="335" customFormat="1" ht="24">
      <c r="A1860" s="342" t="s">
        <v>806</v>
      </c>
      <c r="B1860" s="342" t="s">
        <v>807</v>
      </c>
      <c r="C1860" s="342" t="str">
        <f>("7640016707")</f>
        <v>7640016707</v>
      </c>
      <c r="D1860" s="340">
        <v>1507</v>
      </c>
      <c r="E1860" s="343"/>
    </row>
    <row r="1861" spans="1:5" s="335" customFormat="1" ht="24">
      <c r="A1861" s="342" t="s">
        <v>808</v>
      </c>
      <c r="B1861" s="342" t="s">
        <v>809</v>
      </c>
      <c r="C1861" s="342" t="str">
        <f>("7640016708")</f>
        <v>7640016708</v>
      </c>
      <c r="D1861" s="340">
        <v>3676</v>
      </c>
      <c r="E1861" s="343"/>
    </row>
    <row r="1862" spans="1:5" s="335" customFormat="1" ht="24">
      <c r="A1862" s="342" t="s">
        <v>810</v>
      </c>
      <c r="B1862" s="342" t="s">
        <v>811</v>
      </c>
      <c r="C1862" s="342" t="str">
        <f>("7640016709")</f>
        <v>7640016709</v>
      </c>
      <c r="D1862" s="340">
        <v>7168</v>
      </c>
      <c r="E1862" s="343"/>
    </row>
    <row r="1863" spans="1:5" s="335" customFormat="1" ht="24">
      <c r="A1863" s="342" t="s">
        <v>812</v>
      </c>
      <c r="B1863" s="342" t="s">
        <v>813</v>
      </c>
      <c r="C1863" s="342" t="str">
        <f>("7640016710")</f>
        <v>7640016710</v>
      </c>
      <c r="D1863" s="340">
        <v>13785</v>
      </c>
      <c r="E1863" s="343"/>
    </row>
    <row r="1864" spans="1:5" s="335" customFormat="1" ht="12.75">
      <c r="A1864" s="403" t="s">
        <v>814</v>
      </c>
      <c r="B1864" s="403"/>
      <c r="C1864" s="403"/>
      <c r="D1864" s="403"/>
      <c r="E1864" s="343"/>
    </row>
    <row r="1865" spans="1:5" s="335" customFormat="1" ht="24">
      <c r="A1865" s="342" t="s">
        <v>815</v>
      </c>
      <c r="B1865" s="342" t="s">
        <v>816</v>
      </c>
      <c r="C1865" s="342" t="str">
        <f>("7640016765")</f>
        <v>7640016765</v>
      </c>
      <c r="D1865" s="340">
        <v>249</v>
      </c>
      <c r="E1865" s="343"/>
    </row>
    <row r="1866" spans="1:5" s="335" customFormat="1" ht="24">
      <c r="A1866" s="342" t="s">
        <v>817</v>
      </c>
      <c r="B1866" s="342" t="s">
        <v>818</v>
      </c>
      <c r="C1866" s="342" t="str">
        <f>("7640016766")</f>
        <v>7640016766</v>
      </c>
      <c r="D1866" s="340">
        <v>462</v>
      </c>
      <c r="E1866" s="343"/>
    </row>
    <row r="1867" spans="1:5" s="335" customFormat="1" ht="12.75">
      <c r="A1867" s="403" t="s">
        <v>819</v>
      </c>
      <c r="B1867" s="403"/>
      <c r="C1867" s="403"/>
      <c r="D1867" s="403"/>
      <c r="E1867" s="343"/>
    </row>
    <row r="1868" spans="1:5" s="335" customFormat="1" ht="24">
      <c r="A1868" s="342" t="s">
        <v>820</v>
      </c>
      <c r="B1868" s="342" t="s">
        <v>821</v>
      </c>
      <c r="C1868" s="342" t="str">
        <f>("60NUAX25A01A")</f>
        <v>60NUAX25A01A</v>
      </c>
      <c r="D1868" s="340">
        <v>350</v>
      </c>
      <c r="E1868" s="343"/>
    </row>
    <row r="1869" spans="1:5" s="335" customFormat="1" ht="24">
      <c r="A1869" s="342" t="s">
        <v>822</v>
      </c>
      <c r="B1869" s="342" t="s">
        <v>823</v>
      </c>
      <c r="C1869" s="342" t="str">
        <f>("60NUAX37A01A")</f>
        <v>60NUAX37A01A</v>
      </c>
      <c r="D1869" s="340">
        <v>459.5</v>
      </c>
      <c r="E1869" s="343"/>
    </row>
    <row r="1870" spans="1:5" s="335" customFormat="1" ht="24">
      <c r="A1870" s="342" t="s">
        <v>824</v>
      </c>
      <c r="B1870" s="342" t="s">
        <v>825</v>
      </c>
      <c r="C1870" s="342" t="str">
        <f>("7640016747")</f>
        <v>7640016747</v>
      </c>
      <c r="D1870" s="340">
        <v>919</v>
      </c>
      <c r="E1870" s="343"/>
    </row>
    <row r="1871" spans="1:5" s="335" customFormat="1" ht="24">
      <c r="A1871" s="342" t="s">
        <v>826</v>
      </c>
      <c r="B1871" s="342" t="s">
        <v>827</v>
      </c>
      <c r="C1871" s="342" t="str">
        <f>("7640016748")</f>
        <v>7640016748</v>
      </c>
      <c r="D1871" s="340">
        <v>7536</v>
      </c>
      <c r="E1871" s="343"/>
    </row>
    <row r="1872" spans="1:5" s="335" customFormat="1" ht="24">
      <c r="A1872" s="342" t="s">
        <v>828</v>
      </c>
      <c r="B1872" s="342" t="s">
        <v>829</v>
      </c>
      <c r="C1872" s="342" t="str">
        <f>("7640016749")</f>
        <v>7640016749</v>
      </c>
      <c r="D1872" s="340">
        <v>18380</v>
      </c>
      <c r="E1872" s="343"/>
    </row>
    <row r="1873" spans="1:5" s="335" customFormat="1" ht="24">
      <c r="A1873" s="342" t="s">
        <v>830</v>
      </c>
      <c r="B1873" s="342" t="s">
        <v>831</v>
      </c>
      <c r="C1873" s="342" t="str">
        <f>("7640016750")</f>
        <v>7640016750</v>
      </c>
      <c r="D1873" s="340">
        <v>35841</v>
      </c>
      <c r="E1873" s="343"/>
    </row>
    <row r="1874" spans="1:5" s="335" customFormat="1" ht="24">
      <c r="A1874" s="342" t="s">
        <v>832</v>
      </c>
      <c r="B1874" s="342" t="s">
        <v>833</v>
      </c>
      <c r="C1874" s="342" t="str">
        <f>("7640016751")</f>
        <v>7640016751</v>
      </c>
      <c r="D1874" s="340">
        <v>68925</v>
      </c>
      <c r="E1874" s="343"/>
    </row>
    <row r="1875" spans="1:5" s="335" customFormat="1" ht="24">
      <c r="A1875" s="342" t="s">
        <v>834</v>
      </c>
      <c r="B1875" s="342" t="s">
        <v>835</v>
      </c>
      <c r="C1875" s="342" t="str">
        <f>("7640016762")</f>
        <v>7640016762</v>
      </c>
      <c r="D1875" s="340">
        <v>249</v>
      </c>
      <c r="E1875" s="343"/>
    </row>
    <row r="1876" spans="1:5" s="335" customFormat="1" ht="12.75">
      <c r="A1876" s="403" t="s">
        <v>836</v>
      </c>
      <c r="B1876" s="403"/>
      <c r="C1876" s="403"/>
      <c r="D1876" s="403"/>
      <c r="E1876" s="343"/>
    </row>
    <row r="1877" spans="1:5" s="335" customFormat="1" ht="24">
      <c r="A1877" s="342" t="s">
        <v>837</v>
      </c>
      <c r="B1877" s="342" t="s">
        <v>838</v>
      </c>
      <c r="C1877" s="342" t="str">
        <f>("60NUAX25A01M")</f>
        <v>60NUAX25A01M</v>
      </c>
      <c r="D1877" s="340">
        <v>70</v>
      </c>
      <c r="E1877" s="343"/>
    </row>
    <row r="1878" spans="1:5" s="335" customFormat="1" ht="24">
      <c r="A1878" s="342" t="s">
        <v>839</v>
      </c>
      <c r="B1878" s="342" t="s">
        <v>840</v>
      </c>
      <c r="C1878" s="342" t="str">
        <f>("60NUAX37A01M")</f>
        <v>60NUAX37A01M</v>
      </c>
      <c r="D1878" s="340">
        <v>92</v>
      </c>
      <c r="E1878" s="343"/>
    </row>
    <row r="1879" spans="1:5" s="335" customFormat="1" ht="24">
      <c r="A1879" s="342" t="s">
        <v>841</v>
      </c>
      <c r="B1879" s="342" t="s">
        <v>842</v>
      </c>
      <c r="C1879" s="342" t="str">
        <f>("7640016752")</f>
        <v>7640016752</v>
      </c>
      <c r="D1879" s="340">
        <v>184</v>
      </c>
      <c r="E1879" s="343"/>
    </row>
    <row r="1880" spans="1:5" s="335" customFormat="1" ht="24">
      <c r="A1880" s="342" t="s">
        <v>843</v>
      </c>
      <c r="B1880" s="342" t="s">
        <v>844</v>
      </c>
      <c r="C1880" s="342" t="str">
        <f>("7640016753")</f>
        <v>7640016753</v>
      </c>
      <c r="D1880" s="340">
        <v>1507</v>
      </c>
      <c r="E1880" s="343"/>
    </row>
    <row r="1881" spans="1:5" s="335" customFormat="1" ht="24">
      <c r="A1881" s="342" t="s">
        <v>845</v>
      </c>
      <c r="B1881" s="342" t="s">
        <v>846</v>
      </c>
      <c r="C1881" s="342" t="str">
        <f>("7640016754")</f>
        <v>7640016754</v>
      </c>
      <c r="D1881" s="340">
        <v>3676</v>
      </c>
      <c r="E1881" s="343"/>
    </row>
    <row r="1882" spans="1:5" s="335" customFormat="1" ht="24">
      <c r="A1882" s="342" t="s">
        <v>847</v>
      </c>
      <c r="B1882" s="342" t="s">
        <v>848</v>
      </c>
      <c r="C1882" s="342" t="str">
        <f>("7640016755")</f>
        <v>7640016755</v>
      </c>
      <c r="D1882" s="340">
        <v>7168</v>
      </c>
      <c r="E1882" s="343"/>
    </row>
    <row r="1883" spans="1:5" s="335" customFormat="1" ht="24">
      <c r="A1883" s="342" t="s">
        <v>849</v>
      </c>
      <c r="B1883" s="342" t="s">
        <v>850</v>
      </c>
      <c r="C1883" s="342" t="str">
        <f>("7640016756")</f>
        <v>7640016756</v>
      </c>
      <c r="D1883" s="340">
        <v>13785</v>
      </c>
      <c r="E1883" s="343"/>
    </row>
    <row r="1884" spans="1:5" s="335" customFormat="1" ht="24">
      <c r="A1884" s="342" t="s">
        <v>851</v>
      </c>
      <c r="B1884" s="342" t="s">
        <v>852</v>
      </c>
      <c r="C1884" s="342" t="str">
        <f>("7640016763")</f>
        <v>7640016763</v>
      </c>
      <c r="D1884" s="340">
        <v>50</v>
      </c>
      <c r="E1884" s="343"/>
    </row>
    <row r="1885" spans="1:5" s="335" customFormat="1" ht="12.75">
      <c r="A1885" s="403" t="s">
        <v>853</v>
      </c>
      <c r="B1885" s="403"/>
      <c r="C1885" s="403"/>
      <c r="D1885" s="403"/>
      <c r="E1885" s="343"/>
    </row>
    <row r="1886" spans="1:5" s="335" customFormat="1" ht="24">
      <c r="A1886" s="342" t="s">
        <v>854</v>
      </c>
      <c r="B1886" s="342" t="s">
        <v>855</v>
      </c>
      <c r="C1886" s="342" t="str">
        <f>("7640016769")</f>
        <v>7640016769</v>
      </c>
      <c r="D1886" s="340">
        <v>462</v>
      </c>
      <c r="E1886" s="343"/>
    </row>
    <row r="1887" spans="1:5" s="335" customFormat="1" ht="12.75">
      <c r="A1887" s="403" t="s">
        <v>856</v>
      </c>
      <c r="B1887" s="403"/>
      <c r="C1887" s="403"/>
      <c r="D1887" s="403"/>
      <c r="E1887" s="343"/>
    </row>
    <row r="1888" spans="1:5" s="335" customFormat="1" ht="24">
      <c r="A1888" s="342" t="s">
        <v>857</v>
      </c>
      <c r="B1888" s="342" t="s">
        <v>858</v>
      </c>
      <c r="C1888" s="342" t="str">
        <f>("7640016770")</f>
        <v>7640016770</v>
      </c>
      <c r="D1888" s="340">
        <v>625</v>
      </c>
      <c r="E1888" s="343"/>
    </row>
    <row r="1889" spans="1:5" s="335" customFormat="1" ht="24">
      <c r="A1889" s="342" t="s">
        <v>859</v>
      </c>
      <c r="B1889" s="342" t="s">
        <v>860</v>
      </c>
      <c r="C1889" s="342" t="s">
        <v>6107</v>
      </c>
      <c r="D1889" s="340">
        <v>1</v>
      </c>
      <c r="E1889" s="343"/>
    </row>
    <row r="1890" spans="1:5" s="335" customFormat="1" ht="12.75">
      <c r="A1890" s="344"/>
      <c r="B1890" s="343"/>
      <c r="C1890" s="343"/>
      <c r="D1890" s="395"/>
      <c r="E1890" s="343"/>
    </row>
    <row r="1891" spans="1:5" s="335" customFormat="1" ht="15" customHeight="1">
      <c r="A1891" s="345"/>
      <c r="B1891" s="404" t="s">
        <v>861</v>
      </c>
      <c r="C1891" s="404"/>
      <c r="D1891" s="404"/>
      <c r="E1891" s="404"/>
    </row>
    <row r="1892" spans="1:5" s="335" customFormat="1" ht="25.5">
      <c r="A1892" s="346" t="s">
        <v>789</v>
      </c>
      <c r="B1892" s="346" t="s">
        <v>409</v>
      </c>
      <c r="C1892" s="346" t="s">
        <v>26</v>
      </c>
      <c r="D1892" s="337" t="s">
        <v>6425</v>
      </c>
      <c r="E1892" s="343"/>
    </row>
    <row r="1893" spans="1:5" s="335" customFormat="1" ht="50.25">
      <c r="A1893" s="342" t="s">
        <v>862</v>
      </c>
      <c r="B1893" s="342" t="s">
        <v>862</v>
      </c>
      <c r="C1893" s="342" t="s">
        <v>6108</v>
      </c>
      <c r="D1893" s="338" t="s">
        <v>791</v>
      </c>
      <c r="E1893" s="343"/>
    </row>
    <row r="1894" spans="1:5" s="335" customFormat="1" ht="12.75">
      <c r="A1894" s="403" t="s">
        <v>819</v>
      </c>
      <c r="B1894" s="403"/>
      <c r="C1894" s="403"/>
      <c r="D1894" s="403"/>
      <c r="E1894" s="343"/>
    </row>
    <row r="1895" spans="1:5" s="335" customFormat="1" ht="24">
      <c r="A1895" s="342" t="s">
        <v>863</v>
      </c>
      <c r="B1895" s="342" t="s">
        <v>864</v>
      </c>
      <c r="C1895" s="342" t="str">
        <f>("7640016716")</f>
        <v>7640016716</v>
      </c>
      <c r="D1895" s="340">
        <v>919</v>
      </c>
      <c r="E1895" s="343"/>
    </row>
    <row r="1896" spans="1:5" s="335" customFormat="1" ht="24">
      <c r="A1896" s="342" t="s">
        <v>865</v>
      </c>
      <c r="B1896" s="342" t="s">
        <v>866</v>
      </c>
      <c r="C1896" s="342" t="str">
        <f>("7640016717")</f>
        <v>7640016717</v>
      </c>
      <c r="D1896" s="340">
        <v>2540</v>
      </c>
      <c r="E1896" s="343"/>
    </row>
    <row r="1897" spans="1:5" s="335" customFormat="1" ht="24">
      <c r="A1897" s="342" t="s">
        <v>867</v>
      </c>
      <c r="B1897" s="342" t="s">
        <v>868</v>
      </c>
      <c r="C1897" s="342" t="str">
        <f>("7640016718")</f>
        <v>7640016718</v>
      </c>
      <c r="D1897" s="340">
        <v>4860</v>
      </c>
      <c r="E1897" s="343"/>
    </row>
    <row r="1898" spans="1:5" s="335" customFormat="1" ht="24">
      <c r="A1898" s="342" t="s">
        <v>869</v>
      </c>
      <c r="B1898" s="342" t="s">
        <v>870</v>
      </c>
      <c r="C1898" s="342" t="str">
        <f>("7640016719")</f>
        <v>7640016719</v>
      </c>
      <c r="D1898" s="340">
        <v>9145</v>
      </c>
      <c r="E1898" s="343"/>
    </row>
    <row r="1899" spans="1:5" s="335" customFormat="1" ht="24">
      <c r="A1899" s="342" t="s">
        <v>871</v>
      </c>
      <c r="B1899" s="342" t="s">
        <v>872</v>
      </c>
      <c r="C1899" s="342" t="str">
        <f>("7640016720")</f>
        <v>7640016720</v>
      </c>
      <c r="D1899" s="340">
        <v>12750</v>
      </c>
      <c r="E1899" s="343"/>
    </row>
    <row r="1900" spans="1:5" s="335" customFormat="1" ht="24">
      <c r="A1900" s="342" t="s">
        <v>873</v>
      </c>
      <c r="B1900" s="342" t="s">
        <v>874</v>
      </c>
      <c r="C1900" s="342" t="str">
        <f>("7640016721")</f>
        <v>7640016721</v>
      </c>
      <c r="D1900" s="340">
        <v>1500</v>
      </c>
      <c r="E1900" s="343"/>
    </row>
    <row r="1901" spans="1:5" s="335" customFormat="1" ht="24">
      <c r="A1901" s="342" t="s">
        <v>875</v>
      </c>
      <c r="B1901" s="342" t="s">
        <v>876</v>
      </c>
      <c r="C1901" s="342" t="str">
        <f>("7640016732")</f>
        <v>7640016732</v>
      </c>
      <c r="D1901" s="340">
        <v>1500</v>
      </c>
      <c r="E1901" s="343"/>
    </row>
    <row r="1902" spans="1:5" s="335" customFormat="1" ht="24">
      <c r="A1902" s="342" t="s">
        <v>877</v>
      </c>
      <c r="B1902" s="342" t="s">
        <v>878</v>
      </c>
      <c r="C1902" s="342" t="str">
        <f>("7640016733")</f>
        <v>7640016733</v>
      </c>
      <c r="D1902" s="340">
        <v>12300</v>
      </c>
      <c r="E1902" s="343"/>
    </row>
    <row r="1903" spans="1:5" s="335" customFormat="1" ht="24">
      <c r="A1903" s="342" t="s">
        <v>879</v>
      </c>
      <c r="B1903" s="342" t="s">
        <v>880</v>
      </c>
      <c r="C1903" s="342" t="str">
        <f>("7640016734")</f>
        <v>7640016734</v>
      </c>
      <c r="D1903" s="340">
        <v>30000</v>
      </c>
      <c r="E1903" s="343"/>
    </row>
    <row r="1904" spans="1:5" s="335" customFormat="1" ht="24">
      <c r="A1904" s="342" t="s">
        <v>881</v>
      </c>
      <c r="B1904" s="342" t="s">
        <v>882</v>
      </c>
      <c r="C1904" s="342" t="str">
        <f>("7640016735")</f>
        <v>7640016735</v>
      </c>
      <c r="D1904" s="340">
        <v>58500</v>
      </c>
      <c r="E1904" s="343"/>
    </row>
    <row r="1905" spans="1:5" s="335" customFormat="1" ht="24">
      <c r="A1905" s="342" t="s">
        <v>883</v>
      </c>
      <c r="B1905" s="342" t="s">
        <v>884</v>
      </c>
      <c r="C1905" s="342" t="str">
        <f>("7640016736")</f>
        <v>7640016736</v>
      </c>
      <c r="D1905" s="340">
        <v>112500</v>
      </c>
      <c r="E1905" s="343"/>
    </row>
    <row r="1906" spans="1:5" s="335" customFormat="1" ht="12.75">
      <c r="A1906" s="403" t="s">
        <v>836</v>
      </c>
      <c r="B1906" s="403"/>
      <c r="C1906" s="403"/>
      <c r="D1906" s="403"/>
      <c r="E1906" s="343"/>
    </row>
    <row r="1907" spans="1:5" s="335" customFormat="1" ht="24">
      <c r="A1907" s="342" t="s">
        <v>885</v>
      </c>
      <c r="B1907" s="342" t="s">
        <v>886</v>
      </c>
      <c r="C1907" s="342" t="str">
        <f>("7640016722")</f>
        <v>7640016722</v>
      </c>
      <c r="D1907" s="340">
        <v>184</v>
      </c>
      <c r="E1907" s="343"/>
    </row>
    <row r="1908" spans="1:5" s="335" customFormat="1" ht="24">
      <c r="A1908" s="342" t="s">
        <v>887</v>
      </c>
      <c r="B1908" s="342" t="s">
        <v>888</v>
      </c>
      <c r="C1908" s="342" t="str">
        <f>("7640016723")</f>
        <v>7640016723</v>
      </c>
      <c r="D1908" s="340">
        <v>508</v>
      </c>
      <c r="E1908" s="343"/>
    </row>
    <row r="1909" spans="1:5" s="335" customFormat="1" ht="24">
      <c r="A1909" s="342" t="s">
        <v>889</v>
      </c>
      <c r="B1909" s="342" t="s">
        <v>890</v>
      </c>
      <c r="C1909" s="342" t="str">
        <f>("7640016724")</f>
        <v>7640016724</v>
      </c>
      <c r="D1909" s="340">
        <v>972</v>
      </c>
      <c r="E1909" s="343"/>
    </row>
    <row r="1910" spans="1:5" s="335" customFormat="1" ht="24">
      <c r="A1910" s="342" t="s">
        <v>891</v>
      </c>
      <c r="B1910" s="342" t="s">
        <v>892</v>
      </c>
      <c r="C1910" s="342" t="str">
        <f>("7640016725")</f>
        <v>7640016725</v>
      </c>
      <c r="D1910" s="340">
        <v>1829</v>
      </c>
      <c r="E1910" s="343"/>
    </row>
    <row r="1911" spans="1:5" s="335" customFormat="1" ht="24">
      <c r="A1911" s="342" t="s">
        <v>893</v>
      </c>
      <c r="B1911" s="342" t="s">
        <v>894</v>
      </c>
      <c r="C1911" s="342" t="str">
        <f>("7640016726")</f>
        <v>7640016726</v>
      </c>
      <c r="D1911" s="340">
        <v>2550</v>
      </c>
      <c r="E1911" s="343"/>
    </row>
    <row r="1912" spans="1:5" s="335" customFormat="1" ht="24">
      <c r="A1912" s="342" t="s">
        <v>895</v>
      </c>
      <c r="B1912" s="342" t="s">
        <v>896</v>
      </c>
      <c r="C1912" s="342" t="str">
        <f>("7640016737")</f>
        <v>7640016737</v>
      </c>
      <c r="D1912" s="340">
        <v>300</v>
      </c>
      <c r="E1912" s="343"/>
    </row>
    <row r="1913" spans="1:5" s="335" customFormat="1" ht="24">
      <c r="A1913" s="342" t="s">
        <v>897</v>
      </c>
      <c r="B1913" s="342" t="s">
        <v>898</v>
      </c>
      <c r="C1913" s="342" t="str">
        <f>("7640016738")</f>
        <v>7640016738</v>
      </c>
      <c r="D1913" s="340">
        <v>2460</v>
      </c>
      <c r="E1913" s="343"/>
    </row>
    <row r="1914" spans="1:5" s="335" customFormat="1" ht="24">
      <c r="A1914" s="342" t="s">
        <v>899</v>
      </c>
      <c r="B1914" s="342" t="s">
        <v>900</v>
      </c>
      <c r="C1914" s="342" t="str">
        <f>("7640016739")</f>
        <v>7640016739</v>
      </c>
      <c r="D1914" s="340">
        <v>6000</v>
      </c>
      <c r="E1914" s="343"/>
    </row>
    <row r="1915" spans="1:5" s="335" customFormat="1" ht="24">
      <c r="A1915" s="342" t="s">
        <v>901</v>
      </c>
      <c r="B1915" s="342" t="s">
        <v>902</v>
      </c>
      <c r="C1915" s="342" t="str">
        <f>("7640016740")</f>
        <v>7640016740</v>
      </c>
      <c r="D1915" s="340">
        <v>11700</v>
      </c>
      <c r="E1915" s="343"/>
    </row>
    <row r="1916" spans="1:5" s="335" customFormat="1" ht="24">
      <c r="A1916" s="342" t="s">
        <v>903</v>
      </c>
      <c r="B1916" s="342" t="s">
        <v>904</v>
      </c>
      <c r="C1916" s="342" t="str">
        <f>("7640016741")</f>
        <v>7640016741</v>
      </c>
      <c r="D1916" s="340">
        <v>22500</v>
      </c>
      <c r="E1916" s="343"/>
    </row>
    <row r="1917" spans="1:5" s="335" customFormat="1" ht="12.75">
      <c r="A1917" s="403" t="s">
        <v>853</v>
      </c>
      <c r="B1917" s="403"/>
      <c r="C1917" s="403"/>
      <c r="D1917" s="403"/>
      <c r="E1917" s="343"/>
    </row>
    <row r="1918" spans="1:5" s="335" customFormat="1" ht="24">
      <c r="A1918" s="342" t="s">
        <v>905</v>
      </c>
      <c r="B1918" s="342" t="s">
        <v>906</v>
      </c>
      <c r="C1918" s="342" t="str">
        <f>("7640016767")</f>
        <v>7640016767</v>
      </c>
      <c r="D1918" s="340">
        <v>462</v>
      </c>
      <c r="E1918" s="343"/>
    </row>
    <row r="1919" spans="1:5" s="335" customFormat="1" ht="24">
      <c r="A1919" s="342" t="s">
        <v>907</v>
      </c>
      <c r="B1919" s="342" t="s">
        <v>908</v>
      </c>
      <c r="C1919" s="342" t="str">
        <f>("7640016768")</f>
        <v>7640016768</v>
      </c>
      <c r="D1919" s="340">
        <v>325</v>
      </c>
      <c r="E1919" s="343"/>
    </row>
    <row r="1920" spans="1:5" s="335" customFormat="1" ht="12.75">
      <c r="A1920" s="403" t="s">
        <v>856</v>
      </c>
      <c r="B1920" s="403"/>
      <c r="C1920" s="403"/>
      <c r="D1920" s="403"/>
      <c r="E1920" s="343"/>
    </row>
    <row r="1921" spans="1:5" s="335" customFormat="1" ht="24">
      <c r="A1921" s="342" t="s">
        <v>909</v>
      </c>
      <c r="B1921" s="342" t="s">
        <v>910</v>
      </c>
      <c r="C1921" s="342" t="str">
        <f>("60NUAX36A01A")</f>
        <v>60NUAX36A01A</v>
      </c>
      <c r="D1921" s="340">
        <v>1800</v>
      </c>
      <c r="E1921" s="343"/>
    </row>
    <row r="1922" spans="1:5" s="335" customFormat="1" ht="24">
      <c r="A1922" s="342" t="s">
        <v>857</v>
      </c>
      <c r="B1922" s="342" t="s">
        <v>858</v>
      </c>
      <c r="C1922" s="342" t="str">
        <f>("7640016770")</f>
        <v>7640016770</v>
      </c>
      <c r="D1922" s="340">
        <v>625</v>
      </c>
      <c r="E1922" s="343"/>
    </row>
    <row r="1923" spans="1:5" s="335" customFormat="1" ht="24">
      <c r="A1923" s="342" t="s">
        <v>911</v>
      </c>
      <c r="B1923" s="342" t="s">
        <v>912</v>
      </c>
      <c r="C1923" s="342" t="str">
        <f>("7640016893")</f>
        <v>7640016893</v>
      </c>
      <c r="D1923" s="340">
        <v>3500</v>
      </c>
      <c r="E1923" s="343"/>
    </row>
    <row r="1924" spans="1:5" s="335" customFormat="1" ht="24">
      <c r="A1924" s="342" t="s">
        <v>913</v>
      </c>
      <c r="B1924" s="342" t="s">
        <v>914</v>
      </c>
      <c r="C1924" s="342" t="str">
        <f>("7640016894")</f>
        <v>7640016894</v>
      </c>
      <c r="D1924" s="340">
        <v>3500</v>
      </c>
      <c r="E1924" s="343"/>
    </row>
    <row r="1925" spans="1:5" s="335" customFormat="1" ht="24">
      <c r="A1925" s="342" t="s">
        <v>915</v>
      </c>
      <c r="B1925" s="342" t="s">
        <v>916</v>
      </c>
      <c r="C1925" s="342" t="str">
        <f>("7640016895")</f>
        <v>7640016895</v>
      </c>
      <c r="D1925" s="340">
        <v>3500</v>
      </c>
      <c r="E1925" s="343"/>
    </row>
    <row r="1926" spans="1:5" s="335" customFormat="1" ht="24">
      <c r="A1926" s="342" t="s">
        <v>917</v>
      </c>
      <c r="B1926" s="342" t="s">
        <v>918</v>
      </c>
      <c r="C1926" s="342" t="str">
        <f>("7640016896")</f>
        <v>7640016896</v>
      </c>
      <c r="D1926" s="340">
        <v>3500</v>
      </c>
      <c r="E1926" s="343"/>
    </row>
    <row r="1927" spans="1:5" s="335" customFormat="1" ht="36">
      <c r="A1927" s="342" t="s">
        <v>919</v>
      </c>
      <c r="B1927" s="342" t="s">
        <v>920</v>
      </c>
      <c r="C1927" s="342" t="str">
        <f>("7640016898")</f>
        <v>7640016898</v>
      </c>
      <c r="D1927" s="340">
        <v>1800</v>
      </c>
      <c r="E1927" s="343"/>
    </row>
    <row r="1928" spans="1:5" s="335" customFormat="1" ht="24">
      <c r="A1928" s="342" t="s">
        <v>921</v>
      </c>
      <c r="B1928" s="342" t="s">
        <v>922</v>
      </c>
      <c r="C1928" s="342" t="str">
        <f>("7640016899")</f>
        <v>7640016899</v>
      </c>
      <c r="D1928" s="340">
        <v>3500</v>
      </c>
      <c r="E1928" s="343"/>
    </row>
    <row r="1929" spans="1:5" s="335" customFormat="1" ht="24">
      <c r="A1929" s="342" t="s">
        <v>923</v>
      </c>
      <c r="B1929" s="342" t="s">
        <v>924</v>
      </c>
      <c r="C1929" s="342" t="str">
        <f>("7640016900")</f>
        <v>7640016900</v>
      </c>
      <c r="D1929" s="340">
        <v>3000</v>
      </c>
      <c r="E1929" s="343"/>
    </row>
    <row r="1930" spans="1:5" s="335" customFormat="1" ht="24">
      <c r="A1930" s="342" t="s">
        <v>925</v>
      </c>
      <c r="B1930" s="342" t="s">
        <v>926</v>
      </c>
      <c r="C1930" s="342" t="str">
        <f>("7640016901")</f>
        <v>7640016901</v>
      </c>
      <c r="D1930" s="340">
        <v>3500</v>
      </c>
      <c r="E1930" s="343"/>
    </row>
    <row r="1931" spans="1:5" s="335" customFormat="1" ht="24">
      <c r="A1931" s="342" t="s">
        <v>927</v>
      </c>
      <c r="B1931" s="342" t="s">
        <v>928</v>
      </c>
      <c r="C1931" s="342" t="str">
        <f>("7640016902")</f>
        <v>7640016902</v>
      </c>
      <c r="D1931" s="340">
        <v>1800</v>
      </c>
      <c r="E1931" s="343"/>
    </row>
    <row r="1932" spans="1:5" s="335" customFormat="1" ht="24">
      <c r="A1932" s="342" t="s">
        <v>929</v>
      </c>
      <c r="B1932" s="342" t="s">
        <v>930</v>
      </c>
      <c r="C1932" s="342" t="str">
        <f>("7640016903")</f>
        <v>7640016903</v>
      </c>
      <c r="D1932" s="340">
        <v>3500</v>
      </c>
      <c r="E1932" s="343"/>
    </row>
    <row r="1933" spans="1:5" s="335" customFormat="1" ht="24">
      <c r="A1933" s="342" t="s">
        <v>931</v>
      </c>
      <c r="B1933" s="342" t="s">
        <v>932</v>
      </c>
      <c r="C1933" s="342" t="str">
        <f>("7640016904")</f>
        <v>7640016904</v>
      </c>
      <c r="D1933" s="340">
        <v>2500</v>
      </c>
      <c r="E1933" s="343"/>
    </row>
    <row r="1934" spans="1:5" s="335" customFormat="1" ht="24">
      <c r="A1934" s="342" t="s">
        <v>859</v>
      </c>
      <c r="B1934" s="342" t="s">
        <v>860</v>
      </c>
      <c r="C1934" s="342" t="s">
        <v>6109</v>
      </c>
      <c r="D1934" s="340">
        <v>1</v>
      </c>
      <c r="E1934" s="343"/>
    </row>
    <row r="1935" spans="1:5" s="335" customFormat="1" ht="12.75">
      <c r="A1935" s="344"/>
      <c r="B1935" s="343"/>
      <c r="C1935" s="343"/>
      <c r="D1935" s="395"/>
      <c r="E1935" s="343"/>
    </row>
    <row r="1936" spans="1:5" s="335" customFormat="1" ht="15" customHeight="1">
      <c r="A1936" s="345"/>
      <c r="B1936" s="404" t="s">
        <v>933</v>
      </c>
      <c r="C1936" s="404"/>
      <c r="D1936" s="404"/>
      <c r="E1936" s="404"/>
    </row>
    <row r="1937" spans="1:5" s="335" customFormat="1" ht="25.5">
      <c r="A1937" s="346" t="s">
        <v>789</v>
      </c>
      <c r="B1937" s="346" t="s">
        <v>409</v>
      </c>
      <c r="C1937" s="346" t="s">
        <v>26</v>
      </c>
      <c r="D1937" s="337" t="s">
        <v>6425</v>
      </c>
      <c r="E1937" s="343"/>
    </row>
    <row r="1938" spans="1:5" s="335" customFormat="1" ht="26.25">
      <c r="A1938" s="342" t="s">
        <v>934</v>
      </c>
      <c r="B1938" s="342" t="s">
        <v>934</v>
      </c>
      <c r="C1938" s="342" t="s">
        <v>6110</v>
      </c>
      <c r="D1938" s="338" t="s">
        <v>791</v>
      </c>
      <c r="E1938" s="343"/>
    </row>
    <row r="1939" spans="1:5" s="335" customFormat="1" ht="12.75">
      <c r="A1939" s="403" t="s">
        <v>792</v>
      </c>
      <c r="B1939" s="403"/>
      <c r="C1939" s="403"/>
      <c r="D1939" s="403"/>
      <c r="E1939" s="343"/>
    </row>
    <row r="1940" spans="1:5" s="335" customFormat="1" ht="24">
      <c r="A1940" s="342" t="s">
        <v>935</v>
      </c>
      <c r="B1940" s="342" t="s">
        <v>936</v>
      </c>
      <c r="C1940" s="342" t="s">
        <v>6111</v>
      </c>
      <c r="D1940" s="340">
        <v>1275</v>
      </c>
      <c r="E1940" s="343"/>
    </row>
    <row r="1941" spans="1:5" s="335" customFormat="1" ht="24">
      <c r="A1941" s="342" t="s">
        <v>937</v>
      </c>
      <c r="B1941" s="342" t="s">
        <v>938</v>
      </c>
      <c r="C1941" s="342" t="str">
        <f>("7640016774")</f>
        <v>7640016774</v>
      </c>
      <c r="D1941" s="340">
        <v>10455</v>
      </c>
      <c r="E1941" s="343"/>
    </row>
    <row r="1942" spans="1:5" s="335" customFormat="1" ht="24">
      <c r="A1942" s="342" t="s">
        <v>939</v>
      </c>
      <c r="B1942" s="342" t="s">
        <v>940</v>
      </c>
      <c r="C1942" s="342" t="str">
        <f>("7640016775")</f>
        <v>7640016775</v>
      </c>
      <c r="D1942" s="340">
        <v>25500</v>
      </c>
      <c r="E1942" s="343"/>
    </row>
    <row r="1943" spans="1:5" s="335" customFormat="1" ht="24">
      <c r="A1943" s="342" t="s">
        <v>941</v>
      </c>
      <c r="B1943" s="342" t="s">
        <v>942</v>
      </c>
      <c r="C1943" s="342" t="str">
        <f>("7640016776")</f>
        <v>7640016776</v>
      </c>
      <c r="D1943" s="340">
        <v>49725</v>
      </c>
      <c r="E1943" s="343"/>
    </row>
    <row r="1944" spans="1:5" s="335" customFormat="1" ht="24">
      <c r="A1944" s="342" t="s">
        <v>943</v>
      </c>
      <c r="B1944" s="342" t="s">
        <v>944</v>
      </c>
      <c r="C1944" s="342" t="str">
        <f>("7640016777")</f>
        <v>7640016777</v>
      </c>
      <c r="D1944" s="340">
        <v>95625</v>
      </c>
      <c r="E1944" s="343"/>
    </row>
    <row r="1945" spans="1:5" s="335" customFormat="1" ht="12.75">
      <c r="A1945" s="403" t="s">
        <v>803</v>
      </c>
      <c r="B1945" s="403"/>
      <c r="C1945" s="403"/>
      <c r="D1945" s="403"/>
      <c r="E1945" s="343"/>
    </row>
    <row r="1946" spans="1:5" s="335" customFormat="1" ht="24">
      <c r="A1946" s="342" t="s">
        <v>943</v>
      </c>
      <c r="B1946" s="342" t="s">
        <v>944</v>
      </c>
      <c r="C1946" s="342" t="str">
        <f>("7640016778")</f>
        <v>7640016778</v>
      </c>
      <c r="D1946" s="340">
        <v>255</v>
      </c>
      <c r="E1946" s="343"/>
    </row>
    <row r="1947" spans="1:5" s="335" customFormat="1" ht="24">
      <c r="A1947" s="342" t="s">
        <v>945</v>
      </c>
      <c r="B1947" s="342" t="s">
        <v>946</v>
      </c>
      <c r="C1947" s="342" t="str">
        <f>("7640016779")</f>
        <v>7640016779</v>
      </c>
      <c r="D1947" s="340">
        <v>2091</v>
      </c>
      <c r="E1947" s="343"/>
    </row>
    <row r="1948" spans="1:5" s="335" customFormat="1" ht="24">
      <c r="A1948" s="342" t="s">
        <v>947</v>
      </c>
      <c r="B1948" s="342" t="s">
        <v>948</v>
      </c>
      <c r="C1948" s="342" t="str">
        <f>("7640016780")</f>
        <v>7640016780</v>
      </c>
      <c r="D1948" s="340">
        <v>5100</v>
      </c>
      <c r="E1948" s="343"/>
    </row>
    <row r="1949" spans="1:5" s="335" customFormat="1" ht="24">
      <c r="A1949" s="342" t="s">
        <v>949</v>
      </c>
      <c r="B1949" s="342" t="s">
        <v>950</v>
      </c>
      <c r="C1949" s="342" t="str">
        <f>("7640016781")</f>
        <v>7640016781</v>
      </c>
      <c r="D1949" s="340">
        <v>9945</v>
      </c>
      <c r="E1949" s="343"/>
    </row>
    <row r="1950" spans="1:5" s="335" customFormat="1" ht="24">
      <c r="A1950" s="342" t="s">
        <v>951</v>
      </c>
      <c r="B1950" s="342" t="s">
        <v>952</v>
      </c>
      <c r="C1950" s="342" t="str">
        <f>("7640016782")</f>
        <v>7640016782</v>
      </c>
      <c r="D1950" s="340">
        <v>19125</v>
      </c>
      <c r="E1950" s="343"/>
    </row>
    <row r="1951" spans="1:5" s="335" customFormat="1" ht="12.75">
      <c r="A1951" s="403" t="s">
        <v>819</v>
      </c>
      <c r="B1951" s="403"/>
      <c r="C1951" s="403"/>
      <c r="D1951" s="403"/>
      <c r="E1951" s="343"/>
    </row>
    <row r="1952" spans="1:5" s="335" customFormat="1" ht="24">
      <c r="A1952" s="342" t="s">
        <v>953</v>
      </c>
      <c r="B1952" s="342" t="s">
        <v>954</v>
      </c>
      <c r="C1952" s="342" t="str">
        <f>("60NUAW40A01A")</f>
        <v>60NUAW40A01A</v>
      </c>
      <c r="D1952" s="340">
        <v>350</v>
      </c>
      <c r="E1952" s="343"/>
    </row>
    <row r="1953" spans="1:5" s="335" customFormat="1" ht="24">
      <c r="A1953" s="342" t="s">
        <v>955</v>
      </c>
      <c r="B1953" s="342" t="s">
        <v>956</v>
      </c>
      <c r="C1953" s="342" t="str">
        <f>("60NUAW77A01A")</f>
        <v>60NUAW77A01A</v>
      </c>
      <c r="D1953" s="340">
        <v>628.5</v>
      </c>
      <c r="E1953" s="343"/>
    </row>
    <row r="1954" spans="1:5" s="335" customFormat="1" ht="24">
      <c r="A1954" s="342" t="s">
        <v>957</v>
      </c>
      <c r="B1954" s="342" t="s">
        <v>958</v>
      </c>
      <c r="C1954" s="342" t="str">
        <f>("7640016835")</f>
        <v>7640016835</v>
      </c>
      <c r="D1954" s="340">
        <v>1275</v>
      </c>
      <c r="E1954" s="343"/>
    </row>
    <row r="1955" spans="1:5" s="335" customFormat="1" ht="24">
      <c r="A1955" s="342" t="s">
        <v>959</v>
      </c>
      <c r="B1955" s="342" t="s">
        <v>960</v>
      </c>
      <c r="C1955" s="342" t="str">
        <f>("7640016836")</f>
        <v>7640016836</v>
      </c>
      <c r="D1955" s="340">
        <v>10455</v>
      </c>
      <c r="E1955" s="343"/>
    </row>
    <row r="1956" spans="1:5" s="335" customFormat="1" ht="24">
      <c r="A1956" s="342" t="s">
        <v>961</v>
      </c>
      <c r="B1956" s="342" t="s">
        <v>962</v>
      </c>
      <c r="C1956" s="342" t="str">
        <f>("7640016837")</f>
        <v>7640016837</v>
      </c>
      <c r="D1956" s="340">
        <v>25500</v>
      </c>
      <c r="E1956" s="343"/>
    </row>
    <row r="1957" spans="1:5" s="335" customFormat="1" ht="24">
      <c r="A1957" s="342" t="s">
        <v>963</v>
      </c>
      <c r="B1957" s="342" t="s">
        <v>964</v>
      </c>
      <c r="C1957" s="342" t="str">
        <f>("7640016838")</f>
        <v>7640016838</v>
      </c>
      <c r="D1957" s="340">
        <v>49725</v>
      </c>
      <c r="E1957" s="343"/>
    </row>
    <row r="1958" spans="1:5" s="335" customFormat="1" ht="24">
      <c r="A1958" s="342" t="s">
        <v>965</v>
      </c>
      <c r="B1958" s="342" t="s">
        <v>966</v>
      </c>
      <c r="C1958" s="342" t="str">
        <f>("7640016839")</f>
        <v>7640016839</v>
      </c>
      <c r="D1958" s="340">
        <v>95625</v>
      </c>
      <c r="E1958" s="343"/>
    </row>
    <row r="1959" spans="1:5" s="335" customFormat="1" ht="24">
      <c r="A1959" s="342" t="s">
        <v>967</v>
      </c>
      <c r="B1959" s="342" t="s">
        <v>968</v>
      </c>
      <c r="C1959" s="342" t="str">
        <f>("7640016874")</f>
        <v>7640016874</v>
      </c>
      <c r="D1959" s="340">
        <v>249</v>
      </c>
      <c r="E1959" s="343"/>
    </row>
    <row r="1960" spans="1:5" s="335" customFormat="1" ht="12.75">
      <c r="A1960" s="403" t="s">
        <v>836</v>
      </c>
      <c r="B1960" s="403"/>
      <c r="C1960" s="403"/>
      <c r="D1960" s="403"/>
      <c r="E1960" s="343"/>
    </row>
    <row r="1961" spans="1:5" s="335" customFormat="1" ht="24">
      <c r="A1961" s="342" t="s">
        <v>969</v>
      </c>
      <c r="B1961" s="342" t="s">
        <v>970</v>
      </c>
      <c r="C1961" s="342" t="str">
        <f>("60NUAW40A01M")</f>
        <v>60NUAW40A01M</v>
      </c>
      <c r="D1961" s="340">
        <v>70</v>
      </c>
      <c r="E1961" s="343"/>
    </row>
    <row r="1962" spans="1:5" s="335" customFormat="1" ht="24">
      <c r="A1962" s="342" t="s">
        <v>971</v>
      </c>
      <c r="B1962" s="342" t="s">
        <v>972</v>
      </c>
      <c r="C1962" s="342" t="str">
        <f>("60NUAW77A01M")</f>
        <v>60NUAW77A01M</v>
      </c>
      <c r="D1962" s="340">
        <v>126</v>
      </c>
      <c r="E1962" s="343"/>
    </row>
    <row r="1963" spans="1:5" s="335" customFormat="1" ht="24">
      <c r="A1963" s="342" t="s">
        <v>973</v>
      </c>
      <c r="B1963" s="342" t="s">
        <v>974</v>
      </c>
      <c r="C1963" s="342" t="str">
        <f>("7640016840")</f>
        <v>7640016840</v>
      </c>
      <c r="D1963" s="340">
        <v>255</v>
      </c>
      <c r="E1963" s="343"/>
    </row>
    <row r="1964" spans="1:5" s="335" customFormat="1" ht="24">
      <c r="A1964" s="342" t="s">
        <v>975</v>
      </c>
      <c r="B1964" s="342" t="s">
        <v>976</v>
      </c>
      <c r="C1964" s="342" t="str">
        <f>("7640016841")</f>
        <v>7640016841</v>
      </c>
      <c r="D1964" s="340">
        <v>2091</v>
      </c>
      <c r="E1964" s="343"/>
    </row>
    <row r="1965" spans="1:5" s="335" customFormat="1" ht="24">
      <c r="A1965" s="342" t="s">
        <v>977</v>
      </c>
      <c r="B1965" s="342" t="s">
        <v>978</v>
      </c>
      <c r="C1965" s="342" t="str">
        <f>("7640016842")</f>
        <v>7640016842</v>
      </c>
      <c r="D1965" s="340">
        <v>5100</v>
      </c>
      <c r="E1965" s="343"/>
    </row>
    <row r="1966" spans="1:5" s="335" customFormat="1" ht="24">
      <c r="A1966" s="342" t="s">
        <v>979</v>
      </c>
      <c r="B1966" s="342" t="s">
        <v>980</v>
      </c>
      <c r="C1966" s="342" t="str">
        <f>("7640016843")</f>
        <v>7640016843</v>
      </c>
      <c r="D1966" s="340">
        <v>9945</v>
      </c>
      <c r="E1966" s="343"/>
    </row>
    <row r="1967" spans="1:5" s="335" customFormat="1" ht="24">
      <c r="A1967" s="342" t="s">
        <v>981</v>
      </c>
      <c r="B1967" s="342" t="s">
        <v>982</v>
      </c>
      <c r="C1967" s="342" t="str">
        <f>("7640016844")</f>
        <v>7640016844</v>
      </c>
      <c r="D1967" s="340">
        <v>19125</v>
      </c>
      <c r="E1967" s="343"/>
    </row>
    <row r="1968" spans="1:5" s="335" customFormat="1" ht="24">
      <c r="A1968" s="342" t="s">
        <v>983</v>
      </c>
      <c r="B1968" s="342" t="s">
        <v>984</v>
      </c>
      <c r="C1968" s="342" t="str">
        <f>("7640016875")</f>
        <v>7640016875</v>
      </c>
      <c r="D1968" s="340">
        <v>50</v>
      </c>
      <c r="E1968" s="343"/>
    </row>
    <row r="1969" spans="1:5" s="335" customFormat="1" ht="12.75">
      <c r="A1969" s="403" t="s">
        <v>856</v>
      </c>
      <c r="B1969" s="403"/>
      <c r="C1969" s="403"/>
      <c r="D1969" s="403"/>
      <c r="E1969" s="343"/>
    </row>
    <row r="1970" spans="1:5" s="335" customFormat="1" ht="24">
      <c r="A1970" s="342" t="s">
        <v>985</v>
      </c>
      <c r="B1970" s="342" t="s">
        <v>986</v>
      </c>
      <c r="C1970" s="342" t="str">
        <f>("7640016878")</f>
        <v>7640016878</v>
      </c>
      <c r="D1970" s="340">
        <v>1250</v>
      </c>
      <c r="E1970" s="343"/>
    </row>
    <row r="1971" spans="1:5" s="335" customFormat="1" ht="24">
      <c r="A1971" s="342" t="s">
        <v>987</v>
      </c>
      <c r="B1971" s="342" t="s">
        <v>988</v>
      </c>
      <c r="C1971" s="342" t="str">
        <f>("7640016918")</f>
        <v>7640016918</v>
      </c>
      <c r="D1971" s="340">
        <v>2200</v>
      </c>
      <c r="E1971" s="343"/>
    </row>
    <row r="1972" spans="1:5" s="335" customFormat="1" ht="24">
      <c r="A1972" s="342" t="s">
        <v>859</v>
      </c>
      <c r="B1972" s="342" t="s">
        <v>860</v>
      </c>
      <c r="C1972" s="342" t="s">
        <v>6107</v>
      </c>
      <c r="D1972" s="340">
        <v>1</v>
      </c>
      <c r="E1972" s="343"/>
    </row>
    <row r="1973" spans="1:5" s="335" customFormat="1" ht="12.75">
      <c r="A1973" s="344"/>
      <c r="B1973" s="343"/>
      <c r="C1973" s="343"/>
      <c r="D1973" s="395"/>
      <c r="E1973" s="343"/>
    </row>
    <row r="1974" spans="1:5" s="335" customFormat="1" ht="15" customHeight="1">
      <c r="A1974" s="345"/>
      <c r="B1974" s="404" t="s">
        <v>989</v>
      </c>
      <c r="C1974" s="404"/>
      <c r="D1974" s="404"/>
      <c r="E1974" s="404"/>
    </row>
    <row r="1975" spans="1:5" s="335" customFormat="1" ht="25.5">
      <c r="A1975" s="346" t="s">
        <v>789</v>
      </c>
      <c r="B1975" s="346" t="s">
        <v>409</v>
      </c>
      <c r="C1975" s="346" t="s">
        <v>26</v>
      </c>
      <c r="D1975" s="337" t="s">
        <v>6425</v>
      </c>
      <c r="E1975" s="343"/>
    </row>
    <row r="1976" spans="1:5" s="335" customFormat="1" ht="50.25">
      <c r="A1976" s="342" t="s">
        <v>990</v>
      </c>
      <c r="B1976" s="342" t="s">
        <v>990</v>
      </c>
      <c r="C1976" s="342" t="s">
        <v>6112</v>
      </c>
      <c r="D1976" s="338" t="s">
        <v>791</v>
      </c>
      <c r="E1976" s="343"/>
    </row>
    <row r="1977" spans="1:5" s="335" customFormat="1" ht="12.75">
      <c r="A1977" s="403" t="s">
        <v>819</v>
      </c>
      <c r="B1977" s="403"/>
      <c r="C1977" s="403"/>
      <c r="D1977" s="403"/>
      <c r="E1977" s="343"/>
    </row>
    <row r="1978" spans="1:5" s="335" customFormat="1" ht="24">
      <c r="A1978" s="342" t="s">
        <v>991</v>
      </c>
      <c r="B1978" s="342" t="s">
        <v>992</v>
      </c>
      <c r="C1978" s="342" t="str">
        <f>("7640016788")</f>
        <v>7640016788</v>
      </c>
      <c r="D1978" s="340">
        <v>1275</v>
      </c>
      <c r="E1978" s="343"/>
    </row>
    <row r="1979" spans="1:5" s="335" customFormat="1" ht="24">
      <c r="A1979" s="342" t="s">
        <v>993</v>
      </c>
      <c r="B1979" s="342" t="s">
        <v>994</v>
      </c>
      <c r="C1979" s="342" t="str">
        <f>("7640016789")</f>
        <v>7640016789</v>
      </c>
      <c r="D1979" s="340">
        <v>3600</v>
      </c>
      <c r="E1979" s="343"/>
    </row>
    <row r="1980" spans="1:5" s="335" customFormat="1" ht="24">
      <c r="A1980" s="342" t="s">
        <v>995</v>
      </c>
      <c r="B1980" s="342" t="s">
        <v>996</v>
      </c>
      <c r="C1980" s="342" t="str">
        <f>("7640016790")</f>
        <v>7640016790</v>
      </c>
      <c r="D1980" s="340">
        <v>6480</v>
      </c>
      <c r="E1980" s="343"/>
    </row>
    <row r="1981" spans="1:5" s="335" customFormat="1" ht="24">
      <c r="A1981" s="342" t="s">
        <v>997</v>
      </c>
      <c r="B1981" s="342" t="s">
        <v>998</v>
      </c>
      <c r="C1981" s="342" t="str">
        <f>("7640016791")</f>
        <v>7640016791</v>
      </c>
      <c r="D1981" s="340">
        <v>10800</v>
      </c>
      <c r="E1981" s="343"/>
    </row>
    <row r="1982" spans="1:5" s="335" customFormat="1" ht="24">
      <c r="A1982" s="342" t="s">
        <v>999</v>
      </c>
      <c r="B1982" s="342" t="s">
        <v>1000</v>
      </c>
      <c r="C1982" s="342" t="str">
        <f>("7640016792")</f>
        <v>7640016792</v>
      </c>
      <c r="D1982" s="340">
        <v>12750</v>
      </c>
      <c r="E1982" s="343"/>
    </row>
    <row r="1983" spans="1:5" s="335" customFormat="1" ht="24">
      <c r="A1983" s="342" t="s">
        <v>1001</v>
      </c>
      <c r="B1983" s="342" t="s">
        <v>1002</v>
      </c>
      <c r="C1983" s="342" t="str">
        <f>("7640016793")</f>
        <v>7640016793</v>
      </c>
      <c r="D1983" s="340">
        <v>1500</v>
      </c>
      <c r="E1983" s="343"/>
    </row>
    <row r="1984" spans="1:5" s="335" customFormat="1" ht="24">
      <c r="A1984" s="342" t="s">
        <v>1003</v>
      </c>
      <c r="B1984" s="342" t="s">
        <v>1004</v>
      </c>
      <c r="C1984" s="342" t="str">
        <f>("7640016804")</f>
        <v>7640016804</v>
      </c>
      <c r="D1984" s="340">
        <v>1275</v>
      </c>
      <c r="E1984" s="343"/>
    </row>
    <row r="1985" spans="1:5" s="335" customFormat="1" ht="24">
      <c r="A1985" s="342" t="s">
        <v>1005</v>
      </c>
      <c r="B1985" s="342" t="s">
        <v>1006</v>
      </c>
      <c r="C1985" s="342" t="str">
        <f>("7640016805")</f>
        <v>7640016805</v>
      </c>
      <c r="D1985" s="340">
        <v>3600</v>
      </c>
      <c r="E1985" s="343"/>
    </row>
    <row r="1986" spans="1:5" s="335" customFormat="1" ht="24">
      <c r="A1986" s="342" t="s">
        <v>1007</v>
      </c>
      <c r="B1986" s="342" t="s">
        <v>1008</v>
      </c>
      <c r="C1986" s="342" t="str">
        <f>("7640016806")</f>
        <v>7640016806</v>
      </c>
      <c r="D1986" s="340">
        <v>6480</v>
      </c>
      <c r="E1986" s="343"/>
    </row>
    <row r="1987" spans="1:5" s="335" customFormat="1" ht="24">
      <c r="A1987" s="342" t="s">
        <v>1009</v>
      </c>
      <c r="B1987" s="342" t="s">
        <v>1010</v>
      </c>
      <c r="C1987" s="342" t="str">
        <f>("7640016807")</f>
        <v>7640016807</v>
      </c>
      <c r="D1987" s="340">
        <v>10800</v>
      </c>
      <c r="E1987" s="343"/>
    </row>
    <row r="1988" spans="1:5" s="335" customFormat="1" ht="24">
      <c r="A1988" s="342" t="s">
        <v>1011</v>
      </c>
      <c r="B1988" s="342" t="s">
        <v>1012</v>
      </c>
      <c r="C1988" s="342" t="str">
        <f>("7640016808")</f>
        <v>7640016808</v>
      </c>
      <c r="D1988" s="340">
        <v>12750</v>
      </c>
      <c r="E1988" s="343"/>
    </row>
    <row r="1989" spans="1:5" s="335" customFormat="1" ht="24">
      <c r="A1989" s="342" t="s">
        <v>1013</v>
      </c>
      <c r="B1989" s="342" t="s">
        <v>1014</v>
      </c>
      <c r="C1989" s="342" t="str">
        <f>("7640016809")</f>
        <v>7640016809</v>
      </c>
      <c r="D1989" s="340">
        <v>1500</v>
      </c>
      <c r="E1989" s="343"/>
    </row>
    <row r="1990" spans="1:5" s="335" customFormat="1" ht="24">
      <c r="A1990" s="342" t="s">
        <v>1015</v>
      </c>
      <c r="B1990" s="342" t="s">
        <v>1016</v>
      </c>
      <c r="C1990" s="342" t="str">
        <f>("7640016820")</f>
        <v>7640016820</v>
      </c>
      <c r="D1990" s="340">
        <v>1750</v>
      </c>
      <c r="E1990" s="343"/>
    </row>
    <row r="1991" spans="1:5" s="335" customFormat="1" ht="24">
      <c r="A1991" s="342" t="s">
        <v>1017</v>
      </c>
      <c r="B1991" s="342" t="s">
        <v>1018</v>
      </c>
      <c r="C1991" s="342" t="str">
        <f>("7640016821")</f>
        <v>7640016821</v>
      </c>
      <c r="D1991" s="340">
        <v>14350</v>
      </c>
      <c r="E1991" s="343"/>
    </row>
    <row r="1992" spans="1:5" s="335" customFormat="1" ht="24">
      <c r="A1992" s="342" t="s">
        <v>1019</v>
      </c>
      <c r="B1992" s="342" t="s">
        <v>1020</v>
      </c>
      <c r="C1992" s="342" t="str">
        <f>("7640016822")</f>
        <v>7640016822</v>
      </c>
      <c r="D1992" s="340">
        <v>35000</v>
      </c>
      <c r="E1992" s="343"/>
    </row>
    <row r="1993" spans="1:5" s="335" customFormat="1" ht="24">
      <c r="A1993" s="342" t="s">
        <v>1021</v>
      </c>
      <c r="B1993" s="342" t="s">
        <v>1022</v>
      </c>
      <c r="C1993" s="342" t="str">
        <f>("7640016823")</f>
        <v>7640016823</v>
      </c>
      <c r="D1993" s="340">
        <v>68250</v>
      </c>
      <c r="E1993" s="343"/>
    </row>
    <row r="1994" spans="1:5" s="335" customFormat="1" ht="24">
      <c r="A1994" s="342" t="s">
        <v>1023</v>
      </c>
      <c r="B1994" s="342" t="s">
        <v>1024</v>
      </c>
      <c r="C1994" s="342" t="str">
        <f>("7640016824")</f>
        <v>7640016824</v>
      </c>
      <c r="D1994" s="340">
        <v>131250</v>
      </c>
      <c r="E1994" s="343"/>
    </row>
    <row r="1995" spans="1:5" s="335" customFormat="1" ht="36">
      <c r="A1995" s="342" t="s">
        <v>1025</v>
      </c>
      <c r="B1995" s="342" t="s">
        <v>1026</v>
      </c>
      <c r="C1995" s="342" t="str">
        <f>("7640016850")</f>
        <v>7640016850</v>
      </c>
      <c r="D1995" s="340">
        <v>2500</v>
      </c>
      <c r="E1995" s="343"/>
    </row>
    <row r="1996" spans="1:5" s="335" customFormat="1" ht="24">
      <c r="A1996" s="342" t="s">
        <v>1027</v>
      </c>
      <c r="B1996" s="342" t="s">
        <v>1028</v>
      </c>
      <c r="C1996" s="342" t="str">
        <f>("7640016851")</f>
        <v>7640016851</v>
      </c>
      <c r="D1996" s="340">
        <v>2500</v>
      </c>
      <c r="E1996" s="343"/>
    </row>
    <row r="1997" spans="1:5" s="335" customFormat="1" ht="24">
      <c r="A1997" s="342" t="s">
        <v>1029</v>
      </c>
      <c r="B1997" s="342" t="s">
        <v>1030</v>
      </c>
      <c r="C1997" s="342" t="str">
        <f>("7640016852")</f>
        <v>7640016852</v>
      </c>
      <c r="D1997" s="340">
        <v>2500</v>
      </c>
      <c r="E1997" s="343"/>
    </row>
    <row r="1998" spans="1:5" s="335" customFormat="1" ht="24">
      <c r="A1998" s="342" t="s">
        <v>1031</v>
      </c>
      <c r="B1998" s="342" t="s">
        <v>1032</v>
      </c>
      <c r="C1998" s="342" t="str">
        <f>("7640016853")</f>
        <v>7640016853</v>
      </c>
      <c r="D1998" s="340">
        <v>2500</v>
      </c>
      <c r="E1998" s="343"/>
    </row>
    <row r="1999" spans="1:5" s="335" customFormat="1" ht="24">
      <c r="A1999" s="342" t="s">
        <v>1033</v>
      </c>
      <c r="B1999" s="342" t="s">
        <v>1034</v>
      </c>
      <c r="C1999" s="342" t="str">
        <f>("7640016854")</f>
        <v>7640016854</v>
      </c>
      <c r="D1999" s="340">
        <v>20500</v>
      </c>
      <c r="E1999" s="343"/>
    </row>
    <row r="2000" spans="1:5" s="335" customFormat="1" ht="24">
      <c r="A2000" s="342" t="s">
        <v>1035</v>
      </c>
      <c r="B2000" s="342" t="s">
        <v>1036</v>
      </c>
      <c r="C2000" s="342" t="str">
        <f>("7640016855")</f>
        <v>7640016855</v>
      </c>
      <c r="D2000" s="340">
        <v>50000</v>
      </c>
      <c r="E2000" s="343"/>
    </row>
    <row r="2001" spans="1:5" s="335" customFormat="1" ht="24">
      <c r="A2001" s="342" t="s">
        <v>1037</v>
      </c>
      <c r="B2001" s="342" t="s">
        <v>1038</v>
      </c>
      <c r="C2001" s="342" t="str">
        <f>("7640016856")</f>
        <v>7640016856</v>
      </c>
      <c r="D2001" s="340">
        <v>97500</v>
      </c>
      <c r="E2001" s="343"/>
    </row>
    <row r="2002" spans="1:5" s="335" customFormat="1" ht="24">
      <c r="A2002" s="342" t="s">
        <v>1039</v>
      </c>
      <c r="B2002" s="342" t="s">
        <v>1040</v>
      </c>
      <c r="C2002" s="342" t="str">
        <f>("7640016857")</f>
        <v>7640016857</v>
      </c>
      <c r="D2002" s="340">
        <v>187500</v>
      </c>
      <c r="E2002" s="343"/>
    </row>
    <row r="2003" spans="1:5" s="335" customFormat="1" ht="12.75">
      <c r="A2003" s="403" t="s">
        <v>836</v>
      </c>
      <c r="B2003" s="403"/>
      <c r="C2003" s="403"/>
      <c r="D2003" s="403"/>
      <c r="E2003" s="343"/>
    </row>
    <row r="2004" spans="1:5" s="335" customFormat="1" ht="24">
      <c r="A2004" s="342" t="s">
        <v>1041</v>
      </c>
      <c r="B2004" s="342" t="s">
        <v>1042</v>
      </c>
      <c r="C2004" s="342" t="str">
        <f>("7640016794")</f>
        <v>7640016794</v>
      </c>
      <c r="D2004" s="340">
        <v>255</v>
      </c>
      <c r="E2004" s="343"/>
    </row>
    <row r="2005" spans="1:5" s="335" customFormat="1" ht="24">
      <c r="A2005" s="342" t="s">
        <v>1043</v>
      </c>
      <c r="B2005" s="342" t="s">
        <v>1044</v>
      </c>
      <c r="C2005" s="342" t="str">
        <f>("7640016795")</f>
        <v>7640016795</v>
      </c>
      <c r="D2005" s="340">
        <v>720</v>
      </c>
      <c r="E2005" s="343"/>
    </row>
    <row r="2006" spans="1:5" s="335" customFormat="1" ht="24">
      <c r="A2006" s="342" t="s">
        <v>1045</v>
      </c>
      <c r="B2006" s="342" t="s">
        <v>1046</v>
      </c>
      <c r="C2006" s="342" t="str">
        <f>("7640016796")</f>
        <v>7640016796</v>
      </c>
      <c r="D2006" s="340">
        <v>1296</v>
      </c>
      <c r="E2006" s="343"/>
    </row>
    <row r="2007" spans="1:5" s="335" customFormat="1" ht="24">
      <c r="A2007" s="342" t="s">
        <v>1047</v>
      </c>
      <c r="B2007" s="342" t="s">
        <v>1048</v>
      </c>
      <c r="C2007" s="342" t="str">
        <f>("7640016797")</f>
        <v>7640016797</v>
      </c>
      <c r="D2007" s="340">
        <v>2160</v>
      </c>
      <c r="E2007" s="343"/>
    </row>
    <row r="2008" spans="1:5" s="335" customFormat="1" ht="24">
      <c r="A2008" s="342" t="s">
        <v>1049</v>
      </c>
      <c r="B2008" s="342" t="s">
        <v>1050</v>
      </c>
      <c r="C2008" s="342" t="str">
        <f>("7640016798")</f>
        <v>7640016798</v>
      </c>
      <c r="D2008" s="340">
        <v>2550</v>
      </c>
      <c r="E2008" s="343"/>
    </row>
    <row r="2009" spans="1:5" s="335" customFormat="1" ht="24">
      <c r="A2009" s="342" t="s">
        <v>1051</v>
      </c>
      <c r="B2009" s="342" t="s">
        <v>1052</v>
      </c>
      <c r="C2009" s="342" t="str">
        <f>("7640016810")</f>
        <v>7640016810</v>
      </c>
      <c r="D2009" s="340">
        <v>255</v>
      </c>
      <c r="E2009" s="343"/>
    </row>
    <row r="2010" spans="1:5" s="335" customFormat="1" ht="24">
      <c r="A2010" s="342" t="s">
        <v>1053</v>
      </c>
      <c r="B2010" s="342" t="s">
        <v>1054</v>
      </c>
      <c r="C2010" s="342" t="str">
        <f>("7640016811")</f>
        <v>7640016811</v>
      </c>
      <c r="D2010" s="340">
        <v>720</v>
      </c>
      <c r="E2010" s="343"/>
    </row>
    <row r="2011" spans="1:5" s="335" customFormat="1" ht="24">
      <c r="A2011" s="342" t="s">
        <v>1055</v>
      </c>
      <c r="B2011" s="342" t="s">
        <v>1056</v>
      </c>
      <c r="C2011" s="342" t="str">
        <f>("7640016812")</f>
        <v>7640016812</v>
      </c>
      <c r="D2011" s="340">
        <v>1296</v>
      </c>
      <c r="E2011" s="343"/>
    </row>
    <row r="2012" spans="1:5" s="335" customFormat="1" ht="24">
      <c r="A2012" s="342" t="s">
        <v>1057</v>
      </c>
      <c r="B2012" s="342" t="s">
        <v>1058</v>
      </c>
      <c r="C2012" s="342" t="str">
        <f>("7640016813")</f>
        <v>7640016813</v>
      </c>
      <c r="D2012" s="340">
        <v>2160</v>
      </c>
      <c r="E2012" s="343"/>
    </row>
    <row r="2013" spans="1:5" s="335" customFormat="1" ht="24">
      <c r="A2013" s="342" t="s">
        <v>1059</v>
      </c>
      <c r="B2013" s="342" t="s">
        <v>1060</v>
      </c>
      <c r="C2013" s="342" t="str">
        <f>("7640016814")</f>
        <v>7640016814</v>
      </c>
      <c r="D2013" s="340">
        <v>2550</v>
      </c>
      <c r="E2013" s="343"/>
    </row>
    <row r="2014" spans="1:5" s="335" customFormat="1" ht="24">
      <c r="A2014" s="342" t="s">
        <v>1061</v>
      </c>
      <c r="B2014" s="342" t="s">
        <v>1062</v>
      </c>
      <c r="C2014" s="342" t="str">
        <f>("7640016825")</f>
        <v>7640016825</v>
      </c>
      <c r="D2014" s="340">
        <v>350</v>
      </c>
      <c r="E2014" s="343"/>
    </row>
    <row r="2015" spans="1:5" s="335" customFormat="1" ht="36">
      <c r="A2015" s="342" t="s">
        <v>1063</v>
      </c>
      <c r="B2015" s="342" t="s">
        <v>1064</v>
      </c>
      <c r="C2015" s="342" t="str">
        <f>("7640016826")</f>
        <v>7640016826</v>
      </c>
      <c r="D2015" s="340">
        <v>2870</v>
      </c>
      <c r="E2015" s="343"/>
    </row>
    <row r="2016" spans="1:5" s="335" customFormat="1" ht="36">
      <c r="A2016" s="342" t="s">
        <v>1065</v>
      </c>
      <c r="B2016" s="342" t="s">
        <v>1066</v>
      </c>
      <c r="C2016" s="342" t="str">
        <f>("7640016827")</f>
        <v>7640016827</v>
      </c>
      <c r="D2016" s="340">
        <v>7000</v>
      </c>
      <c r="E2016" s="343"/>
    </row>
    <row r="2017" spans="1:5" s="335" customFormat="1" ht="36">
      <c r="A2017" s="342" t="s">
        <v>1067</v>
      </c>
      <c r="B2017" s="342" t="s">
        <v>1068</v>
      </c>
      <c r="C2017" s="342" t="str">
        <f>("7640016828")</f>
        <v>7640016828</v>
      </c>
      <c r="D2017" s="340">
        <v>13650</v>
      </c>
      <c r="E2017" s="343"/>
    </row>
    <row r="2018" spans="1:5" s="335" customFormat="1" ht="36">
      <c r="A2018" s="342" t="s">
        <v>1069</v>
      </c>
      <c r="B2018" s="342" t="s">
        <v>1070</v>
      </c>
      <c r="C2018" s="342" t="str">
        <f>("7640016829")</f>
        <v>7640016829</v>
      </c>
      <c r="D2018" s="340">
        <v>26250</v>
      </c>
      <c r="E2018" s="343"/>
    </row>
    <row r="2019" spans="1:5" s="335" customFormat="1" ht="24">
      <c r="A2019" s="342" t="s">
        <v>1071</v>
      </c>
      <c r="B2019" s="342" t="s">
        <v>1072</v>
      </c>
      <c r="C2019" s="342" t="str">
        <f>("7640016858")</f>
        <v>7640016858</v>
      </c>
      <c r="D2019" s="340">
        <v>500</v>
      </c>
      <c r="E2019" s="343"/>
    </row>
    <row r="2020" spans="1:5" s="335" customFormat="1" ht="24">
      <c r="A2020" s="342" t="s">
        <v>1073</v>
      </c>
      <c r="B2020" s="342" t="s">
        <v>1074</v>
      </c>
      <c r="C2020" s="342" t="str">
        <f>("7640016859")</f>
        <v>7640016859</v>
      </c>
      <c r="D2020" s="340">
        <v>500</v>
      </c>
      <c r="E2020" s="343"/>
    </row>
    <row r="2021" spans="1:5" s="335" customFormat="1" ht="24">
      <c r="A2021" s="342" t="s">
        <v>1075</v>
      </c>
      <c r="B2021" s="342" t="s">
        <v>1076</v>
      </c>
      <c r="C2021" s="342" t="str">
        <f>("7640016860")</f>
        <v>7640016860</v>
      </c>
      <c r="D2021" s="340">
        <v>500</v>
      </c>
      <c r="E2021" s="343"/>
    </row>
    <row r="2022" spans="1:5" s="335" customFormat="1" ht="24">
      <c r="A2022" s="342" t="s">
        <v>1077</v>
      </c>
      <c r="B2022" s="342" t="s">
        <v>1078</v>
      </c>
      <c r="C2022" s="342" t="str">
        <f>("7640016861")</f>
        <v>7640016861</v>
      </c>
      <c r="D2022" s="340">
        <v>500</v>
      </c>
      <c r="E2022" s="343"/>
    </row>
    <row r="2023" spans="1:5" s="335" customFormat="1" ht="24">
      <c r="A2023" s="342" t="s">
        <v>1079</v>
      </c>
      <c r="B2023" s="342" t="s">
        <v>1080</v>
      </c>
      <c r="C2023" s="342" t="str">
        <f>("7640016862")</f>
        <v>7640016862</v>
      </c>
      <c r="D2023" s="340">
        <v>4100</v>
      </c>
      <c r="E2023" s="343"/>
    </row>
    <row r="2024" spans="1:5" s="335" customFormat="1" ht="24">
      <c r="A2024" s="342" t="s">
        <v>1081</v>
      </c>
      <c r="B2024" s="342" t="s">
        <v>1082</v>
      </c>
      <c r="C2024" s="342" t="str">
        <f>("7640016863")</f>
        <v>7640016863</v>
      </c>
      <c r="D2024" s="340">
        <v>10000</v>
      </c>
      <c r="E2024" s="343"/>
    </row>
    <row r="2025" spans="1:5" s="335" customFormat="1" ht="24">
      <c r="A2025" s="342" t="s">
        <v>1083</v>
      </c>
      <c r="B2025" s="342" t="s">
        <v>1084</v>
      </c>
      <c r="C2025" s="342" t="str">
        <f>("7640016864")</f>
        <v>7640016864</v>
      </c>
      <c r="D2025" s="340">
        <v>19500</v>
      </c>
      <c r="E2025" s="343"/>
    </row>
    <row r="2026" spans="1:5" s="335" customFormat="1" ht="24">
      <c r="A2026" s="342" t="s">
        <v>1083</v>
      </c>
      <c r="B2026" s="342" t="s">
        <v>1084</v>
      </c>
      <c r="C2026" s="342" t="str">
        <f>("7640016865")</f>
        <v>7640016865</v>
      </c>
      <c r="D2026" s="340">
        <v>37500</v>
      </c>
      <c r="E2026" s="343"/>
    </row>
    <row r="2027" spans="1:5" s="335" customFormat="1" ht="12.75">
      <c r="A2027" s="403" t="s">
        <v>856</v>
      </c>
      <c r="B2027" s="403"/>
      <c r="C2027" s="403"/>
      <c r="D2027" s="403"/>
      <c r="E2027" s="343"/>
    </row>
    <row r="2028" spans="1:5" s="335" customFormat="1" ht="24">
      <c r="A2028" s="342" t="s">
        <v>1085</v>
      </c>
      <c r="B2028" s="342" t="s">
        <v>1086</v>
      </c>
      <c r="C2028" s="342" t="str">
        <f>("60NUAW74A01A")</f>
        <v>60NUAW74A01A</v>
      </c>
      <c r="D2028" s="340">
        <v>1800</v>
      </c>
      <c r="E2028" s="343"/>
    </row>
    <row r="2029" spans="1:5" s="335" customFormat="1" ht="24">
      <c r="A2029" s="342" t="s">
        <v>985</v>
      </c>
      <c r="B2029" s="342" t="s">
        <v>986</v>
      </c>
      <c r="C2029" s="342" t="str">
        <f>("7640016878")</f>
        <v>7640016878</v>
      </c>
      <c r="D2029" s="340">
        <v>1250</v>
      </c>
      <c r="E2029" s="343"/>
    </row>
    <row r="2030" spans="1:5" s="335" customFormat="1" ht="24">
      <c r="A2030" s="342" t="s">
        <v>1087</v>
      </c>
      <c r="B2030" s="342" t="s">
        <v>1088</v>
      </c>
      <c r="C2030" s="342" t="str">
        <f>("7640016905")</f>
        <v>7640016905</v>
      </c>
      <c r="D2030" s="340">
        <v>3500</v>
      </c>
      <c r="E2030" s="343"/>
    </row>
    <row r="2031" spans="1:5" s="335" customFormat="1" ht="24">
      <c r="A2031" s="342" t="s">
        <v>1089</v>
      </c>
      <c r="B2031" s="342" t="s">
        <v>1090</v>
      </c>
      <c r="C2031" s="342" t="str">
        <f>("7640016907")</f>
        <v>7640016907</v>
      </c>
      <c r="D2031" s="340">
        <v>3500</v>
      </c>
      <c r="E2031" s="343"/>
    </row>
    <row r="2032" spans="1:5" s="335" customFormat="1" ht="24">
      <c r="A2032" s="342" t="s">
        <v>1091</v>
      </c>
      <c r="B2032" s="342" t="s">
        <v>1092</v>
      </c>
      <c r="C2032" s="342" t="str">
        <f>("7640016908")</f>
        <v>7640016908</v>
      </c>
      <c r="D2032" s="340">
        <v>3500</v>
      </c>
      <c r="E2032" s="343"/>
    </row>
    <row r="2033" spans="1:5" s="335" customFormat="1" ht="24">
      <c r="A2033" s="342" t="s">
        <v>1093</v>
      </c>
      <c r="B2033" s="342" t="s">
        <v>1094</v>
      </c>
      <c r="C2033" s="342" t="str">
        <f>("7640016909")</f>
        <v>7640016909</v>
      </c>
      <c r="D2033" s="340">
        <v>1800</v>
      </c>
      <c r="E2033" s="343"/>
    </row>
    <row r="2034" spans="1:5" s="335" customFormat="1" ht="36">
      <c r="A2034" s="342" t="s">
        <v>1095</v>
      </c>
      <c r="B2034" s="342" t="s">
        <v>1096</v>
      </c>
      <c r="C2034" s="342" t="str">
        <f>("7640016910")</f>
        <v>7640016910</v>
      </c>
      <c r="D2034" s="340">
        <v>1800</v>
      </c>
      <c r="E2034" s="343"/>
    </row>
    <row r="2035" spans="1:5" s="335" customFormat="1" ht="24">
      <c r="A2035" s="342" t="s">
        <v>1097</v>
      </c>
      <c r="B2035" s="342" t="s">
        <v>1098</v>
      </c>
      <c r="C2035" s="342" t="str">
        <f>("7640016911")</f>
        <v>7640016911</v>
      </c>
      <c r="D2035" s="340">
        <v>3500</v>
      </c>
      <c r="E2035" s="343"/>
    </row>
    <row r="2036" spans="1:5" s="335" customFormat="1" ht="24">
      <c r="A2036" s="342" t="s">
        <v>1099</v>
      </c>
      <c r="B2036" s="342" t="s">
        <v>1100</v>
      </c>
      <c r="C2036" s="342" t="str">
        <f>("7640016912")</f>
        <v>7640016912</v>
      </c>
      <c r="D2036" s="340">
        <v>3000</v>
      </c>
      <c r="E2036" s="343"/>
    </row>
    <row r="2037" spans="1:5" s="335" customFormat="1" ht="24">
      <c r="A2037" s="342" t="s">
        <v>1101</v>
      </c>
      <c r="B2037" s="342" t="s">
        <v>1102</v>
      </c>
      <c r="C2037" s="342" t="str">
        <f>("7640016913")</f>
        <v>7640016913</v>
      </c>
      <c r="D2037" s="340">
        <v>3500</v>
      </c>
      <c r="E2037" s="343"/>
    </row>
    <row r="2038" spans="1:5" s="335" customFormat="1" ht="24">
      <c r="A2038" s="342" t="s">
        <v>1103</v>
      </c>
      <c r="B2038" s="342" t="s">
        <v>1104</v>
      </c>
      <c r="C2038" s="342" t="str">
        <f>("7640016914")</f>
        <v>7640016914</v>
      </c>
      <c r="D2038" s="340">
        <v>1800</v>
      </c>
      <c r="E2038" s="343"/>
    </row>
    <row r="2039" spans="1:5" s="335" customFormat="1" ht="24">
      <c r="A2039" s="342" t="s">
        <v>1105</v>
      </c>
      <c r="B2039" s="342" t="s">
        <v>1106</v>
      </c>
      <c r="C2039" s="342" t="str">
        <f>("7640016915")</f>
        <v>7640016915</v>
      </c>
      <c r="D2039" s="340">
        <v>3500</v>
      </c>
      <c r="E2039" s="343"/>
    </row>
    <row r="2040" spans="1:5" s="335" customFormat="1" ht="24">
      <c r="A2040" s="342" t="s">
        <v>1107</v>
      </c>
      <c r="B2040" s="342" t="s">
        <v>1108</v>
      </c>
      <c r="C2040" s="342" t="str">
        <f>("7640016916")</f>
        <v>7640016916</v>
      </c>
      <c r="D2040" s="340">
        <v>2500</v>
      </c>
      <c r="E2040" s="343"/>
    </row>
    <row r="2041" spans="1:5" s="335" customFormat="1" ht="24">
      <c r="A2041" s="342" t="s">
        <v>987</v>
      </c>
      <c r="B2041" s="342" t="s">
        <v>988</v>
      </c>
      <c r="C2041" s="342" t="str">
        <f>("7640016918")</f>
        <v>7640016918</v>
      </c>
      <c r="D2041" s="340">
        <v>2200</v>
      </c>
      <c r="E2041" s="343"/>
    </row>
    <row r="2042" spans="1:5" s="335" customFormat="1" ht="24">
      <c r="A2042" s="342" t="s">
        <v>859</v>
      </c>
      <c r="B2042" s="342" t="s">
        <v>860</v>
      </c>
      <c r="C2042" s="342" t="s">
        <v>6109</v>
      </c>
      <c r="D2042" s="340">
        <v>1</v>
      </c>
      <c r="E2042" s="343"/>
    </row>
    <row r="2043" spans="1:5" s="335" customFormat="1" ht="12.75">
      <c r="A2043" s="344"/>
      <c r="B2043" s="343"/>
      <c r="C2043" s="343"/>
      <c r="D2043" s="395"/>
      <c r="E2043" s="343"/>
    </row>
    <row r="2044" spans="1:5" s="335" customFormat="1" ht="15" customHeight="1">
      <c r="A2044" s="345"/>
      <c r="B2044" s="404" t="s">
        <v>1109</v>
      </c>
      <c r="C2044" s="404"/>
      <c r="D2044" s="404"/>
      <c r="E2044" s="404"/>
    </row>
    <row r="2045" spans="1:5" s="335" customFormat="1" ht="25.5">
      <c r="A2045" s="346" t="s">
        <v>789</v>
      </c>
      <c r="B2045" s="346" t="s">
        <v>409</v>
      </c>
      <c r="C2045" s="346" t="s">
        <v>26</v>
      </c>
      <c r="D2045" s="337" t="s">
        <v>6425</v>
      </c>
      <c r="E2045" s="343"/>
    </row>
    <row r="2046" spans="1:5" s="335" customFormat="1" ht="26.25">
      <c r="A2046" s="342" t="s">
        <v>1110</v>
      </c>
      <c r="B2046" s="342" t="s">
        <v>1111</v>
      </c>
      <c r="C2046" s="342" t="s">
        <v>6113</v>
      </c>
      <c r="D2046" s="340">
        <v>0</v>
      </c>
      <c r="E2046" s="343"/>
    </row>
    <row r="2047" spans="1:5" s="335" customFormat="1" ht="12.75">
      <c r="A2047" s="403" t="s">
        <v>1112</v>
      </c>
      <c r="B2047" s="403"/>
      <c r="C2047" s="403"/>
      <c r="D2047" s="403"/>
      <c r="E2047" s="343"/>
    </row>
    <row r="2048" spans="1:5" s="335" customFormat="1" ht="24">
      <c r="A2048" s="342" t="s">
        <v>1113</v>
      </c>
      <c r="B2048" s="342" t="s">
        <v>1114</v>
      </c>
      <c r="C2048" s="342" t="str">
        <f>("7640016524")</f>
        <v>7640016524</v>
      </c>
      <c r="D2048" s="340">
        <v>228</v>
      </c>
      <c r="E2048" s="343"/>
    </row>
    <row r="2049" spans="1:5" s="335" customFormat="1" ht="24">
      <c r="A2049" s="342" t="s">
        <v>1115</v>
      </c>
      <c r="B2049" s="342" t="s">
        <v>1116</v>
      </c>
      <c r="C2049" s="342" t="str">
        <f>("7640016525")</f>
        <v>7640016525</v>
      </c>
      <c r="D2049" s="340">
        <v>198</v>
      </c>
      <c r="E2049" s="343"/>
    </row>
    <row r="2050" spans="1:5" s="335" customFormat="1" ht="24">
      <c r="A2050" s="342" t="s">
        <v>1117</v>
      </c>
      <c r="B2050" s="342" t="s">
        <v>1118</v>
      </c>
      <c r="C2050" s="342" t="str">
        <f>("7640016526")</f>
        <v>7640016526</v>
      </c>
      <c r="D2050" s="340">
        <v>168</v>
      </c>
      <c r="E2050" s="343"/>
    </row>
    <row r="2051" spans="1:5" s="335" customFormat="1" ht="24">
      <c r="A2051" s="342" t="s">
        <v>1119</v>
      </c>
      <c r="B2051" s="342" t="s">
        <v>1120</v>
      </c>
      <c r="C2051" s="342" t="str">
        <f>("7640016527")</f>
        <v>7640016527</v>
      </c>
      <c r="D2051" s="340">
        <v>156</v>
      </c>
      <c r="E2051" s="343"/>
    </row>
    <row r="2052" spans="1:5" s="335" customFormat="1" ht="24">
      <c r="A2052" s="342" t="s">
        <v>1121</v>
      </c>
      <c r="B2052" s="342" t="s">
        <v>1122</v>
      </c>
      <c r="C2052" s="342" t="str">
        <f>("7640016528")</f>
        <v>7640016528</v>
      </c>
      <c r="D2052" s="340">
        <v>144</v>
      </c>
      <c r="E2052" s="343"/>
    </row>
    <row r="2053" spans="1:5" s="335" customFormat="1" ht="24">
      <c r="A2053" s="342" t="s">
        <v>1123</v>
      </c>
      <c r="B2053" s="342" t="s">
        <v>1124</v>
      </c>
      <c r="C2053" s="342" t="str">
        <f>("7640016529")</f>
        <v>7640016529</v>
      </c>
      <c r="D2053" s="340">
        <v>132</v>
      </c>
      <c r="E2053" s="343"/>
    </row>
    <row r="2054" spans="1:5" s="335" customFormat="1" ht="24">
      <c r="A2054" s="342" t="s">
        <v>1125</v>
      </c>
      <c r="B2054" s="342" t="s">
        <v>1126</v>
      </c>
      <c r="C2054" s="342" t="str">
        <f>("7640016530")</f>
        <v>7640016530</v>
      </c>
      <c r="D2054" s="340">
        <v>120</v>
      </c>
      <c r="E2054" s="343"/>
    </row>
    <row r="2055" spans="1:5" s="335" customFormat="1" ht="24">
      <c r="A2055" s="342" t="s">
        <v>1127</v>
      </c>
      <c r="B2055" s="342" t="s">
        <v>1128</v>
      </c>
      <c r="C2055" s="342" t="str">
        <f>("7640016531")</f>
        <v>7640016531</v>
      </c>
      <c r="D2055" s="340">
        <v>108</v>
      </c>
      <c r="E2055" s="343"/>
    </row>
    <row r="2056" spans="1:5" s="335" customFormat="1" ht="24">
      <c r="A2056" s="342" t="s">
        <v>1129</v>
      </c>
      <c r="B2056" s="342" t="s">
        <v>1130</v>
      </c>
      <c r="C2056" s="342" t="str">
        <f>("7640016532")</f>
        <v>7640016532</v>
      </c>
      <c r="D2056" s="340">
        <v>96</v>
      </c>
      <c r="E2056" s="343"/>
    </row>
    <row r="2057" spans="1:5" s="335" customFormat="1" ht="24">
      <c r="A2057" s="342" t="s">
        <v>1131</v>
      </c>
      <c r="B2057" s="342" t="s">
        <v>1132</v>
      </c>
      <c r="C2057" s="342" t="str">
        <f>("7640016533")</f>
        <v>7640016533</v>
      </c>
      <c r="D2057" s="340">
        <v>84</v>
      </c>
      <c r="E2057" s="343"/>
    </row>
    <row r="2058" spans="1:5" s="335" customFormat="1" ht="12.75">
      <c r="A2058" s="403" t="s">
        <v>1133</v>
      </c>
      <c r="B2058" s="403"/>
      <c r="C2058" s="403"/>
      <c r="D2058" s="403"/>
      <c r="E2058" s="343"/>
    </row>
    <row r="2059" spans="1:5" s="335" customFormat="1" ht="24">
      <c r="A2059" s="342" t="s">
        <v>1134</v>
      </c>
      <c r="B2059" s="342" t="s">
        <v>1135</v>
      </c>
      <c r="C2059" s="342" t="str">
        <f>("7640016544")</f>
        <v>7640016544</v>
      </c>
      <c r="D2059" s="340">
        <v>49</v>
      </c>
      <c r="E2059" s="343"/>
    </row>
    <row r="2060" spans="1:5" s="335" customFormat="1" ht="24">
      <c r="A2060" s="342" t="s">
        <v>1136</v>
      </c>
      <c r="B2060" s="342" t="s">
        <v>1137</v>
      </c>
      <c r="C2060" s="342" t="str">
        <f>("7640016545")</f>
        <v>7640016545</v>
      </c>
      <c r="D2060" s="340">
        <v>39</v>
      </c>
      <c r="E2060" s="343"/>
    </row>
    <row r="2061" spans="1:5" s="335" customFormat="1" ht="24">
      <c r="A2061" s="342" t="s">
        <v>1138</v>
      </c>
      <c r="B2061" s="342" t="s">
        <v>1139</v>
      </c>
      <c r="C2061" s="342" t="str">
        <f>("7640016546")</f>
        <v>7640016546</v>
      </c>
      <c r="D2061" s="340">
        <v>29</v>
      </c>
      <c r="E2061" s="343"/>
    </row>
    <row r="2062" spans="1:5" s="335" customFormat="1" ht="24">
      <c r="A2062" s="342" t="s">
        <v>1140</v>
      </c>
      <c r="B2062" s="342" t="s">
        <v>1141</v>
      </c>
      <c r="C2062" s="342" t="str">
        <f>("7640016547")</f>
        <v>7640016547</v>
      </c>
      <c r="D2062" s="340">
        <v>27</v>
      </c>
      <c r="E2062" s="343"/>
    </row>
    <row r="2063" spans="1:5" s="335" customFormat="1" ht="24">
      <c r="A2063" s="342" t="s">
        <v>1142</v>
      </c>
      <c r="B2063" s="342" t="s">
        <v>1143</v>
      </c>
      <c r="C2063" s="342" t="str">
        <f>("7640016548")</f>
        <v>7640016548</v>
      </c>
      <c r="D2063" s="340">
        <v>25</v>
      </c>
      <c r="E2063" s="343"/>
    </row>
    <row r="2064" spans="1:5" s="335" customFormat="1" ht="24">
      <c r="A2064" s="342" t="s">
        <v>1144</v>
      </c>
      <c r="B2064" s="342" t="s">
        <v>1145</v>
      </c>
      <c r="C2064" s="342" t="str">
        <f>("7640016549")</f>
        <v>7640016549</v>
      </c>
      <c r="D2064" s="340">
        <v>23</v>
      </c>
      <c r="E2064" s="343"/>
    </row>
    <row r="2065" spans="1:5" s="335" customFormat="1" ht="24">
      <c r="A2065" s="342" t="s">
        <v>1146</v>
      </c>
      <c r="B2065" s="342" t="s">
        <v>1147</v>
      </c>
      <c r="C2065" s="342" t="str">
        <f>("7640016550")</f>
        <v>7640016550</v>
      </c>
      <c r="D2065" s="340">
        <v>21</v>
      </c>
      <c r="E2065" s="343"/>
    </row>
    <row r="2066" spans="1:5" s="335" customFormat="1" ht="24">
      <c r="A2066" s="342" t="s">
        <v>1148</v>
      </c>
      <c r="B2066" s="342" t="s">
        <v>1149</v>
      </c>
      <c r="C2066" s="342" t="str">
        <f>("7640016551")</f>
        <v>7640016551</v>
      </c>
      <c r="D2066" s="340">
        <v>19</v>
      </c>
      <c r="E2066" s="343"/>
    </row>
    <row r="2067" spans="1:5" s="335" customFormat="1" ht="24">
      <c r="A2067" s="342" t="s">
        <v>1150</v>
      </c>
      <c r="B2067" s="342" t="s">
        <v>1151</v>
      </c>
      <c r="C2067" s="342" t="str">
        <f>("7640016552")</f>
        <v>7640016552</v>
      </c>
      <c r="D2067" s="340">
        <v>17</v>
      </c>
      <c r="E2067" s="343"/>
    </row>
    <row r="2068" spans="1:5" s="335" customFormat="1" ht="24">
      <c r="A2068" s="342" t="s">
        <v>1152</v>
      </c>
      <c r="B2068" s="342" t="s">
        <v>1153</v>
      </c>
      <c r="C2068" s="342" t="str">
        <f>("7640016553")</f>
        <v>7640016553</v>
      </c>
      <c r="D2068" s="340">
        <v>15</v>
      </c>
      <c r="E2068" s="343"/>
    </row>
    <row r="2069" spans="1:5" s="335" customFormat="1" ht="24">
      <c r="A2069" s="342" t="s">
        <v>1154</v>
      </c>
      <c r="B2069" s="342" t="s">
        <v>1154</v>
      </c>
      <c r="C2069" s="342" t="str">
        <f>("89364500PROMAINT")</f>
        <v>89364500PROMAINT</v>
      </c>
      <c r="D2069" s="340">
        <v>1</v>
      </c>
      <c r="E2069" s="343"/>
    </row>
    <row r="2070" spans="1:5" s="335" customFormat="1" ht="12.75">
      <c r="A2070" s="403" t="s">
        <v>1155</v>
      </c>
      <c r="B2070" s="403"/>
      <c r="C2070" s="403"/>
      <c r="D2070" s="403"/>
      <c r="E2070" s="343"/>
    </row>
    <row r="2071" spans="1:5" s="335" customFormat="1" ht="24">
      <c r="A2071" s="342" t="s">
        <v>1156</v>
      </c>
      <c r="B2071" s="342" t="s">
        <v>1157</v>
      </c>
      <c r="C2071" s="342" t="str">
        <f>("7640016554")</f>
        <v>7640016554</v>
      </c>
      <c r="D2071" s="340">
        <v>89</v>
      </c>
      <c r="E2071" s="343"/>
    </row>
    <row r="2072" spans="1:5" s="335" customFormat="1" ht="24">
      <c r="A2072" s="342" t="s">
        <v>1158</v>
      </c>
      <c r="B2072" s="342" t="s">
        <v>1159</v>
      </c>
      <c r="C2072" s="342" t="str">
        <f>("7640016555")</f>
        <v>7640016555</v>
      </c>
      <c r="D2072" s="340">
        <v>79</v>
      </c>
      <c r="E2072" s="343"/>
    </row>
    <row r="2073" spans="1:5" s="335" customFormat="1" ht="24">
      <c r="A2073" s="342" t="s">
        <v>1160</v>
      </c>
      <c r="B2073" s="342" t="s">
        <v>1161</v>
      </c>
      <c r="C2073" s="342" t="str">
        <f>("7640016556")</f>
        <v>7640016556</v>
      </c>
      <c r="D2073" s="340">
        <v>69</v>
      </c>
      <c r="E2073" s="343"/>
    </row>
    <row r="2074" spans="1:5" s="335" customFormat="1" ht="24">
      <c r="A2074" s="342" t="s">
        <v>1162</v>
      </c>
      <c r="B2074" s="342" t="s">
        <v>1163</v>
      </c>
      <c r="C2074" s="342" t="str">
        <f>("7640016557")</f>
        <v>7640016557</v>
      </c>
      <c r="D2074" s="340">
        <v>65</v>
      </c>
      <c r="E2074" s="343"/>
    </row>
    <row r="2075" spans="1:5" s="335" customFormat="1" ht="24">
      <c r="A2075" s="342" t="s">
        <v>1164</v>
      </c>
      <c r="B2075" s="342" t="s">
        <v>1165</v>
      </c>
      <c r="C2075" s="342" t="str">
        <f>("7640016558")</f>
        <v>7640016558</v>
      </c>
      <c r="D2075" s="340">
        <v>59</v>
      </c>
      <c r="E2075" s="343"/>
    </row>
    <row r="2076" spans="1:5" s="335" customFormat="1" ht="24">
      <c r="A2076" s="342" t="s">
        <v>1166</v>
      </c>
      <c r="B2076" s="342" t="s">
        <v>1167</v>
      </c>
      <c r="C2076" s="342" t="str">
        <f>("7640016559")</f>
        <v>7640016559</v>
      </c>
      <c r="D2076" s="340">
        <v>55</v>
      </c>
      <c r="E2076" s="343"/>
    </row>
    <row r="2077" spans="1:5" s="335" customFormat="1" ht="24">
      <c r="A2077" s="342" t="s">
        <v>1168</v>
      </c>
      <c r="B2077" s="342" t="s">
        <v>1169</v>
      </c>
      <c r="C2077" s="342" t="str">
        <f>("7640016560")</f>
        <v>7640016560</v>
      </c>
      <c r="D2077" s="340">
        <v>49</v>
      </c>
      <c r="E2077" s="343"/>
    </row>
    <row r="2078" spans="1:5" s="335" customFormat="1" ht="24">
      <c r="A2078" s="342" t="s">
        <v>1170</v>
      </c>
      <c r="B2078" s="342" t="s">
        <v>1171</v>
      </c>
      <c r="C2078" s="342" t="str">
        <f>("7640016561")</f>
        <v>7640016561</v>
      </c>
      <c r="D2078" s="340">
        <v>45</v>
      </c>
      <c r="E2078" s="343"/>
    </row>
    <row r="2079" spans="1:5" s="335" customFormat="1" ht="24">
      <c r="A2079" s="342" t="s">
        <v>1172</v>
      </c>
      <c r="B2079" s="342" t="s">
        <v>1173</v>
      </c>
      <c r="C2079" s="342" t="str">
        <f>("7640016562")</f>
        <v>7640016562</v>
      </c>
      <c r="D2079" s="340">
        <v>39</v>
      </c>
      <c r="E2079" s="343"/>
    </row>
    <row r="2080" spans="1:5" s="335" customFormat="1" ht="24">
      <c r="A2080" s="342" t="s">
        <v>1174</v>
      </c>
      <c r="B2080" s="342" t="s">
        <v>1175</v>
      </c>
      <c r="C2080" s="342" t="str">
        <f>("7640016563")</f>
        <v>7640016563</v>
      </c>
      <c r="D2080" s="340">
        <v>35</v>
      </c>
      <c r="E2080" s="343"/>
    </row>
    <row r="2081" spans="1:5" s="335" customFormat="1" ht="12.75">
      <c r="A2081" s="403" t="s">
        <v>1176</v>
      </c>
      <c r="B2081" s="403"/>
      <c r="C2081" s="403"/>
      <c r="D2081" s="403"/>
      <c r="E2081" s="343"/>
    </row>
    <row r="2082" spans="1:5" s="335" customFormat="1" ht="24">
      <c r="A2082" s="342" t="s">
        <v>1177</v>
      </c>
      <c r="B2082" s="342" t="s">
        <v>1178</v>
      </c>
      <c r="C2082" s="342" t="str">
        <f>("7640016564")</f>
        <v>7640016564</v>
      </c>
      <c r="D2082" s="340">
        <v>298</v>
      </c>
      <c r="E2082" s="343"/>
    </row>
    <row r="2083" spans="1:5" s="335" customFormat="1" ht="24">
      <c r="A2083" s="342" t="s">
        <v>1179</v>
      </c>
      <c r="B2083" s="342" t="s">
        <v>1180</v>
      </c>
      <c r="C2083" s="342" t="str">
        <f>("7640016565")</f>
        <v>7640016565</v>
      </c>
      <c r="D2083" s="340">
        <v>248</v>
      </c>
      <c r="E2083" s="343"/>
    </row>
    <row r="2084" spans="1:5" s="335" customFormat="1" ht="24">
      <c r="A2084" s="342" t="s">
        <v>1181</v>
      </c>
      <c r="B2084" s="342" t="s">
        <v>1182</v>
      </c>
      <c r="C2084" s="342" t="str">
        <f>("7640016566")</f>
        <v>7640016566</v>
      </c>
      <c r="D2084" s="340">
        <v>212</v>
      </c>
      <c r="E2084" s="343"/>
    </row>
    <row r="2085" spans="1:5" s="335" customFormat="1" ht="24">
      <c r="A2085" s="342" t="s">
        <v>1183</v>
      </c>
      <c r="B2085" s="342" t="s">
        <v>1184</v>
      </c>
      <c r="C2085" s="342" t="str">
        <f>("7640016567")</f>
        <v>7640016567</v>
      </c>
      <c r="D2085" s="340">
        <v>190</v>
      </c>
      <c r="E2085" s="343"/>
    </row>
    <row r="2086" spans="1:5" s="335" customFormat="1" ht="24">
      <c r="A2086" s="342" t="s">
        <v>1185</v>
      </c>
      <c r="B2086" s="342" t="s">
        <v>1186</v>
      </c>
      <c r="C2086" s="342" t="str">
        <f>("7640016568")</f>
        <v>7640016568</v>
      </c>
      <c r="D2086" s="340">
        <v>178</v>
      </c>
      <c r="E2086" s="343"/>
    </row>
    <row r="2087" spans="1:5" s="335" customFormat="1" ht="24">
      <c r="A2087" s="342" t="s">
        <v>1187</v>
      </c>
      <c r="B2087" s="342" t="s">
        <v>1188</v>
      </c>
      <c r="C2087" s="342" t="str">
        <f>("7640016569")</f>
        <v>7640016569</v>
      </c>
      <c r="D2087" s="340">
        <v>156</v>
      </c>
      <c r="E2087" s="343"/>
    </row>
    <row r="2088" spans="1:5" s="335" customFormat="1" ht="24">
      <c r="A2088" s="342" t="s">
        <v>1189</v>
      </c>
      <c r="B2088" s="342" t="s">
        <v>1190</v>
      </c>
      <c r="C2088" s="342" t="str">
        <f>("7640016570")</f>
        <v>7640016570</v>
      </c>
      <c r="D2088" s="340">
        <v>144</v>
      </c>
      <c r="E2088" s="343"/>
    </row>
    <row r="2089" spans="1:5" s="335" customFormat="1" ht="24">
      <c r="A2089" s="342" t="s">
        <v>1191</v>
      </c>
      <c r="B2089" s="342" t="s">
        <v>1192</v>
      </c>
      <c r="C2089" s="342" t="str">
        <f>("7640016571")</f>
        <v>7640016571</v>
      </c>
      <c r="D2089" s="340">
        <v>132</v>
      </c>
      <c r="E2089" s="343"/>
    </row>
    <row r="2090" spans="1:5" s="335" customFormat="1" ht="24">
      <c r="A2090" s="342" t="s">
        <v>1193</v>
      </c>
      <c r="B2090" s="342" t="s">
        <v>1194</v>
      </c>
      <c r="C2090" s="342" t="str">
        <f>("7640016572")</f>
        <v>7640016572</v>
      </c>
      <c r="D2090" s="340">
        <v>120</v>
      </c>
      <c r="E2090" s="343"/>
    </row>
    <row r="2091" spans="1:5" s="335" customFormat="1" ht="24">
      <c r="A2091" s="342" t="s">
        <v>1195</v>
      </c>
      <c r="B2091" s="342" t="s">
        <v>1196</v>
      </c>
      <c r="C2091" s="342" t="str">
        <f>("7640016573")</f>
        <v>7640016573</v>
      </c>
      <c r="D2091" s="340">
        <v>108</v>
      </c>
      <c r="E2091" s="343"/>
    </row>
    <row r="2092" spans="1:5" s="335" customFormat="1" ht="12.75">
      <c r="A2092" s="403" t="s">
        <v>1197</v>
      </c>
      <c r="B2092" s="403"/>
      <c r="C2092" s="403"/>
      <c r="D2092" s="403"/>
      <c r="E2092" s="343"/>
    </row>
    <row r="2093" spans="1:5" s="335" customFormat="1" ht="24">
      <c r="A2093" s="342" t="s">
        <v>1198</v>
      </c>
      <c r="B2093" s="342" t="s">
        <v>1199</v>
      </c>
      <c r="C2093" s="342" t="str">
        <f>("7640016584")</f>
        <v>7640016584</v>
      </c>
      <c r="D2093" s="340">
        <v>59</v>
      </c>
      <c r="E2093" s="343"/>
    </row>
    <row r="2094" spans="1:5" s="335" customFormat="1" ht="24">
      <c r="A2094" s="342" t="s">
        <v>1200</v>
      </c>
      <c r="B2094" s="342" t="s">
        <v>1201</v>
      </c>
      <c r="C2094" s="342" t="str">
        <f>("7640016585")</f>
        <v>7640016585</v>
      </c>
      <c r="D2094" s="340">
        <v>49</v>
      </c>
      <c r="E2094" s="343"/>
    </row>
    <row r="2095" spans="1:5" s="335" customFormat="1" ht="24">
      <c r="A2095" s="342" t="s">
        <v>1202</v>
      </c>
      <c r="B2095" s="342" t="s">
        <v>1203</v>
      </c>
      <c r="C2095" s="342" t="str">
        <f>("7640016586")</f>
        <v>7640016586</v>
      </c>
      <c r="D2095" s="340">
        <v>33</v>
      </c>
      <c r="E2095" s="343"/>
    </row>
    <row r="2096" spans="1:5" s="335" customFormat="1" ht="24">
      <c r="A2096" s="342" t="s">
        <v>1204</v>
      </c>
      <c r="B2096" s="342" t="s">
        <v>1205</v>
      </c>
      <c r="C2096" s="342" t="str">
        <f>("7640016587")</f>
        <v>7640016587</v>
      </c>
      <c r="D2096" s="340">
        <v>31</v>
      </c>
      <c r="E2096" s="343"/>
    </row>
    <row r="2097" spans="1:5" s="335" customFormat="1" ht="24">
      <c r="A2097" s="342" t="s">
        <v>1206</v>
      </c>
      <c r="B2097" s="342" t="s">
        <v>1207</v>
      </c>
      <c r="C2097" s="342" t="str">
        <f>("7640016588")</f>
        <v>7640016588</v>
      </c>
      <c r="D2097" s="340">
        <v>29</v>
      </c>
      <c r="E2097" s="343"/>
    </row>
    <row r="2098" spans="1:5" s="335" customFormat="1" ht="24">
      <c r="A2098" s="342" t="s">
        <v>1208</v>
      </c>
      <c r="B2098" s="342" t="s">
        <v>1209</v>
      </c>
      <c r="C2098" s="342" t="str">
        <f>("7640016589")</f>
        <v>7640016589</v>
      </c>
      <c r="D2098" s="340">
        <v>27</v>
      </c>
      <c r="E2098" s="343"/>
    </row>
    <row r="2099" spans="1:5" s="335" customFormat="1" ht="24">
      <c r="A2099" s="342" t="s">
        <v>1210</v>
      </c>
      <c r="B2099" s="342" t="s">
        <v>1211</v>
      </c>
      <c r="C2099" s="342" t="str">
        <f>("7640016590")</f>
        <v>7640016590</v>
      </c>
      <c r="D2099" s="340">
        <v>25</v>
      </c>
      <c r="E2099" s="343"/>
    </row>
    <row r="2100" spans="1:5" s="335" customFormat="1" ht="24">
      <c r="A2100" s="342" t="s">
        <v>1212</v>
      </c>
      <c r="B2100" s="342" t="s">
        <v>1213</v>
      </c>
      <c r="C2100" s="342" t="str">
        <f>("7640016591")</f>
        <v>7640016591</v>
      </c>
      <c r="D2100" s="340">
        <v>23</v>
      </c>
      <c r="E2100" s="343"/>
    </row>
    <row r="2101" spans="1:5" s="335" customFormat="1" ht="24">
      <c r="A2101" s="342" t="s">
        <v>1214</v>
      </c>
      <c r="B2101" s="342" t="s">
        <v>1215</v>
      </c>
      <c r="C2101" s="342" t="str">
        <f>("7640016592")</f>
        <v>7640016592</v>
      </c>
      <c r="D2101" s="340">
        <v>21</v>
      </c>
      <c r="E2101" s="343"/>
    </row>
    <row r="2102" spans="1:5" s="335" customFormat="1" ht="24">
      <c r="A2102" s="342" t="s">
        <v>1216</v>
      </c>
      <c r="B2102" s="342" t="s">
        <v>1217</v>
      </c>
      <c r="C2102" s="342" t="str">
        <f>("7640016593")</f>
        <v>7640016593</v>
      </c>
      <c r="D2102" s="340">
        <v>19</v>
      </c>
      <c r="E2102" s="343"/>
    </row>
    <row r="2103" spans="1:5" s="335" customFormat="1" ht="12.75">
      <c r="A2103" s="403" t="s">
        <v>1218</v>
      </c>
      <c r="B2103" s="403"/>
      <c r="C2103" s="403"/>
      <c r="D2103" s="403"/>
      <c r="E2103" s="343"/>
    </row>
    <row r="2104" spans="1:5" s="335" customFormat="1" ht="24">
      <c r="A2104" s="342" t="s">
        <v>1219</v>
      </c>
      <c r="B2104" s="342" t="s">
        <v>1220</v>
      </c>
      <c r="C2104" s="342" t="str">
        <f>("7640016594")</f>
        <v>7640016594</v>
      </c>
      <c r="D2104" s="340">
        <v>119</v>
      </c>
      <c r="E2104" s="343"/>
    </row>
    <row r="2105" spans="1:5" s="335" customFormat="1" ht="24">
      <c r="A2105" s="342" t="s">
        <v>1221</v>
      </c>
      <c r="B2105" s="342" t="s">
        <v>1222</v>
      </c>
      <c r="C2105" s="342" t="str">
        <f>("7640016595")</f>
        <v>7640016595</v>
      </c>
      <c r="D2105" s="340">
        <v>99</v>
      </c>
      <c r="E2105" s="343"/>
    </row>
    <row r="2106" spans="1:5" s="335" customFormat="1" ht="24">
      <c r="A2106" s="342" t="s">
        <v>1223</v>
      </c>
      <c r="B2106" s="342" t="s">
        <v>1224</v>
      </c>
      <c r="C2106" s="342" t="str">
        <f>("7640016596")</f>
        <v>7640016596</v>
      </c>
      <c r="D2106" s="340">
        <v>89</v>
      </c>
      <c r="E2106" s="343"/>
    </row>
    <row r="2107" spans="1:5" s="335" customFormat="1" ht="24">
      <c r="A2107" s="342" t="s">
        <v>1225</v>
      </c>
      <c r="B2107" s="342" t="s">
        <v>1226</v>
      </c>
      <c r="C2107" s="342" t="str">
        <f>("7640016597")</f>
        <v>7640016597</v>
      </c>
      <c r="D2107" s="340">
        <v>79</v>
      </c>
      <c r="E2107" s="343"/>
    </row>
    <row r="2108" spans="1:5" s="335" customFormat="1" ht="24">
      <c r="A2108" s="342" t="s">
        <v>1227</v>
      </c>
      <c r="B2108" s="342" t="s">
        <v>1228</v>
      </c>
      <c r="C2108" s="342" t="str">
        <f>("7640016598")</f>
        <v>7640016598</v>
      </c>
      <c r="D2108" s="340">
        <v>75</v>
      </c>
      <c r="E2108" s="343"/>
    </row>
    <row r="2109" spans="1:5" s="335" customFormat="1" ht="24">
      <c r="A2109" s="342" t="s">
        <v>1229</v>
      </c>
      <c r="B2109" s="342" t="s">
        <v>1230</v>
      </c>
      <c r="C2109" s="342" t="str">
        <f>("7640016599")</f>
        <v>7640016599</v>
      </c>
      <c r="D2109" s="340">
        <v>65</v>
      </c>
      <c r="E2109" s="343"/>
    </row>
    <row r="2110" spans="1:5" s="335" customFormat="1" ht="24">
      <c r="A2110" s="342" t="s">
        <v>1231</v>
      </c>
      <c r="B2110" s="342" t="s">
        <v>1232</v>
      </c>
      <c r="C2110" s="342" t="str">
        <f>("7640016600")</f>
        <v>7640016600</v>
      </c>
      <c r="D2110" s="340">
        <v>59</v>
      </c>
      <c r="E2110" s="343"/>
    </row>
    <row r="2111" spans="1:5" s="335" customFormat="1" ht="24">
      <c r="A2111" s="342" t="s">
        <v>1233</v>
      </c>
      <c r="B2111" s="342" t="s">
        <v>1234</v>
      </c>
      <c r="C2111" s="342" t="str">
        <f>("7640016601")</f>
        <v>7640016601</v>
      </c>
      <c r="D2111" s="340">
        <v>55</v>
      </c>
      <c r="E2111" s="343"/>
    </row>
    <row r="2112" spans="1:5" s="335" customFormat="1" ht="24">
      <c r="A2112" s="342" t="s">
        <v>1235</v>
      </c>
      <c r="B2112" s="342" t="s">
        <v>1236</v>
      </c>
      <c r="C2112" s="342" t="str">
        <f>("7640016602")</f>
        <v>7640016602</v>
      </c>
      <c r="D2112" s="340">
        <v>49</v>
      </c>
      <c r="E2112" s="343"/>
    </row>
    <row r="2113" spans="1:5" s="335" customFormat="1" ht="24">
      <c r="A2113" s="342" t="s">
        <v>1237</v>
      </c>
      <c r="B2113" s="342" t="s">
        <v>1238</v>
      </c>
      <c r="C2113" s="342" t="str">
        <f>("7640016603")</f>
        <v>7640016603</v>
      </c>
      <c r="D2113" s="340">
        <v>45</v>
      </c>
      <c r="E2113" s="343"/>
    </row>
    <row r="2114" spans="1:5" s="335" customFormat="1" ht="12.75">
      <c r="A2114" s="403" t="s">
        <v>1239</v>
      </c>
      <c r="B2114" s="403"/>
      <c r="C2114" s="403"/>
      <c r="D2114" s="403"/>
      <c r="E2114" s="343"/>
    </row>
    <row r="2115" spans="1:5" s="335" customFormat="1" ht="24">
      <c r="A2115" s="342" t="s">
        <v>1240</v>
      </c>
      <c r="B2115" s="342" t="s">
        <v>1241</v>
      </c>
      <c r="C2115" s="342" t="str">
        <f>("7640016604")</f>
        <v>7640016604</v>
      </c>
      <c r="D2115" s="340">
        <v>368</v>
      </c>
      <c r="E2115" s="343"/>
    </row>
    <row r="2116" spans="1:5" s="335" customFormat="1" ht="24">
      <c r="A2116" s="342" t="s">
        <v>1242</v>
      </c>
      <c r="B2116" s="342" t="s">
        <v>1243</v>
      </c>
      <c r="C2116" s="342" t="str">
        <f>("7640016605")</f>
        <v>7640016605</v>
      </c>
      <c r="D2116" s="340">
        <v>308</v>
      </c>
      <c r="E2116" s="343"/>
    </row>
    <row r="2117" spans="1:5" s="335" customFormat="1" ht="24">
      <c r="A2117" s="342" t="s">
        <v>1244</v>
      </c>
      <c r="B2117" s="342" t="s">
        <v>1245</v>
      </c>
      <c r="C2117" s="342" t="str">
        <f>("7640016606")</f>
        <v>7640016606</v>
      </c>
      <c r="D2117" s="340">
        <v>268</v>
      </c>
      <c r="E2117" s="343"/>
    </row>
    <row r="2118" spans="1:5" s="335" customFormat="1" ht="24">
      <c r="A2118" s="342" t="s">
        <v>1246</v>
      </c>
      <c r="B2118" s="342" t="s">
        <v>1247</v>
      </c>
      <c r="C2118" s="342" t="str">
        <f>("7640016607")</f>
        <v>7640016607</v>
      </c>
      <c r="D2118" s="340">
        <v>238</v>
      </c>
      <c r="E2118" s="343"/>
    </row>
    <row r="2119" spans="1:5" s="335" customFormat="1" ht="24">
      <c r="A2119" s="342" t="s">
        <v>1248</v>
      </c>
      <c r="B2119" s="342" t="s">
        <v>1249</v>
      </c>
      <c r="C2119" s="342" t="str">
        <f>("7640016608")</f>
        <v>7640016608</v>
      </c>
      <c r="D2119" s="340">
        <v>214</v>
      </c>
      <c r="E2119" s="343"/>
    </row>
    <row r="2120" spans="1:5" s="335" customFormat="1" ht="24">
      <c r="A2120" s="342" t="s">
        <v>1250</v>
      </c>
      <c r="B2120" s="342" t="s">
        <v>1251</v>
      </c>
      <c r="C2120" s="342" t="str">
        <f>("7640016609")</f>
        <v>7640016609</v>
      </c>
      <c r="D2120" s="340">
        <v>192</v>
      </c>
      <c r="E2120" s="343"/>
    </row>
    <row r="2121" spans="1:5" s="335" customFormat="1" ht="24">
      <c r="A2121" s="342" t="s">
        <v>1252</v>
      </c>
      <c r="B2121" s="342" t="s">
        <v>1253</v>
      </c>
      <c r="C2121" s="342" t="str">
        <f>("7640016610")</f>
        <v>7640016610</v>
      </c>
      <c r="D2121" s="340">
        <v>180</v>
      </c>
      <c r="E2121" s="343"/>
    </row>
    <row r="2122" spans="1:5" s="335" customFormat="1" ht="24">
      <c r="A2122" s="342" t="s">
        <v>1254</v>
      </c>
      <c r="B2122" s="342" t="s">
        <v>1255</v>
      </c>
      <c r="C2122" s="342" t="str">
        <f>("7640016611")</f>
        <v>7640016611</v>
      </c>
      <c r="D2122" s="340">
        <v>156</v>
      </c>
      <c r="E2122" s="343"/>
    </row>
    <row r="2123" spans="1:5" s="335" customFormat="1" ht="24">
      <c r="A2123" s="342" t="s">
        <v>1256</v>
      </c>
      <c r="B2123" s="342" t="s">
        <v>1257</v>
      </c>
      <c r="C2123" s="342" t="str">
        <f>("7640016612")</f>
        <v>7640016612</v>
      </c>
      <c r="D2123" s="340">
        <v>144</v>
      </c>
      <c r="E2123" s="343"/>
    </row>
    <row r="2124" spans="1:5" s="335" customFormat="1" ht="24">
      <c r="A2124" s="342" t="s">
        <v>1258</v>
      </c>
      <c r="B2124" s="342" t="s">
        <v>1259</v>
      </c>
      <c r="C2124" s="342" t="str">
        <f>("7640016613")</f>
        <v>7640016613</v>
      </c>
      <c r="D2124" s="340">
        <v>132</v>
      </c>
      <c r="E2124" s="343"/>
    </row>
    <row r="2125" spans="1:5" s="335" customFormat="1" ht="12.75">
      <c r="A2125" s="403" t="s">
        <v>1260</v>
      </c>
      <c r="B2125" s="403"/>
      <c r="C2125" s="403"/>
      <c r="D2125" s="403"/>
      <c r="E2125" s="343"/>
    </row>
    <row r="2126" spans="1:5" s="335" customFormat="1" ht="24">
      <c r="A2126" s="342" t="s">
        <v>1261</v>
      </c>
      <c r="B2126" s="342" t="s">
        <v>1262</v>
      </c>
      <c r="C2126" s="342" t="str">
        <f>("7640016624")</f>
        <v>7640016624</v>
      </c>
      <c r="D2126" s="340">
        <v>69</v>
      </c>
      <c r="E2126" s="343"/>
    </row>
    <row r="2127" spans="1:5" s="335" customFormat="1" ht="24">
      <c r="A2127" s="342" t="s">
        <v>1263</v>
      </c>
      <c r="B2127" s="342" t="s">
        <v>1264</v>
      </c>
      <c r="C2127" s="342" t="str">
        <f>("7640016625")</f>
        <v>7640016625</v>
      </c>
      <c r="D2127" s="340">
        <v>59</v>
      </c>
      <c r="E2127" s="343"/>
    </row>
    <row r="2128" spans="1:5" s="335" customFormat="1" ht="24">
      <c r="A2128" s="342" t="s">
        <v>1265</v>
      </c>
      <c r="B2128" s="342" t="s">
        <v>1266</v>
      </c>
      <c r="C2128" s="342" t="str">
        <f>("7640016626")</f>
        <v>7640016626</v>
      </c>
      <c r="D2128" s="340">
        <v>49</v>
      </c>
      <c r="E2128" s="343"/>
    </row>
    <row r="2129" spans="1:5" s="335" customFormat="1" ht="24">
      <c r="A2129" s="342" t="s">
        <v>1267</v>
      </c>
      <c r="B2129" s="342" t="s">
        <v>1268</v>
      </c>
      <c r="C2129" s="342" t="str">
        <f>("7640016627")</f>
        <v>7640016627</v>
      </c>
      <c r="D2129" s="340">
        <v>39</v>
      </c>
      <c r="E2129" s="343"/>
    </row>
    <row r="2130" spans="1:5" s="335" customFormat="1" ht="24">
      <c r="A2130" s="342" t="s">
        <v>1269</v>
      </c>
      <c r="B2130" s="342" t="s">
        <v>1270</v>
      </c>
      <c r="C2130" s="342" t="str">
        <f>("7640016628")</f>
        <v>7640016628</v>
      </c>
      <c r="D2130" s="340">
        <v>35</v>
      </c>
      <c r="E2130" s="343"/>
    </row>
    <row r="2131" spans="1:5" s="335" customFormat="1" ht="24">
      <c r="A2131" s="342" t="s">
        <v>1271</v>
      </c>
      <c r="B2131" s="342" t="s">
        <v>1272</v>
      </c>
      <c r="C2131" s="342" t="str">
        <f>("7640016629")</f>
        <v>7640016629</v>
      </c>
      <c r="D2131" s="340">
        <v>33</v>
      </c>
      <c r="E2131" s="343"/>
    </row>
    <row r="2132" spans="1:5" s="335" customFormat="1" ht="24">
      <c r="A2132" s="342" t="s">
        <v>1273</v>
      </c>
      <c r="B2132" s="342" t="s">
        <v>1274</v>
      </c>
      <c r="C2132" s="342" t="str">
        <f>("7640016630")</f>
        <v>7640016630</v>
      </c>
      <c r="D2132" s="340">
        <v>31</v>
      </c>
      <c r="E2132" s="343"/>
    </row>
    <row r="2133" spans="1:5" s="335" customFormat="1" ht="24">
      <c r="A2133" s="342" t="s">
        <v>1275</v>
      </c>
      <c r="B2133" s="342" t="s">
        <v>1276</v>
      </c>
      <c r="C2133" s="342" t="str">
        <f>("7640016631")</f>
        <v>7640016631</v>
      </c>
      <c r="D2133" s="340">
        <v>27</v>
      </c>
      <c r="E2133" s="343"/>
    </row>
    <row r="2134" spans="1:5" s="335" customFormat="1" ht="24">
      <c r="A2134" s="342" t="s">
        <v>1277</v>
      </c>
      <c r="B2134" s="342" t="s">
        <v>1278</v>
      </c>
      <c r="C2134" s="342" t="str">
        <f>("7640016632")</f>
        <v>7640016632</v>
      </c>
      <c r="D2134" s="340">
        <v>25</v>
      </c>
      <c r="E2134" s="343"/>
    </row>
    <row r="2135" spans="1:5" s="335" customFormat="1" ht="24">
      <c r="A2135" s="342" t="s">
        <v>1279</v>
      </c>
      <c r="B2135" s="342" t="s">
        <v>1280</v>
      </c>
      <c r="C2135" s="342" t="str">
        <f>("7640016633")</f>
        <v>7640016633</v>
      </c>
      <c r="D2135" s="340">
        <v>23</v>
      </c>
      <c r="E2135" s="343"/>
    </row>
    <row r="2136" spans="1:5" s="335" customFormat="1" ht="12.75">
      <c r="A2136" s="403" t="s">
        <v>1281</v>
      </c>
      <c r="B2136" s="403"/>
      <c r="C2136" s="403"/>
      <c r="D2136" s="403"/>
      <c r="E2136" s="343"/>
    </row>
    <row r="2137" spans="1:5" s="335" customFormat="1" ht="24">
      <c r="A2137" s="342" t="s">
        <v>1282</v>
      </c>
      <c r="B2137" s="342" t="s">
        <v>1283</v>
      </c>
      <c r="C2137" s="342" t="str">
        <f>("7640016634")</f>
        <v>7640016634</v>
      </c>
      <c r="D2137" s="340">
        <v>149</v>
      </c>
      <c r="E2137" s="343"/>
    </row>
    <row r="2138" spans="1:5" s="335" customFormat="1" ht="24">
      <c r="A2138" s="342" t="s">
        <v>1284</v>
      </c>
      <c r="B2138" s="342" t="s">
        <v>1285</v>
      </c>
      <c r="C2138" s="342" t="str">
        <f>("7640016635")</f>
        <v>7640016635</v>
      </c>
      <c r="D2138" s="340">
        <v>125</v>
      </c>
      <c r="E2138" s="343"/>
    </row>
    <row r="2139" spans="1:5" s="335" customFormat="1" ht="24">
      <c r="A2139" s="342" t="s">
        <v>1286</v>
      </c>
      <c r="B2139" s="342" t="s">
        <v>1287</v>
      </c>
      <c r="C2139" s="342" t="str">
        <f>("7640016636")</f>
        <v>7640016636</v>
      </c>
      <c r="D2139" s="340">
        <v>109</v>
      </c>
      <c r="E2139" s="343"/>
    </row>
    <row r="2140" spans="1:5" s="335" customFormat="1" ht="24">
      <c r="A2140" s="342" t="s">
        <v>1288</v>
      </c>
      <c r="B2140" s="342" t="s">
        <v>1289</v>
      </c>
      <c r="C2140" s="342" t="str">
        <f>("7640016637")</f>
        <v>7640016637</v>
      </c>
      <c r="D2140" s="340">
        <v>99</v>
      </c>
      <c r="E2140" s="343"/>
    </row>
    <row r="2141" spans="1:5" s="335" customFormat="1" ht="24">
      <c r="A2141" s="342" t="s">
        <v>1290</v>
      </c>
      <c r="B2141" s="342" t="s">
        <v>1291</v>
      </c>
      <c r="C2141" s="342" t="str">
        <f>("7640016638")</f>
        <v>7640016638</v>
      </c>
      <c r="D2141" s="340">
        <v>89</v>
      </c>
      <c r="E2141" s="343"/>
    </row>
    <row r="2142" spans="1:5" s="335" customFormat="1" ht="24">
      <c r="A2142" s="342" t="s">
        <v>1292</v>
      </c>
      <c r="B2142" s="342" t="s">
        <v>1293</v>
      </c>
      <c r="C2142" s="342" t="str">
        <f>("7640016639")</f>
        <v>7640016639</v>
      </c>
      <c r="D2142" s="340">
        <v>79</v>
      </c>
      <c r="E2142" s="343"/>
    </row>
    <row r="2143" spans="1:5" s="335" customFormat="1" ht="24">
      <c r="A2143" s="342" t="s">
        <v>1294</v>
      </c>
      <c r="B2143" s="342" t="s">
        <v>1295</v>
      </c>
      <c r="C2143" s="342" t="str">
        <f>("7640016640")</f>
        <v>7640016640</v>
      </c>
      <c r="D2143" s="340">
        <v>75</v>
      </c>
      <c r="E2143" s="343"/>
    </row>
    <row r="2144" spans="1:5" s="335" customFormat="1" ht="24">
      <c r="A2144" s="342" t="s">
        <v>1296</v>
      </c>
      <c r="B2144" s="342" t="s">
        <v>1297</v>
      </c>
      <c r="C2144" s="342" t="str">
        <f>("7640016641")</f>
        <v>7640016641</v>
      </c>
      <c r="D2144" s="340">
        <v>65</v>
      </c>
      <c r="E2144" s="343"/>
    </row>
    <row r="2145" spans="1:5" s="335" customFormat="1" ht="24">
      <c r="A2145" s="342" t="s">
        <v>1298</v>
      </c>
      <c r="B2145" s="342" t="s">
        <v>1299</v>
      </c>
      <c r="C2145" s="342" t="str">
        <f>("7640016642")</f>
        <v>7640016642</v>
      </c>
      <c r="D2145" s="340">
        <v>59</v>
      </c>
      <c r="E2145" s="343"/>
    </row>
    <row r="2146" spans="1:5" s="335" customFormat="1" ht="24">
      <c r="A2146" s="342" t="s">
        <v>1300</v>
      </c>
      <c r="B2146" s="342" t="s">
        <v>1301</v>
      </c>
      <c r="C2146" s="342" t="str">
        <f>("7640016643")</f>
        <v>7640016643</v>
      </c>
      <c r="D2146" s="340">
        <v>55</v>
      </c>
      <c r="E2146" s="343"/>
    </row>
    <row r="2147" spans="1:5" s="335" customFormat="1" ht="12.75">
      <c r="A2147" s="403" t="s">
        <v>1302</v>
      </c>
      <c r="B2147" s="403"/>
      <c r="C2147" s="403"/>
      <c r="D2147" s="403"/>
      <c r="E2147" s="343"/>
    </row>
    <row r="2148" spans="1:5" s="335" customFormat="1" ht="48">
      <c r="A2148" s="342" t="s">
        <v>1303</v>
      </c>
      <c r="B2148" s="342" t="s">
        <v>1304</v>
      </c>
      <c r="C2148" s="342" t="str">
        <f>("7640016644")</f>
        <v>7640016644</v>
      </c>
      <c r="D2148" s="340">
        <v>5</v>
      </c>
      <c r="E2148" s="343"/>
    </row>
    <row r="2149" spans="1:5" s="335" customFormat="1" ht="12.75">
      <c r="A2149" s="403" t="s">
        <v>1305</v>
      </c>
      <c r="B2149" s="403"/>
      <c r="C2149" s="403"/>
      <c r="D2149" s="403"/>
      <c r="E2149" s="343"/>
    </row>
    <row r="2150" spans="1:5" s="335" customFormat="1" ht="24">
      <c r="A2150" s="342" t="s">
        <v>1306</v>
      </c>
      <c r="B2150" s="342" t="s">
        <v>1307</v>
      </c>
      <c r="C2150" s="342" t="str">
        <f>("7640016645")</f>
        <v>7640016645</v>
      </c>
      <c r="D2150" s="340">
        <v>4995</v>
      </c>
      <c r="E2150" s="343"/>
    </row>
    <row r="2151" spans="1:5" s="335" customFormat="1" ht="24">
      <c r="A2151" s="342" t="s">
        <v>1308</v>
      </c>
      <c r="B2151" s="342" t="s">
        <v>1309</v>
      </c>
      <c r="C2151" s="342" t="str">
        <f>("7640016646")</f>
        <v>7640016646</v>
      </c>
      <c r="D2151" s="340">
        <v>999</v>
      </c>
      <c r="E2151" s="343"/>
    </row>
    <row r="2152" spans="1:5" s="335" customFormat="1" ht="24">
      <c r="A2152" s="342" t="s">
        <v>1310</v>
      </c>
      <c r="B2152" s="342" t="s">
        <v>1311</v>
      </c>
      <c r="C2152" s="342" t="str">
        <f>("7640016647")</f>
        <v>7640016647</v>
      </c>
      <c r="D2152" s="340">
        <v>2495</v>
      </c>
      <c r="E2152" s="343"/>
    </row>
    <row r="2153" spans="1:5" s="335" customFormat="1" ht="12.75">
      <c r="A2153" s="403" t="s">
        <v>1312</v>
      </c>
      <c r="B2153" s="403"/>
      <c r="C2153" s="403"/>
      <c r="D2153" s="403"/>
      <c r="E2153" s="343"/>
    </row>
    <row r="2154" spans="1:5" s="335" customFormat="1" ht="36">
      <c r="A2154" s="342" t="s">
        <v>1313</v>
      </c>
      <c r="B2154" s="342" t="s">
        <v>1314</v>
      </c>
      <c r="C2154" s="342" t="str">
        <f>("7640016648")</f>
        <v>7640016648</v>
      </c>
      <c r="D2154" s="340">
        <v>9995</v>
      </c>
      <c r="E2154" s="343"/>
    </row>
    <row r="2155" spans="1:5" s="335" customFormat="1" ht="24">
      <c r="A2155" s="342" t="s">
        <v>1315</v>
      </c>
      <c r="B2155" s="342" t="s">
        <v>1316</v>
      </c>
      <c r="C2155" s="342" t="str">
        <f>("7640016649")</f>
        <v>7640016649</v>
      </c>
      <c r="D2155" s="340">
        <v>1999</v>
      </c>
      <c r="E2155" s="343"/>
    </row>
    <row r="2156" spans="1:5" s="335" customFormat="1" ht="24">
      <c r="A2156" s="342" t="s">
        <v>1317</v>
      </c>
      <c r="B2156" s="342" t="s">
        <v>1318</v>
      </c>
      <c r="C2156" s="342" t="str">
        <f>("7640016650")</f>
        <v>7640016650</v>
      </c>
      <c r="D2156" s="340">
        <v>4995</v>
      </c>
      <c r="E2156" s="343"/>
    </row>
    <row r="2157" spans="1:5" s="335" customFormat="1" ht="12.75">
      <c r="A2157" s="344"/>
      <c r="B2157" s="343"/>
      <c r="C2157" s="343"/>
      <c r="D2157" s="395"/>
      <c r="E2157" s="343"/>
    </row>
    <row r="2158" spans="1:5" s="335" customFormat="1" ht="15" customHeight="1">
      <c r="A2158" s="345"/>
      <c r="B2158" s="404" t="s">
        <v>1319</v>
      </c>
      <c r="C2158" s="404"/>
      <c r="D2158" s="404"/>
      <c r="E2158" s="404"/>
    </row>
    <row r="2159" spans="1:5" s="335" customFormat="1" ht="25.5">
      <c r="A2159" s="346" t="s">
        <v>789</v>
      </c>
      <c r="B2159" s="346" t="s">
        <v>409</v>
      </c>
      <c r="C2159" s="346" t="s">
        <v>26</v>
      </c>
      <c r="D2159" s="337" t="s">
        <v>6425</v>
      </c>
      <c r="E2159" s="343"/>
    </row>
    <row r="2160" spans="1:5" s="335" customFormat="1" ht="26.25">
      <c r="A2160" s="342" t="s">
        <v>1320</v>
      </c>
      <c r="B2160" s="342" t="s">
        <v>1320</v>
      </c>
      <c r="C2160" s="342" t="s">
        <v>6114</v>
      </c>
      <c r="D2160" s="340">
        <v>0</v>
      </c>
      <c r="E2160" s="343"/>
    </row>
    <row r="2161" spans="1:5" s="335" customFormat="1" ht="12.75" customHeight="1">
      <c r="A2161" s="411" t="s">
        <v>1321</v>
      </c>
      <c r="B2161" s="411"/>
      <c r="C2161" s="411"/>
      <c r="D2161" s="411"/>
      <c r="E2161" s="343"/>
    </row>
    <row r="2162" spans="1:5" s="335" customFormat="1" ht="24">
      <c r="A2162" s="342" t="s">
        <v>1322</v>
      </c>
      <c r="B2162" s="342" t="s">
        <v>1323</v>
      </c>
      <c r="C2162" s="342" t="str">
        <f>("7640018493")</f>
        <v>7640018493</v>
      </c>
      <c r="D2162" s="340">
        <v>138</v>
      </c>
      <c r="E2162" s="343"/>
    </row>
    <row r="2163" spans="1:5" s="335" customFormat="1" ht="24">
      <c r="A2163" s="342" t="s">
        <v>1324</v>
      </c>
      <c r="B2163" s="342" t="s">
        <v>1325</v>
      </c>
      <c r="C2163" s="342" t="str">
        <f>("7640018494")</f>
        <v>7640018494</v>
      </c>
      <c r="D2163" s="340">
        <v>118</v>
      </c>
      <c r="E2163" s="343"/>
    </row>
    <row r="2164" spans="1:5" s="335" customFormat="1" ht="24">
      <c r="A2164" s="342" t="s">
        <v>1326</v>
      </c>
      <c r="B2164" s="342" t="s">
        <v>1327</v>
      </c>
      <c r="C2164" s="342" t="str">
        <f>("7640018495")</f>
        <v>7640018495</v>
      </c>
      <c r="D2164" s="340">
        <v>98</v>
      </c>
      <c r="E2164" s="343"/>
    </row>
    <row r="2165" spans="1:5" s="335" customFormat="1" ht="24">
      <c r="A2165" s="342" t="s">
        <v>1328</v>
      </c>
      <c r="B2165" s="342" t="s">
        <v>1329</v>
      </c>
      <c r="C2165" s="342" t="str">
        <f>("7640018496")</f>
        <v>7640018496</v>
      </c>
      <c r="D2165" s="340">
        <v>92</v>
      </c>
      <c r="E2165" s="343"/>
    </row>
    <row r="2166" spans="1:5" s="335" customFormat="1" ht="24">
      <c r="A2166" s="342" t="s">
        <v>1330</v>
      </c>
      <c r="B2166" s="342" t="s">
        <v>1331</v>
      </c>
      <c r="C2166" s="342" t="str">
        <f>("7640018497")</f>
        <v>7640018497</v>
      </c>
      <c r="D2166" s="340">
        <v>84</v>
      </c>
      <c r="E2166" s="343"/>
    </row>
    <row r="2167" spans="1:5" s="335" customFormat="1" ht="24">
      <c r="A2167" s="342" t="s">
        <v>1332</v>
      </c>
      <c r="B2167" s="342" t="s">
        <v>1333</v>
      </c>
      <c r="C2167" s="342" t="str">
        <f>("7640018498")</f>
        <v>7640018498</v>
      </c>
      <c r="D2167" s="340">
        <v>78</v>
      </c>
      <c r="E2167" s="343"/>
    </row>
    <row r="2168" spans="1:5" s="335" customFormat="1" ht="24">
      <c r="A2168" s="342" t="s">
        <v>1334</v>
      </c>
      <c r="B2168" s="342" t="s">
        <v>1335</v>
      </c>
      <c r="C2168" s="342" t="str">
        <f>("7640018499")</f>
        <v>7640018499</v>
      </c>
      <c r="D2168" s="340">
        <v>70</v>
      </c>
      <c r="E2168" s="343"/>
    </row>
    <row r="2169" spans="1:5" s="335" customFormat="1" ht="24">
      <c r="A2169" s="342" t="s">
        <v>1336</v>
      </c>
      <c r="B2169" s="342" t="s">
        <v>1337</v>
      </c>
      <c r="C2169" s="342" t="str">
        <f>("7640018500")</f>
        <v>7640018500</v>
      </c>
      <c r="D2169" s="340">
        <v>64</v>
      </c>
      <c r="E2169" s="343"/>
    </row>
    <row r="2170" spans="1:5" s="335" customFormat="1" ht="24">
      <c r="A2170" s="342" t="s">
        <v>1338</v>
      </c>
      <c r="B2170" s="342" t="s">
        <v>1339</v>
      </c>
      <c r="C2170" s="342" t="str">
        <f>("7640018501")</f>
        <v>7640018501</v>
      </c>
      <c r="D2170" s="340">
        <v>56</v>
      </c>
      <c r="E2170" s="343"/>
    </row>
    <row r="2171" spans="1:5" s="335" customFormat="1" ht="24">
      <c r="A2171" s="342" t="s">
        <v>1340</v>
      </c>
      <c r="B2171" s="342" t="s">
        <v>1341</v>
      </c>
      <c r="C2171" s="342" t="str">
        <f>("7640018502")</f>
        <v>7640018502</v>
      </c>
      <c r="D2171" s="340">
        <v>50</v>
      </c>
      <c r="E2171" s="343"/>
    </row>
    <row r="2172" spans="1:5" s="335" customFormat="1" ht="12.75">
      <c r="A2172" s="403" t="s">
        <v>1342</v>
      </c>
      <c r="B2172" s="403"/>
      <c r="C2172" s="403"/>
      <c r="D2172" s="403"/>
      <c r="E2172" s="343"/>
    </row>
    <row r="2173" spans="1:5" s="335" customFormat="1" ht="24">
      <c r="A2173" s="342" t="s">
        <v>1343</v>
      </c>
      <c r="B2173" s="342" t="s">
        <v>1344</v>
      </c>
      <c r="C2173" s="342" t="str">
        <f>("7640018503")</f>
        <v>7640018503</v>
      </c>
      <c r="D2173" s="340">
        <v>89</v>
      </c>
      <c r="E2173" s="343"/>
    </row>
    <row r="2174" spans="1:5" s="335" customFormat="1" ht="24">
      <c r="A2174" s="342" t="s">
        <v>1345</v>
      </c>
      <c r="B2174" s="342" t="s">
        <v>1346</v>
      </c>
      <c r="C2174" s="342" t="str">
        <f>("7640018504")</f>
        <v>7640018504</v>
      </c>
      <c r="D2174" s="340">
        <v>79</v>
      </c>
      <c r="E2174" s="343"/>
    </row>
    <row r="2175" spans="1:5" s="335" customFormat="1" ht="24">
      <c r="A2175" s="342" t="s">
        <v>1347</v>
      </c>
      <c r="B2175" s="342" t="s">
        <v>1348</v>
      </c>
      <c r="C2175" s="342" t="str">
        <f>("7640018505")</f>
        <v>7640018505</v>
      </c>
      <c r="D2175" s="340">
        <v>69</v>
      </c>
      <c r="E2175" s="343"/>
    </row>
    <row r="2176" spans="1:5" s="335" customFormat="1" ht="24">
      <c r="A2176" s="342" t="s">
        <v>1349</v>
      </c>
      <c r="B2176" s="342" t="s">
        <v>1350</v>
      </c>
      <c r="C2176" s="342" t="str">
        <f>("7640018506")</f>
        <v>7640018506</v>
      </c>
      <c r="D2176" s="340">
        <v>65</v>
      </c>
      <c r="E2176" s="343"/>
    </row>
    <row r="2177" spans="1:5" s="335" customFormat="1" ht="24">
      <c r="A2177" s="342" t="s">
        <v>1351</v>
      </c>
      <c r="B2177" s="342" t="s">
        <v>1352</v>
      </c>
      <c r="C2177" s="342" t="str">
        <f>("7640018507")</f>
        <v>7640018507</v>
      </c>
      <c r="D2177" s="340">
        <v>59</v>
      </c>
      <c r="E2177" s="343"/>
    </row>
    <row r="2178" spans="1:5" s="335" customFormat="1" ht="24">
      <c r="A2178" s="342" t="s">
        <v>1353</v>
      </c>
      <c r="B2178" s="342" t="s">
        <v>1354</v>
      </c>
      <c r="C2178" s="342" t="str">
        <f>("7640018508")</f>
        <v>7640018508</v>
      </c>
      <c r="D2178" s="340">
        <v>55</v>
      </c>
      <c r="E2178" s="343"/>
    </row>
    <row r="2179" spans="1:5" s="335" customFormat="1" ht="24">
      <c r="A2179" s="342" t="s">
        <v>1355</v>
      </c>
      <c r="B2179" s="342" t="s">
        <v>1356</v>
      </c>
      <c r="C2179" s="342" t="str">
        <f>("7640018509")</f>
        <v>7640018509</v>
      </c>
      <c r="D2179" s="340">
        <v>49</v>
      </c>
      <c r="E2179" s="343"/>
    </row>
    <row r="2180" spans="1:5" s="335" customFormat="1" ht="24">
      <c r="A2180" s="342" t="s">
        <v>1357</v>
      </c>
      <c r="B2180" s="342" t="s">
        <v>1358</v>
      </c>
      <c r="C2180" s="342" t="str">
        <f>("7640018510")</f>
        <v>7640018510</v>
      </c>
      <c r="D2180" s="340">
        <v>45</v>
      </c>
      <c r="E2180" s="343"/>
    </row>
    <row r="2181" spans="1:5" s="335" customFormat="1" ht="24">
      <c r="A2181" s="342" t="s">
        <v>1359</v>
      </c>
      <c r="B2181" s="342" t="s">
        <v>1360</v>
      </c>
      <c r="C2181" s="342" t="str">
        <f>("7640018511")</f>
        <v>7640018511</v>
      </c>
      <c r="D2181" s="340">
        <v>39</v>
      </c>
      <c r="E2181" s="343"/>
    </row>
    <row r="2182" spans="1:5" s="335" customFormat="1" ht="24">
      <c r="A2182" s="342" t="s">
        <v>1361</v>
      </c>
      <c r="B2182" s="342" t="s">
        <v>1362</v>
      </c>
      <c r="C2182" s="342" t="str">
        <f>("7640018512")</f>
        <v>7640018512</v>
      </c>
      <c r="D2182" s="340">
        <v>35</v>
      </c>
      <c r="E2182" s="343"/>
    </row>
    <row r="2183" spans="1:5" s="335" customFormat="1" ht="12.75">
      <c r="A2183" s="403" t="s">
        <v>1133</v>
      </c>
      <c r="B2183" s="403"/>
      <c r="C2183" s="403"/>
      <c r="D2183" s="403"/>
      <c r="E2183" s="343"/>
    </row>
    <row r="2184" spans="1:5" s="335" customFormat="1" ht="24">
      <c r="A2184" s="342" t="s">
        <v>1154</v>
      </c>
      <c r="B2184" s="342" t="s">
        <v>1154</v>
      </c>
      <c r="C2184" s="342" t="str">
        <f>("89364500PROMAINT")</f>
        <v>89364500PROMAINT</v>
      </c>
      <c r="D2184" s="340">
        <v>1</v>
      </c>
      <c r="E2184" s="343"/>
    </row>
    <row r="2185" spans="1:5" s="335" customFormat="1" ht="12.75">
      <c r="A2185" s="403" t="s">
        <v>1363</v>
      </c>
      <c r="B2185" s="403"/>
      <c r="C2185" s="403"/>
      <c r="D2185" s="403"/>
      <c r="E2185" s="343"/>
    </row>
    <row r="2186" spans="1:5" s="335" customFormat="1" ht="24">
      <c r="A2186" s="342" t="s">
        <v>1364</v>
      </c>
      <c r="B2186" s="342" t="s">
        <v>1365</v>
      </c>
      <c r="C2186" s="342" t="str">
        <f>("7640018513")</f>
        <v>7640018513</v>
      </c>
      <c r="D2186" s="340">
        <v>49</v>
      </c>
      <c r="E2186" s="343"/>
    </row>
    <row r="2187" spans="1:5" s="335" customFormat="1" ht="24">
      <c r="A2187" s="342" t="s">
        <v>1366</v>
      </c>
      <c r="B2187" s="342" t="s">
        <v>1367</v>
      </c>
      <c r="C2187" s="342" t="str">
        <f>("7640018514")</f>
        <v>7640018514</v>
      </c>
      <c r="D2187" s="340">
        <v>39</v>
      </c>
      <c r="E2187" s="343"/>
    </row>
    <row r="2188" spans="1:5" s="335" customFormat="1" ht="24">
      <c r="A2188" s="342" t="s">
        <v>1368</v>
      </c>
      <c r="B2188" s="342" t="s">
        <v>1369</v>
      </c>
      <c r="C2188" s="342" t="str">
        <f>("7640018515")</f>
        <v>7640018515</v>
      </c>
      <c r="D2188" s="340">
        <v>29</v>
      </c>
      <c r="E2188" s="343"/>
    </row>
    <row r="2189" spans="1:5" s="335" customFormat="1" ht="24">
      <c r="A2189" s="342" t="s">
        <v>1370</v>
      </c>
      <c r="B2189" s="342" t="s">
        <v>1371</v>
      </c>
      <c r="C2189" s="342" t="str">
        <f>("7640018516")</f>
        <v>7640018516</v>
      </c>
      <c r="D2189" s="340">
        <v>27</v>
      </c>
      <c r="E2189" s="343"/>
    </row>
    <row r="2190" spans="1:5" s="335" customFormat="1" ht="24">
      <c r="A2190" s="342" t="s">
        <v>1372</v>
      </c>
      <c r="B2190" s="342" t="s">
        <v>1373</v>
      </c>
      <c r="C2190" s="342" t="str">
        <f>("7640018517")</f>
        <v>7640018517</v>
      </c>
      <c r="D2190" s="340">
        <v>25</v>
      </c>
      <c r="E2190" s="343"/>
    </row>
    <row r="2191" spans="1:5" s="335" customFormat="1" ht="24">
      <c r="A2191" s="342" t="s">
        <v>1374</v>
      </c>
      <c r="B2191" s="342" t="s">
        <v>1375</v>
      </c>
      <c r="C2191" s="342" t="str">
        <f>("7640018518")</f>
        <v>7640018518</v>
      </c>
      <c r="D2191" s="340">
        <v>23</v>
      </c>
      <c r="E2191" s="343"/>
    </row>
    <row r="2192" spans="1:5" s="335" customFormat="1" ht="24">
      <c r="A2192" s="342" t="s">
        <v>1376</v>
      </c>
      <c r="B2192" s="342" t="s">
        <v>1377</v>
      </c>
      <c r="C2192" s="342" t="str">
        <f>("7640018519")</f>
        <v>7640018519</v>
      </c>
      <c r="D2192" s="340">
        <v>21</v>
      </c>
      <c r="E2192" s="343"/>
    </row>
    <row r="2193" spans="1:5" s="335" customFormat="1" ht="24">
      <c r="A2193" s="342" t="s">
        <v>1378</v>
      </c>
      <c r="B2193" s="342" t="s">
        <v>1379</v>
      </c>
      <c r="C2193" s="342" t="str">
        <f>("7640018520")</f>
        <v>7640018520</v>
      </c>
      <c r="D2193" s="340">
        <v>19</v>
      </c>
      <c r="E2193" s="343"/>
    </row>
    <row r="2194" spans="1:5" s="335" customFormat="1" ht="24">
      <c r="A2194" s="342" t="s">
        <v>1380</v>
      </c>
      <c r="B2194" s="342" t="s">
        <v>1381</v>
      </c>
      <c r="C2194" s="342" t="str">
        <f>("7640018521")</f>
        <v>7640018521</v>
      </c>
      <c r="D2194" s="340">
        <v>17</v>
      </c>
      <c r="E2194" s="343"/>
    </row>
    <row r="2195" spans="1:5" s="335" customFormat="1" ht="24">
      <c r="A2195" s="342" t="s">
        <v>1382</v>
      </c>
      <c r="B2195" s="342" t="s">
        <v>1383</v>
      </c>
      <c r="C2195" s="342" t="str">
        <f>("7640018522")</f>
        <v>7640018522</v>
      </c>
      <c r="D2195" s="340">
        <v>15</v>
      </c>
      <c r="E2195" s="343"/>
    </row>
    <row r="2196" spans="1:5" s="335" customFormat="1" ht="12.75">
      <c r="A2196" s="403" t="s">
        <v>1384</v>
      </c>
      <c r="B2196" s="403"/>
      <c r="C2196" s="403"/>
      <c r="D2196" s="403"/>
      <c r="E2196" s="343"/>
    </row>
    <row r="2197" spans="1:5" s="335" customFormat="1" ht="24">
      <c r="A2197" s="342" t="s">
        <v>1385</v>
      </c>
      <c r="B2197" s="342" t="s">
        <v>1386</v>
      </c>
      <c r="C2197" s="342" t="str">
        <f>("7640018523")</f>
        <v>7640018523</v>
      </c>
      <c r="D2197" s="340">
        <v>178</v>
      </c>
      <c r="E2197" s="343"/>
    </row>
    <row r="2198" spans="1:5" s="335" customFormat="1" ht="24">
      <c r="A2198" s="342" t="s">
        <v>1387</v>
      </c>
      <c r="B2198" s="342" t="s">
        <v>1388</v>
      </c>
      <c r="C2198" s="342" t="str">
        <f>("7640018524")</f>
        <v>7640018524</v>
      </c>
      <c r="D2198" s="340">
        <v>148</v>
      </c>
      <c r="E2198" s="343"/>
    </row>
    <row r="2199" spans="1:5" s="335" customFormat="1" ht="24">
      <c r="A2199" s="342" t="s">
        <v>1389</v>
      </c>
      <c r="B2199" s="342" t="s">
        <v>1390</v>
      </c>
      <c r="C2199" s="342" t="str">
        <f>("7640018525")</f>
        <v>7640018525</v>
      </c>
      <c r="D2199" s="340">
        <v>122</v>
      </c>
      <c r="E2199" s="343"/>
    </row>
    <row r="2200" spans="1:5" s="335" customFormat="1" ht="24">
      <c r="A2200" s="342" t="s">
        <v>1391</v>
      </c>
      <c r="B2200" s="342" t="s">
        <v>1392</v>
      </c>
      <c r="C2200" s="342" t="str">
        <f>("7640018526")</f>
        <v>7640018526</v>
      </c>
      <c r="D2200" s="340">
        <v>110</v>
      </c>
      <c r="E2200" s="343"/>
    </row>
    <row r="2201" spans="1:5" s="335" customFormat="1" ht="24">
      <c r="A2201" s="342" t="s">
        <v>1393</v>
      </c>
      <c r="B2201" s="342" t="s">
        <v>1394</v>
      </c>
      <c r="C2201" s="342" t="str">
        <f>("7640018527")</f>
        <v>7640018527</v>
      </c>
      <c r="D2201" s="340">
        <v>104</v>
      </c>
      <c r="E2201" s="343"/>
    </row>
    <row r="2202" spans="1:5" s="335" customFormat="1" ht="24">
      <c r="A2202" s="342" t="s">
        <v>1395</v>
      </c>
      <c r="B2202" s="342" t="s">
        <v>1396</v>
      </c>
      <c r="C2202" s="342" t="str">
        <f>("7640018528")</f>
        <v>7640018528</v>
      </c>
      <c r="D2202" s="340">
        <v>92</v>
      </c>
      <c r="E2202" s="343"/>
    </row>
    <row r="2203" spans="1:5" s="335" customFormat="1" ht="24">
      <c r="A2203" s="342" t="s">
        <v>1397</v>
      </c>
      <c r="B2203" s="342" t="s">
        <v>1398</v>
      </c>
      <c r="C2203" s="342" t="str">
        <f>("7640018529")</f>
        <v>7640018529</v>
      </c>
      <c r="D2203" s="340">
        <v>84</v>
      </c>
      <c r="E2203" s="343"/>
    </row>
    <row r="2204" spans="1:5" s="335" customFormat="1" ht="24">
      <c r="A2204" s="342" t="s">
        <v>1399</v>
      </c>
      <c r="B2204" s="342" t="s">
        <v>1400</v>
      </c>
      <c r="C2204" s="342" t="str">
        <f>("7640018530")</f>
        <v>7640018530</v>
      </c>
      <c r="D2204" s="340">
        <v>78</v>
      </c>
      <c r="E2204" s="343"/>
    </row>
    <row r="2205" spans="1:5" s="335" customFormat="1" ht="24">
      <c r="A2205" s="342" t="s">
        <v>1401</v>
      </c>
      <c r="B2205" s="342" t="s">
        <v>1402</v>
      </c>
      <c r="C2205" s="342" t="str">
        <f>("7640018531")</f>
        <v>7640018531</v>
      </c>
      <c r="D2205" s="340">
        <v>70</v>
      </c>
      <c r="E2205" s="343"/>
    </row>
    <row r="2206" spans="1:5" s="335" customFormat="1" ht="24">
      <c r="A2206" s="342" t="s">
        <v>1403</v>
      </c>
      <c r="B2206" s="342" t="s">
        <v>1404</v>
      </c>
      <c r="C2206" s="342" t="str">
        <f>("7640018532")</f>
        <v>7640018532</v>
      </c>
      <c r="D2206" s="340">
        <v>64</v>
      </c>
      <c r="E2206" s="343"/>
    </row>
    <row r="2207" spans="1:5" s="335" customFormat="1" ht="12.75">
      <c r="A2207" s="403" t="s">
        <v>1405</v>
      </c>
      <c r="B2207" s="403"/>
      <c r="C2207" s="403"/>
      <c r="D2207" s="403"/>
      <c r="E2207" s="343"/>
    </row>
    <row r="2208" spans="1:5" s="335" customFormat="1" ht="24">
      <c r="A2208" s="342" t="s">
        <v>1406</v>
      </c>
      <c r="B2208" s="342" t="s">
        <v>1407</v>
      </c>
      <c r="C2208" s="342" t="str">
        <f>("7640018533")</f>
        <v>7640018533</v>
      </c>
      <c r="D2208" s="340">
        <v>119</v>
      </c>
      <c r="E2208" s="343"/>
    </row>
    <row r="2209" spans="1:5" s="335" customFormat="1" ht="24">
      <c r="A2209" s="342" t="s">
        <v>1408</v>
      </c>
      <c r="B2209" s="342" t="s">
        <v>1409</v>
      </c>
      <c r="C2209" s="342" t="str">
        <f>("7640018534")</f>
        <v>7640018534</v>
      </c>
      <c r="D2209" s="340">
        <v>99</v>
      </c>
      <c r="E2209" s="343"/>
    </row>
    <row r="2210" spans="1:5" s="335" customFormat="1" ht="24">
      <c r="A2210" s="342" t="s">
        <v>1410</v>
      </c>
      <c r="B2210" s="342" t="s">
        <v>1411</v>
      </c>
      <c r="C2210" s="342" t="str">
        <f>("7640018535")</f>
        <v>7640018535</v>
      </c>
      <c r="D2210" s="340">
        <v>89</v>
      </c>
      <c r="E2210" s="343"/>
    </row>
    <row r="2211" spans="1:5" s="335" customFormat="1" ht="24">
      <c r="A2211" s="342" t="s">
        <v>1412</v>
      </c>
      <c r="B2211" s="342" t="s">
        <v>1413</v>
      </c>
      <c r="C2211" s="342" t="str">
        <f>("7640018536")</f>
        <v>7640018536</v>
      </c>
      <c r="D2211" s="340">
        <v>79</v>
      </c>
      <c r="E2211" s="343"/>
    </row>
    <row r="2212" spans="1:5" s="335" customFormat="1" ht="24">
      <c r="A2212" s="342" t="s">
        <v>1414</v>
      </c>
      <c r="B2212" s="342" t="s">
        <v>1415</v>
      </c>
      <c r="C2212" s="342" t="str">
        <f>("7640018537")</f>
        <v>7640018537</v>
      </c>
      <c r="D2212" s="340">
        <v>75</v>
      </c>
      <c r="E2212" s="343"/>
    </row>
    <row r="2213" spans="1:5" s="335" customFormat="1" ht="24">
      <c r="A2213" s="342" t="s">
        <v>1416</v>
      </c>
      <c r="B2213" s="342" t="s">
        <v>1417</v>
      </c>
      <c r="C2213" s="342" t="str">
        <f>("7640018538")</f>
        <v>7640018538</v>
      </c>
      <c r="D2213" s="340">
        <v>65</v>
      </c>
      <c r="E2213" s="343"/>
    </row>
    <row r="2214" spans="1:5" s="335" customFormat="1" ht="24">
      <c r="A2214" s="342" t="s">
        <v>1418</v>
      </c>
      <c r="B2214" s="342" t="s">
        <v>1419</v>
      </c>
      <c r="C2214" s="342" t="str">
        <f>("7640018539")</f>
        <v>7640018539</v>
      </c>
      <c r="D2214" s="340">
        <v>59</v>
      </c>
      <c r="E2214" s="343"/>
    </row>
    <row r="2215" spans="1:5" s="335" customFormat="1" ht="24">
      <c r="A2215" s="342" t="s">
        <v>1420</v>
      </c>
      <c r="B2215" s="342" t="s">
        <v>1421</v>
      </c>
      <c r="C2215" s="342" t="str">
        <f>("7640018540")</f>
        <v>7640018540</v>
      </c>
      <c r="D2215" s="340">
        <v>55</v>
      </c>
      <c r="E2215" s="343"/>
    </row>
    <row r="2216" spans="1:5" s="335" customFormat="1" ht="24">
      <c r="A2216" s="342" t="s">
        <v>1422</v>
      </c>
      <c r="B2216" s="342" t="s">
        <v>1423</v>
      </c>
      <c r="C2216" s="342" t="str">
        <f>("7640018541")</f>
        <v>7640018541</v>
      </c>
      <c r="D2216" s="340">
        <v>49</v>
      </c>
      <c r="E2216" s="343"/>
    </row>
    <row r="2217" spans="1:5" s="335" customFormat="1" ht="24">
      <c r="A2217" s="342" t="s">
        <v>1424</v>
      </c>
      <c r="B2217" s="342" t="s">
        <v>1425</v>
      </c>
      <c r="C2217" s="342" t="str">
        <f>("7640018542")</f>
        <v>7640018542</v>
      </c>
      <c r="D2217" s="340">
        <v>45</v>
      </c>
      <c r="E2217" s="343"/>
    </row>
    <row r="2218" spans="1:5" s="335" customFormat="1" ht="12.75">
      <c r="A2218" s="403" t="s">
        <v>1426</v>
      </c>
      <c r="B2218" s="403"/>
      <c r="C2218" s="403"/>
      <c r="D2218" s="403"/>
      <c r="E2218" s="343"/>
    </row>
    <row r="2219" spans="1:5" s="335" customFormat="1" ht="24">
      <c r="A2219" s="342" t="s">
        <v>1427</v>
      </c>
      <c r="B2219" s="342" t="s">
        <v>1428</v>
      </c>
      <c r="C2219" s="342" t="str">
        <f>("7640018543")</f>
        <v>7640018543</v>
      </c>
      <c r="D2219" s="340">
        <v>59</v>
      </c>
      <c r="E2219" s="343"/>
    </row>
    <row r="2220" spans="1:5" s="335" customFormat="1" ht="24">
      <c r="A2220" s="342" t="s">
        <v>1429</v>
      </c>
      <c r="B2220" s="342" t="s">
        <v>1430</v>
      </c>
      <c r="C2220" s="342" t="str">
        <f>("7640018544")</f>
        <v>7640018544</v>
      </c>
      <c r="D2220" s="340">
        <v>49</v>
      </c>
      <c r="E2220" s="343"/>
    </row>
    <row r="2221" spans="1:5" s="335" customFormat="1" ht="24">
      <c r="A2221" s="342" t="s">
        <v>1431</v>
      </c>
      <c r="B2221" s="342" t="s">
        <v>1432</v>
      </c>
      <c r="C2221" s="342" t="str">
        <f>("7640018545")</f>
        <v>7640018545</v>
      </c>
      <c r="D2221" s="340">
        <v>33</v>
      </c>
      <c r="E2221" s="343"/>
    </row>
    <row r="2222" spans="1:5" s="335" customFormat="1" ht="24">
      <c r="A2222" s="342" t="s">
        <v>1433</v>
      </c>
      <c r="B2222" s="342" t="s">
        <v>1434</v>
      </c>
      <c r="C2222" s="342" t="str">
        <f>("7640018546")</f>
        <v>7640018546</v>
      </c>
      <c r="D2222" s="340">
        <v>31</v>
      </c>
      <c r="E2222" s="343"/>
    </row>
    <row r="2223" spans="1:5" s="335" customFormat="1" ht="24">
      <c r="A2223" s="342" t="s">
        <v>1435</v>
      </c>
      <c r="B2223" s="342" t="s">
        <v>1436</v>
      </c>
      <c r="C2223" s="342" t="str">
        <f>("7640018547")</f>
        <v>7640018547</v>
      </c>
      <c r="D2223" s="340">
        <v>29</v>
      </c>
      <c r="E2223" s="343"/>
    </row>
    <row r="2224" spans="1:5" s="335" customFormat="1" ht="24">
      <c r="A2224" s="342" t="s">
        <v>1437</v>
      </c>
      <c r="B2224" s="342" t="s">
        <v>1438</v>
      </c>
      <c r="C2224" s="342" t="str">
        <f>("7640018548")</f>
        <v>7640018548</v>
      </c>
      <c r="D2224" s="340">
        <v>27</v>
      </c>
      <c r="E2224" s="343"/>
    </row>
    <row r="2225" spans="1:5" s="335" customFormat="1" ht="24">
      <c r="A2225" s="342" t="s">
        <v>1439</v>
      </c>
      <c r="B2225" s="342" t="s">
        <v>1440</v>
      </c>
      <c r="C2225" s="342" t="str">
        <f>("7640018549")</f>
        <v>7640018549</v>
      </c>
      <c r="D2225" s="340">
        <v>25</v>
      </c>
      <c r="E2225" s="343"/>
    </row>
    <row r="2226" spans="1:5" s="335" customFormat="1" ht="24">
      <c r="A2226" s="342" t="s">
        <v>1441</v>
      </c>
      <c r="B2226" s="342" t="s">
        <v>1442</v>
      </c>
      <c r="C2226" s="342" t="str">
        <f>("7640018550")</f>
        <v>7640018550</v>
      </c>
      <c r="D2226" s="340">
        <v>23</v>
      </c>
      <c r="E2226" s="343"/>
    </row>
    <row r="2227" spans="1:5" s="335" customFormat="1" ht="24">
      <c r="A2227" s="342" t="s">
        <v>1443</v>
      </c>
      <c r="B2227" s="342" t="s">
        <v>1444</v>
      </c>
      <c r="C2227" s="342" t="str">
        <f>("7640018551")</f>
        <v>7640018551</v>
      </c>
      <c r="D2227" s="340">
        <v>21</v>
      </c>
      <c r="E2227" s="343"/>
    </row>
    <row r="2228" spans="1:5" s="335" customFormat="1" ht="24">
      <c r="A2228" s="342" t="s">
        <v>1445</v>
      </c>
      <c r="B2228" s="342" t="s">
        <v>1446</v>
      </c>
      <c r="C2228" s="342" t="str">
        <f>("7640018552")</f>
        <v>7640018552</v>
      </c>
      <c r="D2228" s="340">
        <v>19</v>
      </c>
      <c r="E2228" s="343"/>
    </row>
    <row r="2229" spans="1:5" s="335" customFormat="1" ht="12.75">
      <c r="A2229" s="403" t="s">
        <v>1447</v>
      </c>
      <c r="B2229" s="403"/>
      <c r="C2229" s="403"/>
      <c r="D2229" s="403"/>
      <c r="E2229" s="343"/>
    </row>
    <row r="2230" spans="1:5" s="335" customFormat="1" ht="24">
      <c r="A2230" s="342" t="s">
        <v>1448</v>
      </c>
      <c r="B2230" s="342" t="s">
        <v>1449</v>
      </c>
      <c r="C2230" s="342" t="str">
        <f>("7640018553")</f>
        <v>7640018553</v>
      </c>
      <c r="D2230" s="340">
        <v>218</v>
      </c>
      <c r="E2230" s="343"/>
    </row>
    <row r="2231" spans="1:5" s="335" customFormat="1" ht="24">
      <c r="A2231" s="342" t="s">
        <v>1450</v>
      </c>
      <c r="B2231" s="342" t="s">
        <v>1451</v>
      </c>
      <c r="C2231" s="342" t="str">
        <f>("7640018554")</f>
        <v>7640018554</v>
      </c>
      <c r="D2231" s="340">
        <v>184</v>
      </c>
      <c r="E2231" s="343"/>
    </row>
    <row r="2232" spans="1:5" s="335" customFormat="1" ht="24">
      <c r="A2232" s="342" t="s">
        <v>1452</v>
      </c>
      <c r="B2232" s="342" t="s">
        <v>1453</v>
      </c>
      <c r="C2232" s="342" t="str">
        <f>("7640018555")</f>
        <v>7640018555</v>
      </c>
      <c r="D2232" s="340">
        <v>158</v>
      </c>
      <c r="E2232" s="343"/>
    </row>
    <row r="2233" spans="1:5" s="335" customFormat="1" ht="24">
      <c r="A2233" s="342" t="s">
        <v>1454</v>
      </c>
      <c r="B2233" s="342" t="s">
        <v>1455</v>
      </c>
      <c r="C2233" s="342" t="str">
        <f>("7640018556")</f>
        <v>7640018556</v>
      </c>
      <c r="D2233" s="340">
        <v>138</v>
      </c>
      <c r="E2233" s="343"/>
    </row>
    <row r="2234" spans="1:5" s="335" customFormat="1" ht="24">
      <c r="A2234" s="342" t="s">
        <v>1456</v>
      </c>
      <c r="B2234" s="342" t="s">
        <v>1457</v>
      </c>
      <c r="C2234" s="342" t="str">
        <f>("7640018557")</f>
        <v>7640018557</v>
      </c>
      <c r="D2234" s="340">
        <v>124</v>
      </c>
      <c r="E2234" s="343"/>
    </row>
    <row r="2235" spans="1:5" s="335" customFormat="1" ht="24">
      <c r="A2235" s="342" t="s">
        <v>1458</v>
      </c>
      <c r="B2235" s="342" t="s">
        <v>1459</v>
      </c>
      <c r="C2235" s="342" t="str">
        <f>("7640018558")</f>
        <v>7640018558</v>
      </c>
      <c r="D2235" s="340">
        <v>112</v>
      </c>
      <c r="E2235" s="343"/>
    </row>
    <row r="2236" spans="1:5" s="335" customFormat="1" ht="24">
      <c r="A2236" s="342" t="s">
        <v>1460</v>
      </c>
      <c r="B2236" s="342" t="s">
        <v>1461</v>
      </c>
      <c r="C2236" s="342" t="str">
        <f>("7640018559")</f>
        <v>7640018559</v>
      </c>
      <c r="D2236" s="340">
        <v>106</v>
      </c>
      <c r="E2236" s="343"/>
    </row>
    <row r="2237" spans="1:5" s="335" customFormat="1" ht="24">
      <c r="A2237" s="342" t="s">
        <v>1462</v>
      </c>
      <c r="B2237" s="342" t="s">
        <v>1463</v>
      </c>
      <c r="C2237" s="342" t="str">
        <f>("7640018560")</f>
        <v>7640018560</v>
      </c>
      <c r="D2237" s="340">
        <v>92</v>
      </c>
      <c r="E2237" s="343"/>
    </row>
    <row r="2238" spans="1:5" s="335" customFormat="1" ht="24">
      <c r="A2238" s="342" t="s">
        <v>1464</v>
      </c>
      <c r="B2238" s="342" t="s">
        <v>1465</v>
      </c>
      <c r="C2238" s="342" t="str">
        <f>("7640018561")</f>
        <v>7640018561</v>
      </c>
      <c r="D2238" s="340">
        <v>84</v>
      </c>
      <c r="E2238" s="343"/>
    </row>
    <row r="2239" spans="1:5" s="335" customFormat="1" ht="24">
      <c r="A2239" s="342" t="s">
        <v>1466</v>
      </c>
      <c r="B2239" s="342" t="s">
        <v>1467</v>
      </c>
      <c r="C2239" s="342" t="str">
        <f>("7640018562")</f>
        <v>7640018562</v>
      </c>
      <c r="D2239" s="340">
        <v>78</v>
      </c>
      <c r="E2239" s="343"/>
    </row>
    <row r="2240" spans="1:5" s="335" customFormat="1" ht="12.75">
      <c r="A2240" s="403" t="s">
        <v>1468</v>
      </c>
      <c r="B2240" s="403"/>
      <c r="C2240" s="403"/>
      <c r="D2240" s="403"/>
      <c r="E2240" s="343"/>
    </row>
    <row r="2241" spans="1:5" s="335" customFormat="1" ht="24">
      <c r="A2241" s="342" t="s">
        <v>1469</v>
      </c>
      <c r="B2241" s="342" t="s">
        <v>1470</v>
      </c>
      <c r="C2241" s="342" t="str">
        <f>("7640018563")</f>
        <v>7640018563</v>
      </c>
      <c r="D2241" s="340">
        <v>149</v>
      </c>
      <c r="E2241" s="343"/>
    </row>
    <row r="2242" spans="1:5" s="335" customFormat="1" ht="24">
      <c r="A2242" s="342" t="s">
        <v>1471</v>
      </c>
      <c r="B2242" s="342" t="s">
        <v>1472</v>
      </c>
      <c r="C2242" s="342" t="str">
        <f>("7640018564")</f>
        <v>7640018564</v>
      </c>
      <c r="D2242" s="340">
        <v>125</v>
      </c>
      <c r="E2242" s="343"/>
    </row>
    <row r="2243" spans="1:5" s="335" customFormat="1" ht="24">
      <c r="A2243" s="342" t="s">
        <v>1473</v>
      </c>
      <c r="B2243" s="342" t="s">
        <v>1474</v>
      </c>
      <c r="C2243" s="342" t="str">
        <f>("7640018565")</f>
        <v>7640018565</v>
      </c>
      <c r="D2243" s="340">
        <v>109</v>
      </c>
      <c r="E2243" s="343"/>
    </row>
    <row r="2244" spans="1:5" s="335" customFormat="1" ht="24">
      <c r="A2244" s="342" t="s">
        <v>1475</v>
      </c>
      <c r="B2244" s="342" t="s">
        <v>1476</v>
      </c>
      <c r="C2244" s="342" t="str">
        <f>("7640018566")</f>
        <v>7640018566</v>
      </c>
      <c r="D2244" s="340">
        <v>99</v>
      </c>
      <c r="E2244" s="343"/>
    </row>
    <row r="2245" spans="1:5" s="335" customFormat="1" ht="24">
      <c r="A2245" s="342" t="s">
        <v>1477</v>
      </c>
      <c r="B2245" s="342" t="s">
        <v>1478</v>
      </c>
      <c r="C2245" s="342" t="str">
        <f>("7640018567")</f>
        <v>7640018567</v>
      </c>
      <c r="D2245" s="340">
        <v>89</v>
      </c>
      <c r="E2245" s="343"/>
    </row>
    <row r="2246" spans="1:5" s="335" customFormat="1" ht="24">
      <c r="A2246" s="342" t="s">
        <v>1479</v>
      </c>
      <c r="B2246" s="342" t="s">
        <v>1480</v>
      </c>
      <c r="C2246" s="342" t="str">
        <f>("7640018568")</f>
        <v>7640018568</v>
      </c>
      <c r="D2246" s="340">
        <v>79</v>
      </c>
      <c r="E2246" s="343"/>
    </row>
    <row r="2247" spans="1:5" s="335" customFormat="1" ht="24">
      <c r="A2247" s="342" t="s">
        <v>1481</v>
      </c>
      <c r="B2247" s="342" t="s">
        <v>1482</v>
      </c>
      <c r="C2247" s="342" t="str">
        <f>("7640018569")</f>
        <v>7640018569</v>
      </c>
      <c r="D2247" s="340">
        <v>75</v>
      </c>
      <c r="E2247" s="343"/>
    </row>
    <row r="2248" spans="1:5" s="335" customFormat="1" ht="24">
      <c r="A2248" s="342" t="s">
        <v>1483</v>
      </c>
      <c r="B2248" s="342" t="s">
        <v>1484</v>
      </c>
      <c r="C2248" s="342" t="str">
        <f>("7640018570")</f>
        <v>7640018570</v>
      </c>
      <c r="D2248" s="340">
        <v>65</v>
      </c>
      <c r="E2248" s="343"/>
    </row>
    <row r="2249" spans="1:5" s="335" customFormat="1" ht="24">
      <c r="A2249" s="342" t="s">
        <v>1485</v>
      </c>
      <c r="B2249" s="342" t="s">
        <v>1486</v>
      </c>
      <c r="C2249" s="342" t="str">
        <f>("7640018571")</f>
        <v>7640018571</v>
      </c>
      <c r="D2249" s="340">
        <v>59</v>
      </c>
      <c r="E2249" s="343"/>
    </row>
    <row r="2250" spans="1:5" s="335" customFormat="1" ht="24">
      <c r="A2250" s="342" t="s">
        <v>1487</v>
      </c>
      <c r="B2250" s="342" t="s">
        <v>1488</v>
      </c>
      <c r="C2250" s="342" t="str">
        <f>("7640018572")</f>
        <v>7640018572</v>
      </c>
      <c r="D2250" s="340">
        <v>55</v>
      </c>
      <c r="E2250" s="343"/>
    </row>
    <row r="2251" spans="1:5" s="335" customFormat="1" ht="12.75">
      <c r="A2251" s="403" t="s">
        <v>1489</v>
      </c>
      <c r="B2251" s="403"/>
      <c r="C2251" s="403"/>
      <c r="D2251" s="403"/>
      <c r="E2251" s="343"/>
    </row>
    <row r="2252" spans="1:5" s="335" customFormat="1" ht="24">
      <c r="A2252" s="342" t="s">
        <v>1490</v>
      </c>
      <c r="B2252" s="342" t="s">
        <v>1491</v>
      </c>
      <c r="C2252" s="342" t="str">
        <f>("7640018573")</f>
        <v>7640018573</v>
      </c>
      <c r="D2252" s="340">
        <v>69</v>
      </c>
      <c r="E2252" s="343"/>
    </row>
    <row r="2253" spans="1:5" s="335" customFormat="1" ht="24">
      <c r="A2253" s="342" t="s">
        <v>1492</v>
      </c>
      <c r="B2253" s="342" t="s">
        <v>1493</v>
      </c>
      <c r="C2253" s="342" t="str">
        <f>("7640018574")</f>
        <v>7640018574</v>
      </c>
      <c r="D2253" s="340">
        <v>59</v>
      </c>
      <c r="E2253" s="343"/>
    </row>
    <row r="2254" spans="1:5" s="335" customFormat="1" ht="24">
      <c r="A2254" s="342" t="s">
        <v>1494</v>
      </c>
      <c r="B2254" s="342" t="s">
        <v>1495</v>
      </c>
      <c r="C2254" s="342" t="str">
        <f>("7640018575")</f>
        <v>7640018575</v>
      </c>
      <c r="D2254" s="340">
        <v>49</v>
      </c>
      <c r="E2254" s="343"/>
    </row>
    <row r="2255" spans="1:5" s="335" customFormat="1" ht="24">
      <c r="A2255" s="342" t="s">
        <v>1496</v>
      </c>
      <c r="B2255" s="342" t="s">
        <v>1497</v>
      </c>
      <c r="C2255" s="342" t="str">
        <f>("7640018576")</f>
        <v>7640018576</v>
      </c>
      <c r="D2255" s="340">
        <v>39</v>
      </c>
      <c r="E2255" s="343"/>
    </row>
    <row r="2256" spans="1:5" s="335" customFormat="1" ht="24">
      <c r="A2256" s="342" t="s">
        <v>1498</v>
      </c>
      <c r="B2256" s="342" t="s">
        <v>1499</v>
      </c>
      <c r="C2256" s="342" t="str">
        <f>("7640018577")</f>
        <v>7640018577</v>
      </c>
      <c r="D2256" s="340">
        <v>35</v>
      </c>
      <c r="E2256" s="343"/>
    </row>
    <row r="2257" spans="1:5" s="335" customFormat="1" ht="24">
      <c r="A2257" s="342" t="s">
        <v>1500</v>
      </c>
      <c r="B2257" s="342" t="s">
        <v>1501</v>
      </c>
      <c r="C2257" s="342" t="str">
        <f>("7640018578")</f>
        <v>7640018578</v>
      </c>
      <c r="D2257" s="340">
        <v>33</v>
      </c>
      <c r="E2257" s="343"/>
    </row>
    <row r="2258" spans="1:5" s="335" customFormat="1" ht="24">
      <c r="A2258" s="342" t="s">
        <v>1502</v>
      </c>
      <c r="B2258" s="342" t="s">
        <v>1503</v>
      </c>
      <c r="C2258" s="342" t="str">
        <f>("7640018579")</f>
        <v>7640018579</v>
      </c>
      <c r="D2258" s="340">
        <v>31</v>
      </c>
      <c r="E2258" s="343"/>
    </row>
    <row r="2259" spans="1:5" s="335" customFormat="1" ht="24">
      <c r="A2259" s="342" t="s">
        <v>1504</v>
      </c>
      <c r="B2259" s="342" t="s">
        <v>1505</v>
      </c>
      <c r="C2259" s="342" t="str">
        <f>("7640018580")</f>
        <v>7640018580</v>
      </c>
      <c r="D2259" s="340">
        <v>27</v>
      </c>
      <c r="E2259" s="343"/>
    </row>
    <row r="2260" spans="1:5" s="335" customFormat="1" ht="24">
      <c r="A2260" s="342" t="s">
        <v>1506</v>
      </c>
      <c r="B2260" s="342" t="s">
        <v>1507</v>
      </c>
      <c r="C2260" s="342" t="str">
        <f>("7640018581")</f>
        <v>7640018581</v>
      </c>
      <c r="D2260" s="340">
        <v>25</v>
      </c>
      <c r="E2260" s="343"/>
    </row>
    <row r="2261" spans="1:5" s="335" customFormat="1" ht="24">
      <c r="A2261" s="342" t="s">
        <v>1508</v>
      </c>
      <c r="B2261" s="342" t="s">
        <v>1509</v>
      </c>
      <c r="C2261" s="342" t="str">
        <f>("7640018582")</f>
        <v>7640018582</v>
      </c>
      <c r="D2261" s="340">
        <v>23</v>
      </c>
      <c r="E2261" s="343"/>
    </row>
    <row r="2262" spans="1:5" s="335" customFormat="1" ht="12.75">
      <c r="A2262" s="344"/>
      <c r="B2262" s="343"/>
      <c r="C2262" s="343"/>
      <c r="D2262" s="395"/>
      <c r="E2262" s="343"/>
    </row>
    <row r="2263" spans="1:5" s="335" customFormat="1" ht="15" customHeight="1">
      <c r="A2263" s="345"/>
      <c r="B2263" s="404" t="s">
        <v>1510</v>
      </c>
      <c r="C2263" s="404"/>
      <c r="D2263" s="404"/>
      <c r="E2263" s="404"/>
    </row>
    <row r="2264" spans="1:5" s="335" customFormat="1" ht="25.5">
      <c r="A2264" s="346" t="s">
        <v>789</v>
      </c>
      <c r="B2264" s="346" t="s">
        <v>409</v>
      </c>
      <c r="C2264" s="346" t="s">
        <v>26</v>
      </c>
      <c r="D2264" s="337" t="s">
        <v>6425</v>
      </c>
      <c r="E2264" s="343"/>
    </row>
    <row r="2265" spans="1:5" s="335" customFormat="1" ht="14.25">
      <c r="A2265" s="342" t="s">
        <v>1511</v>
      </c>
      <c r="B2265" s="342" t="s">
        <v>1512</v>
      </c>
      <c r="C2265" s="342" t="s">
        <v>6115</v>
      </c>
      <c r="D2265" s="340">
        <v>4495</v>
      </c>
      <c r="E2265" s="343"/>
    </row>
    <row r="2266" spans="1:5" s="335" customFormat="1" ht="12.75">
      <c r="A2266" s="403" t="s">
        <v>1513</v>
      </c>
      <c r="B2266" s="403"/>
      <c r="C2266" s="403"/>
      <c r="D2266" s="403"/>
      <c r="E2266" s="343"/>
    </row>
    <row r="2267" spans="1:5" s="335" customFormat="1" ht="24">
      <c r="A2267" s="342" t="s">
        <v>1514</v>
      </c>
      <c r="B2267" s="342" t="s">
        <v>1514</v>
      </c>
      <c r="C2267" s="342" t="str">
        <f>("08143390KIT")</f>
        <v>08143390KIT</v>
      </c>
      <c r="D2267" s="340">
        <v>0</v>
      </c>
      <c r="E2267" s="343"/>
    </row>
    <row r="2268" spans="1:5" s="335" customFormat="1" ht="24">
      <c r="A2268" s="342" t="s">
        <v>1515</v>
      </c>
      <c r="B2268" s="342" t="s">
        <v>1515</v>
      </c>
      <c r="C2268" s="342" t="str">
        <f>("0816900001")</f>
        <v>0816900001</v>
      </c>
      <c r="D2268" s="340">
        <v>11.03</v>
      </c>
      <c r="E2268" s="343"/>
    </row>
    <row r="2269" spans="1:5" s="335" customFormat="1" ht="12.75">
      <c r="A2269" s="403" t="s">
        <v>1516</v>
      </c>
      <c r="B2269" s="403"/>
      <c r="C2269" s="403"/>
      <c r="D2269" s="403"/>
      <c r="E2269" s="343"/>
    </row>
    <row r="2270" spans="1:5" s="335" customFormat="1" ht="14.25">
      <c r="A2270" s="342" t="s">
        <v>1517</v>
      </c>
      <c r="B2270" s="342" t="s">
        <v>1517</v>
      </c>
      <c r="C2270" s="342" t="s">
        <v>6116</v>
      </c>
      <c r="D2270" s="340">
        <v>220</v>
      </c>
      <c r="E2270" s="343"/>
    </row>
    <row r="2271" spans="1:5" s="335" customFormat="1" ht="14.25">
      <c r="A2271" s="342" t="s">
        <v>1518</v>
      </c>
      <c r="B2271" s="342" t="s">
        <v>1518</v>
      </c>
      <c r="C2271" s="342" t="s">
        <v>6117</v>
      </c>
      <c r="D2271" s="340">
        <v>64.61</v>
      </c>
      <c r="E2271" s="343"/>
    </row>
    <row r="2272" spans="1:5" s="335" customFormat="1" ht="12.75">
      <c r="A2272" s="342" t="s">
        <v>1519</v>
      </c>
      <c r="B2272" s="342" t="s">
        <v>1519</v>
      </c>
      <c r="C2272" s="342" t="str">
        <f>("1379131")</f>
        <v>1379131</v>
      </c>
      <c r="D2272" s="340">
        <v>399</v>
      </c>
      <c r="E2272" s="343"/>
    </row>
    <row r="2273" spans="1:5" s="335" customFormat="1" ht="12.75">
      <c r="A2273" s="403" t="s">
        <v>1520</v>
      </c>
      <c r="B2273" s="403"/>
      <c r="C2273" s="403"/>
      <c r="D2273" s="403"/>
      <c r="E2273" s="343"/>
    </row>
    <row r="2274" spans="1:5" s="335" customFormat="1" ht="12.75">
      <c r="A2274" s="342" t="s">
        <v>1521</v>
      </c>
      <c r="B2274" s="342" t="s">
        <v>1522</v>
      </c>
      <c r="C2274" s="342" t="str">
        <f>("0814061301")</f>
        <v>0814061301</v>
      </c>
      <c r="D2274" s="340">
        <v>1322</v>
      </c>
      <c r="E2274" s="343"/>
    </row>
    <row r="2275" spans="1:5" s="335" customFormat="1" ht="14.25">
      <c r="A2275" s="342" t="s">
        <v>1523</v>
      </c>
      <c r="B2275" s="342" t="s">
        <v>1523</v>
      </c>
      <c r="C2275" s="342" t="s">
        <v>6118</v>
      </c>
      <c r="D2275" s="340">
        <v>708.75</v>
      </c>
      <c r="E2275" s="343"/>
    </row>
    <row r="2276" spans="1:5" s="335" customFormat="1" ht="12.75">
      <c r="A2276" s="403" t="s">
        <v>1524</v>
      </c>
      <c r="B2276" s="403"/>
      <c r="C2276" s="403"/>
      <c r="D2276" s="403"/>
      <c r="E2276" s="343"/>
    </row>
    <row r="2277" spans="1:5" s="335" customFormat="1" ht="24">
      <c r="A2277" s="342" t="s">
        <v>1525</v>
      </c>
      <c r="B2277" s="342" t="s">
        <v>1526</v>
      </c>
      <c r="C2277" s="342" t="str">
        <f>("0993060716")</f>
        <v>0993060716</v>
      </c>
      <c r="D2277" s="340">
        <v>0</v>
      </c>
      <c r="E2277" s="343"/>
    </row>
    <row r="2278" spans="1:5" s="335" customFormat="1" ht="36">
      <c r="A2278" s="342" t="s">
        <v>1527</v>
      </c>
      <c r="B2278" s="342" t="s">
        <v>1528</v>
      </c>
      <c r="C2278" s="342" t="str">
        <f>("4156608")</f>
        <v>4156608</v>
      </c>
      <c r="D2278" s="340">
        <v>708.75</v>
      </c>
      <c r="E2278" s="343"/>
    </row>
    <row r="2279" spans="1:5" s="335" customFormat="1" ht="24">
      <c r="A2279" s="342" t="s">
        <v>1529</v>
      </c>
      <c r="B2279" s="342" t="s">
        <v>1529</v>
      </c>
      <c r="C2279" s="342" t="str">
        <f>("4161106")</f>
        <v>4161106</v>
      </c>
      <c r="D2279" s="340">
        <v>242.55</v>
      </c>
      <c r="E2279" s="343"/>
    </row>
    <row r="2280" spans="1:5" s="335" customFormat="1" ht="24">
      <c r="A2280" s="342" t="s">
        <v>1530</v>
      </c>
      <c r="B2280" s="342" t="s">
        <v>1526</v>
      </c>
      <c r="C2280" s="342" t="str">
        <f>("7640000050")</f>
        <v>7640000050</v>
      </c>
      <c r="D2280" s="340">
        <v>0</v>
      </c>
      <c r="E2280" s="343"/>
    </row>
    <row r="2281" spans="1:5" s="335" customFormat="1" ht="12.75">
      <c r="A2281" s="342" t="s">
        <v>1531</v>
      </c>
      <c r="B2281" s="342" t="s">
        <v>1526</v>
      </c>
      <c r="C2281" s="342" t="str">
        <f>("94033000")</f>
        <v>94033000</v>
      </c>
      <c r="D2281" s="340">
        <v>99.95</v>
      </c>
      <c r="E2281" s="343"/>
    </row>
    <row r="2282" spans="1:5" s="335" customFormat="1" ht="12.75">
      <c r="A2282" s="344"/>
      <c r="B2282" s="343"/>
      <c r="C2282" s="343"/>
      <c r="D2282" s="395"/>
      <c r="E2282" s="343"/>
    </row>
    <row r="2283" spans="1:5" s="335" customFormat="1" ht="15" customHeight="1">
      <c r="A2283" s="345"/>
      <c r="B2283" s="404" t="s">
        <v>1532</v>
      </c>
      <c r="C2283" s="404"/>
      <c r="D2283" s="404"/>
      <c r="E2283" s="404"/>
    </row>
    <row r="2284" spans="1:5" s="335" customFormat="1" ht="25.5">
      <c r="A2284" s="346" t="s">
        <v>789</v>
      </c>
      <c r="B2284" s="346" t="s">
        <v>409</v>
      </c>
      <c r="C2284" s="346" t="s">
        <v>26</v>
      </c>
      <c r="D2284" s="337" t="s">
        <v>6425</v>
      </c>
      <c r="E2284" s="343"/>
    </row>
    <row r="2285" spans="1:5" s="335" customFormat="1" ht="26.25">
      <c r="A2285" s="342" t="s">
        <v>1533</v>
      </c>
      <c r="B2285" s="342" t="s">
        <v>1533</v>
      </c>
      <c r="C2285" s="342" t="s">
        <v>6119</v>
      </c>
      <c r="D2285" s="340">
        <v>0</v>
      </c>
      <c r="E2285" s="343"/>
    </row>
    <row r="2286" spans="1:5" s="335" customFormat="1" ht="12.75">
      <c r="A2286" s="403" t="s">
        <v>1534</v>
      </c>
      <c r="B2286" s="403"/>
      <c r="C2286" s="403"/>
      <c r="D2286" s="403"/>
      <c r="E2286" s="343"/>
    </row>
    <row r="2287" spans="1:5" s="335" customFormat="1" ht="60">
      <c r="A2287" s="342" t="s">
        <v>1535</v>
      </c>
      <c r="B2287" s="342" t="s">
        <v>1535</v>
      </c>
      <c r="C2287" s="342" t="str">
        <f>("NW1800W12S")</f>
        <v>NW1800W12S</v>
      </c>
      <c r="D2287" s="340">
        <v>3368.5</v>
      </c>
      <c r="E2287" s="343"/>
    </row>
    <row r="2288" spans="1:5" s="335" customFormat="1" ht="60">
      <c r="A2288" s="342" t="s">
        <v>1536</v>
      </c>
      <c r="B2288" s="342" t="s">
        <v>1536</v>
      </c>
      <c r="C2288" s="342" t="str">
        <f>("NW1800W36S")</f>
        <v>NW1800W36S</v>
      </c>
      <c r="D2288" s="340">
        <v>4926.5</v>
      </c>
      <c r="E2288" s="343"/>
    </row>
    <row r="2289" spans="1:5" s="335" customFormat="1" ht="60">
      <c r="A2289" s="342" t="s">
        <v>1537</v>
      </c>
      <c r="B2289" s="342" t="s">
        <v>1537</v>
      </c>
      <c r="C2289" s="342" t="str">
        <f>("NW1800W48S")</f>
        <v>NW1800W48S</v>
      </c>
      <c r="D2289" s="340">
        <v>5769.5</v>
      </c>
      <c r="E2289" s="343"/>
    </row>
    <row r="2290" spans="1:5" s="335" customFormat="1" ht="60">
      <c r="A2290" s="342" t="s">
        <v>1538</v>
      </c>
      <c r="B2290" s="342" t="s">
        <v>1538</v>
      </c>
      <c r="C2290" s="342" t="str">
        <f>("NW1800W60S")</f>
        <v>NW1800W60S</v>
      </c>
      <c r="D2290" s="340">
        <v>6482.5</v>
      </c>
      <c r="E2290" s="343"/>
    </row>
    <row r="2291" spans="1:5" s="335" customFormat="1" ht="60">
      <c r="A2291" s="342" t="s">
        <v>1539</v>
      </c>
      <c r="B2291" s="342" t="s">
        <v>1539</v>
      </c>
      <c r="C2291" s="342" t="str">
        <f>("NW6010W12S")</f>
        <v>NW6010W12S</v>
      </c>
      <c r="D2291" s="340">
        <v>4838.5</v>
      </c>
      <c r="E2291" s="343"/>
    </row>
    <row r="2292" spans="1:5" s="335" customFormat="1" ht="48">
      <c r="A2292" s="342" t="s">
        <v>1540</v>
      </c>
      <c r="B2292" s="342" t="s">
        <v>1540</v>
      </c>
      <c r="C2292" s="342" t="str">
        <f>("NW6010W36S")</f>
        <v>NW6010W36S</v>
      </c>
      <c r="D2292" s="340">
        <v>7471.5</v>
      </c>
      <c r="E2292" s="343"/>
    </row>
    <row r="2293" spans="1:5" s="335" customFormat="1" ht="48">
      <c r="A2293" s="342" t="s">
        <v>1541</v>
      </c>
      <c r="B2293" s="342" t="s">
        <v>1541</v>
      </c>
      <c r="C2293" s="342" t="str">
        <f>("NW6010W48S")</f>
        <v>NW6010W48S</v>
      </c>
      <c r="D2293" s="340">
        <v>8784.5</v>
      </c>
      <c r="E2293" s="343"/>
    </row>
    <row r="2294" spans="1:5" s="335" customFormat="1" ht="48">
      <c r="A2294" s="342" t="s">
        <v>1542</v>
      </c>
      <c r="B2294" s="342" t="s">
        <v>1542</v>
      </c>
      <c r="C2294" s="342" t="str">
        <f>("NW6010W60S")</f>
        <v>NW6010W60S</v>
      </c>
      <c r="D2294" s="340">
        <v>10032.5</v>
      </c>
      <c r="E2294" s="343"/>
    </row>
    <row r="2295" spans="1:5" s="335" customFormat="1" ht="12.75">
      <c r="A2295" s="403" t="s">
        <v>1543</v>
      </c>
      <c r="B2295" s="403"/>
      <c r="C2295" s="403"/>
      <c r="D2295" s="403"/>
      <c r="E2295" s="343"/>
    </row>
    <row r="2296" spans="1:5" s="335" customFormat="1" ht="12.75">
      <c r="A2296" s="342" t="s">
        <v>1544</v>
      </c>
      <c r="B2296" s="342" t="s">
        <v>1544</v>
      </c>
      <c r="C2296" s="342" t="str">
        <f>("NWINOSHIP01")</f>
        <v>NWINOSHIP01</v>
      </c>
      <c r="D2296" s="340">
        <v>64.5</v>
      </c>
      <c r="E2296" s="343"/>
    </row>
    <row r="2297" spans="1:5" s="335" customFormat="1" ht="12.75">
      <c r="A2297" s="403" t="s">
        <v>1545</v>
      </c>
      <c r="B2297" s="403"/>
      <c r="C2297" s="403"/>
      <c r="D2297" s="403"/>
      <c r="E2297" s="343"/>
    </row>
    <row r="2298" spans="1:5" s="335" customFormat="1" ht="36">
      <c r="A2298" s="342" t="s">
        <v>1546</v>
      </c>
      <c r="B2298" s="342" t="s">
        <v>1546</v>
      </c>
      <c r="C2298" s="342" t="str">
        <f>("CMDEMRBDL12")</f>
        <v>CMDEMRBDL12</v>
      </c>
      <c r="D2298" s="340">
        <v>684</v>
      </c>
      <c r="E2298" s="343"/>
    </row>
    <row r="2299" spans="1:5" s="335" customFormat="1" ht="36">
      <c r="A2299" s="342" t="s">
        <v>1547</v>
      </c>
      <c r="B2299" s="342" t="s">
        <v>1547</v>
      </c>
      <c r="C2299" s="342" t="str">
        <f>("CMDEMRBDL36")</f>
        <v>CMDEMRBDL36</v>
      </c>
      <c r="D2299" s="340">
        <v>1727</v>
      </c>
      <c r="E2299" s="343"/>
    </row>
    <row r="2300" spans="1:5" s="335" customFormat="1" ht="36">
      <c r="A2300" s="342" t="s">
        <v>1548</v>
      </c>
      <c r="B2300" s="342" t="s">
        <v>1548</v>
      </c>
      <c r="C2300" s="342" t="str">
        <f>("CMDEMRBDL48")</f>
        <v>CMDEMRBDL48</v>
      </c>
      <c r="D2300" s="340">
        <v>2245</v>
      </c>
      <c r="E2300" s="343"/>
    </row>
    <row r="2301" spans="1:5" s="335" customFormat="1" ht="36">
      <c r="A2301" s="342" t="s">
        <v>1549</v>
      </c>
      <c r="B2301" s="342" t="s">
        <v>1549</v>
      </c>
      <c r="C2301" s="342" t="str">
        <f>("CMDEMRBDL60")</f>
        <v>CMDEMRBDL60</v>
      </c>
      <c r="D2301" s="340">
        <v>2698</v>
      </c>
      <c r="E2301" s="343"/>
    </row>
    <row r="2302" spans="1:5" s="335" customFormat="1" ht="24">
      <c r="A2302" s="342" t="s">
        <v>1550</v>
      </c>
      <c r="B2302" s="342" t="s">
        <v>1550</v>
      </c>
      <c r="C2302" s="342" t="str">
        <f>("NWINOFUJXINST")</f>
        <v>NWINOFUJXINST</v>
      </c>
      <c r="D2302" s="340">
        <v>400</v>
      </c>
      <c r="E2302" s="343"/>
    </row>
    <row r="2303" spans="1:5" s="335" customFormat="1" ht="12.75">
      <c r="A2303" s="403" t="s">
        <v>1551</v>
      </c>
      <c r="B2303" s="403"/>
      <c r="C2303" s="403"/>
      <c r="D2303" s="403"/>
      <c r="E2303" s="343"/>
    </row>
    <row r="2304" spans="1:5" s="335" customFormat="1" ht="24">
      <c r="A2304" s="342" t="s">
        <v>1552</v>
      </c>
      <c r="B2304" s="342" t="s">
        <v>1552</v>
      </c>
      <c r="C2304" s="342" t="str">
        <f>("NWINOFUJX1YRSUP")</f>
        <v>NWINOFUJX1YRSUP</v>
      </c>
      <c r="D2304" s="340">
        <v>100</v>
      </c>
      <c r="E2304" s="343"/>
    </row>
    <row r="2305" spans="1:5" s="335" customFormat="1" ht="12.75">
      <c r="A2305" s="344"/>
      <c r="B2305" s="343"/>
      <c r="C2305" s="343"/>
      <c r="D2305" s="395"/>
      <c r="E2305" s="343"/>
    </row>
    <row r="2306" spans="1:5" s="335" customFormat="1" ht="15" customHeight="1">
      <c r="A2306" s="345"/>
      <c r="B2306" s="404" t="s">
        <v>1553</v>
      </c>
      <c r="C2306" s="404"/>
      <c r="D2306" s="404"/>
      <c r="E2306" s="404"/>
    </row>
    <row r="2307" spans="1:5" s="335" customFormat="1" ht="25.5">
      <c r="A2307" s="346" t="s">
        <v>789</v>
      </c>
      <c r="B2307" s="346" t="s">
        <v>409</v>
      </c>
      <c r="C2307" s="346" t="s">
        <v>26</v>
      </c>
      <c r="D2307" s="337" t="s">
        <v>6425</v>
      </c>
      <c r="E2307" s="343"/>
    </row>
    <row r="2308" spans="1:5" s="335" customFormat="1" ht="26.25">
      <c r="A2308" s="342" t="s">
        <v>1554</v>
      </c>
      <c r="B2308" s="342" t="s">
        <v>1554</v>
      </c>
      <c r="C2308" s="342" t="s">
        <v>6120</v>
      </c>
      <c r="D2308" s="338" t="s">
        <v>791</v>
      </c>
      <c r="E2308" s="343"/>
    </row>
    <row r="2309" spans="1:5" s="335" customFormat="1" ht="12.75">
      <c r="A2309" s="403" t="s">
        <v>792</v>
      </c>
      <c r="B2309" s="403"/>
      <c r="C2309" s="403"/>
      <c r="D2309" s="403"/>
      <c r="E2309" s="343"/>
    </row>
    <row r="2310" spans="1:5" s="335" customFormat="1" ht="36">
      <c r="A2310" s="342" t="s">
        <v>1555</v>
      </c>
      <c r="B2310" s="342" t="s">
        <v>1555</v>
      </c>
      <c r="C2310" s="342" t="str">
        <f>("7640018234")</f>
        <v>7640018234</v>
      </c>
      <c r="D2310" s="340">
        <v>500</v>
      </c>
      <c r="E2310" s="343"/>
    </row>
    <row r="2311" spans="1:5" s="335" customFormat="1" ht="36">
      <c r="A2311" s="342" t="s">
        <v>1556</v>
      </c>
      <c r="B2311" s="342" t="s">
        <v>1556</v>
      </c>
      <c r="C2311" s="342" t="str">
        <f>("7640018235")</f>
        <v>7640018235</v>
      </c>
      <c r="D2311" s="340">
        <v>500</v>
      </c>
      <c r="E2311" s="343"/>
    </row>
    <row r="2312" spans="1:5" s="335" customFormat="1" ht="36">
      <c r="A2312" s="342" t="s">
        <v>1557</v>
      </c>
      <c r="B2312" s="342" t="s">
        <v>1557</v>
      </c>
      <c r="C2312" s="342" t="str">
        <f>("7640018237")</f>
        <v>7640018237</v>
      </c>
      <c r="D2312" s="340">
        <v>4499</v>
      </c>
      <c r="E2312" s="343"/>
    </row>
    <row r="2313" spans="1:5" s="335" customFormat="1" ht="36">
      <c r="A2313" s="342" t="s">
        <v>1558</v>
      </c>
      <c r="B2313" s="342" t="s">
        <v>1558</v>
      </c>
      <c r="C2313" s="342" t="str">
        <f>("7640018238")</f>
        <v>7640018238</v>
      </c>
      <c r="D2313" s="340">
        <v>8499</v>
      </c>
      <c r="E2313" s="343"/>
    </row>
    <row r="2314" spans="1:5" s="335" customFormat="1" ht="36">
      <c r="A2314" s="342" t="s">
        <v>1559</v>
      </c>
      <c r="B2314" s="342" t="s">
        <v>1559</v>
      </c>
      <c r="C2314" s="342" t="str">
        <f>("7640018239")</f>
        <v>7640018239</v>
      </c>
      <c r="D2314" s="340">
        <v>34999</v>
      </c>
      <c r="E2314" s="343"/>
    </row>
    <row r="2315" spans="1:5" s="335" customFormat="1" ht="36">
      <c r="A2315" s="342" t="s">
        <v>1560</v>
      </c>
      <c r="B2315" s="342" t="s">
        <v>1560</v>
      </c>
      <c r="C2315" s="342" t="str">
        <f>("7640018240")</f>
        <v>7640018240</v>
      </c>
      <c r="D2315" s="340">
        <v>49999</v>
      </c>
      <c r="E2315" s="343"/>
    </row>
    <row r="2316" spans="1:5" s="335" customFormat="1" ht="12.75">
      <c r="A2316" s="403" t="s">
        <v>856</v>
      </c>
      <c r="B2316" s="403"/>
      <c r="C2316" s="403"/>
      <c r="D2316" s="403"/>
      <c r="E2316" s="343"/>
    </row>
    <row r="2317" spans="1:5" s="335" customFormat="1" ht="48">
      <c r="A2317" s="342" t="s">
        <v>1561</v>
      </c>
      <c r="B2317" s="342" t="s">
        <v>1561</v>
      </c>
      <c r="C2317" s="342" t="str">
        <f>("7640018263")</f>
        <v>7640018263</v>
      </c>
      <c r="D2317" s="340">
        <v>200</v>
      </c>
      <c r="E2317" s="343"/>
    </row>
    <row r="2318" spans="1:5" s="335" customFormat="1" ht="12.75">
      <c r="A2318" s="403" t="s">
        <v>1562</v>
      </c>
      <c r="B2318" s="403"/>
      <c r="C2318" s="403"/>
      <c r="D2318" s="403"/>
      <c r="E2318" s="343"/>
    </row>
    <row r="2319" spans="1:5" s="335" customFormat="1" ht="60">
      <c r="A2319" s="342" t="s">
        <v>1563</v>
      </c>
      <c r="B2319" s="342" t="s">
        <v>1564</v>
      </c>
      <c r="C2319" s="342" t="str">
        <f>("7640012393")</f>
        <v>7640012393</v>
      </c>
      <c r="D2319" s="340">
        <v>200</v>
      </c>
      <c r="E2319" s="343"/>
    </row>
    <row r="2320" spans="1:5" s="335" customFormat="1" ht="12.75">
      <c r="A2320" s="403" t="s">
        <v>1565</v>
      </c>
      <c r="B2320" s="403"/>
      <c r="C2320" s="403"/>
      <c r="D2320" s="403"/>
      <c r="E2320" s="343"/>
    </row>
    <row r="2321" spans="1:5" s="335" customFormat="1" ht="36">
      <c r="A2321" s="342" t="s">
        <v>1566</v>
      </c>
      <c r="B2321" s="342" t="s">
        <v>1566</v>
      </c>
      <c r="C2321" s="342" t="str">
        <f>("7640018241")</f>
        <v>7640018241</v>
      </c>
      <c r="D2321" s="340">
        <v>100</v>
      </c>
      <c r="E2321" s="343"/>
    </row>
    <row r="2322" spans="1:5" s="335" customFormat="1" ht="36">
      <c r="A2322" s="342" t="s">
        <v>1567</v>
      </c>
      <c r="B2322" s="342" t="s">
        <v>1567</v>
      </c>
      <c r="C2322" s="342" t="str">
        <f>("7640018242")</f>
        <v>7640018242</v>
      </c>
      <c r="D2322" s="340">
        <v>100</v>
      </c>
      <c r="E2322" s="343"/>
    </row>
    <row r="2323" spans="1:5" s="335" customFormat="1" ht="36">
      <c r="A2323" s="342" t="s">
        <v>1568</v>
      </c>
      <c r="B2323" s="342" t="s">
        <v>1568</v>
      </c>
      <c r="C2323" s="342" t="str">
        <f>("7640018243")</f>
        <v>7640018243</v>
      </c>
      <c r="D2323" s="340">
        <v>475</v>
      </c>
      <c r="E2323" s="343"/>
    </row>
    <row r="2324" spans="1:5" s="335" customFormat="1" ht="36">
      <c r="A2324" s="342" t="s">
        <v>1569</v>
      </c>
      <c r="B2324" s="342" t="s">
        <v>1569</v>
      </c>
      <c r="C2324" s="342" t="str">
        <f>("7640018244")</f>
        <v>7640018244</v>
      </c>
      <c r="D2324" s="340">
        <v>899.8</v>
      </c>
      <c r="E2324" s="343"/>
    </row>
    <row r="2325" spans="1:5" s="335" customFormat="1" ht="36">
      <c r="A2325" s="342" t="s">
        <v>1570</v>
      </c>
      <c r="B2325" s="342" t="s">
        <v>1570</v>
      </c>
      <c r="C2325" s="342" t="str">
        <f>("7640018245")</f>
        <v>7640018245</v>
      </c>
      <c r="D2325" s="340">
        <v>1699.8</v>
      </c>
      <c r="E2325" s="343"/>
    </row>
    <row r="2326" spans="1:5" s="335" customFormat="1" ht="36">
      <c r="A2326" s="342" t="s">
        <v>1571</v>
      </c>
      <c r="B2326" s="342" t="s">
        <v>1571</v>
      </c>
      <c r="C2326" s="342" t="str">
        <f>("7640018246")</f>
        <v>7640018246</v>
      </c>
      <c r="D2326" s="340">
        <v>6999.8</v>
      </c>
      <c r="E2326" s="343"/>
    </row>
    <row r="2327" spans="1:5" s="335" customFormat="1" ht="36">
      <c r="A2327" s="342" t="s">
        <v>1572</v>
      </c>
      <c r="B2327" s="342" t="s">
        <v>1572</v>
      </c>
      <c r="C2327" s="342" t="str">
        <f>("7640018247")</f>
        <v>7640018247</v>
      </c>
      <c r="D2327" s="340">
        <v>9999.7999999999993</v>
      </c>
      <c r="E2327" s="343"/>
    </row>
    <row r="2328" spans="1:5" s="335" customFormat="1" ht="36">
      <c r="A2328" s="342" t="s">
        <v>1573</v>
      </c>
      <c r="B2328" s="342" t="s">
        <v>1573</v>
      </c>
      <c r="C2328" s="342" t="str">
        <f>("7640018248")</f>
        <v>7640018248</v>
      </c>
      <c r="D2328" s="340">
        <v>285</v>
      </c>
      <c r="E2328" s="343"/>
    </row>
    <row r="2329" spans="1:5" s="335" customFormat="1" ht="36">
      <c r="A2329" s="342" t="s">
        <v>1574</v>
      </c>
      <c r="B2329" s="342" t="s">
        <v>1574</v>
      </c>
      <c r="C2329" s="342" t="str">
        <f>("7640018249")</f>
        <v>7640018249</v>
      </c>
      <c r="D2329" s="340">
        <v>285</v>
      </c>
      <c r="E2329" s="343"/>
    </row>
    <row r="2330" spans="1:5" s="335" customFormat="1" ht="36">
      <c r="A2330" s="342" t="s">
        <v>1575</v>
      </c>
      <c r="B2330" s="342" t="s">
        <v>1575</v>
      </c>
      <c r="C2330" s="342" t="str">
        <f>("7640018250")</f>
        <v>7640018250</v>
      </c>
      <c r="D2330" s="340">
        <v>1353.75</v>
      </c>
      <c r="E2330" s="343"/>
    </row>
    <row r="2331" spans="1:5" s="335" customFormat="1" ht="36">
      <c r="A2331" s="342" t="s">
        <v>1576</v>
      </c>
      <c r="B2331" s="342" t="s">
        <v>1576</v>
      </c>
      <c r="C2331" s="342" t="str">
        <f>("7640018251")</f>
        <v>7640018251</v>
      </c>
      <c r="D2331" s="340">
        <v>2564.4299999999998</v>
      </c>
      <c r="E2331" s="343"/>
    </row>
    <row r="2332" spans="1:5" s="335" customFormat="1" ht="36">
      <c r="A2332" s="342" t="s">
        <v>1577</v>
      </c>
      <c r="B2332" s="342" t="s">
        <v>1577</v>
      </c>
      <c r="C2332" s="342" t="str">
        <f>("7640018252")</f>
        <v>7640018252</v>
      </c>
      <c r="D2332" s="340">
        <v>4844.43</v>
      </c>
      <c r="E2332" s="343"/>
    </row>
    <row r="2333" spans="1:5" s="335" customFormat="1" ht="36">
      <c r="A2333" s="342" t="s">
        <v>1578</v>
      </c>
      <c r="B2333" s="342" t="s">
        <v>1578</v>
      </c>
      <c r="C2333" s="342" t="str">
        <f>("7640018254")</f>
        <v>7640018254</v>
      </c>
      <c r="D2333" s="340">
        <v>28499.43</v>
      </c>
      <c r="E2333" s="343"/>
    </row>
    <row r="2334" spans="1:5" s="335" customFormat="1" ht="36">
      <c r="A2334" s="342" t="s">
        <v>1579</v>
      </c>
      <c r="B2334" s="342" t="s">
        <v>1579</v>
      </c>
      <c r="C2334" s="342" t="str">
        <f>("7640018255")</f>
        <v>7640018255</v>
      </c>
      <c r="D2334" s="340">
        <v>450</v>
      </c>
      <c r="E2334" s="343"/>
    </row>
    <row r="2335" spans="1:5" s="335" customFormat="1" ht="36">
      <c r="A2335" s="342" t="s">
        <v>1580</v>
      </c>
      <c r="B2335" s="342" t="s">
        <v>1580</v>
      </c>
      <c r="C2335" s="342" t="str">
        <f>("7640018256")</f>
        <v>7640018256</v>
      </c>
      <c r="D2335" s="340">
        <v>450</v>
      </c>
      <c r="E2335" s="343"/>
    </row>
    <row r="2336" spans="1:5" s="335" customFormat="1" ht="36">
      <c r="A2336" s="342" t="s">
        <v>1581</v>
      </c>
      <c r="B2336" s="342" t="s">
        <v>1581</v>
      </c>
      <c r="C2336" s="342" t="str">
        <f>("7640018257")</f>
        <v>7640018257</v>
      </c>
      <c r="D2336" s="340">
        <v>2137.5</v>
      </c>
      <c r="E2336" s="343"/>
    </row>
    <row r="2337" spans="1:5" s="335" customFormat="1" ht="36">
      <c r="A2337" s="342" t="s">
        <v>1582</v>
      </c>
      <c r="B2337" s="342" t="s">
        <v>1582</v>
      </c>
      <c r="C2337" s="342" t="str">
        <f>("7640018258")</f>
        <v>7640018258</v>
      </c>
      <c r="D2337" s="340">
        <v>4049.1</v>
      </c>
      <c r="E2337" s="343"/>
    </row>
    <row r="2338" spans="1:5" s="335" customFormat="1" ht="36">
      <c r="A2338" s="342" t="s">
        <v>1583</v>
      </c>
      <c r="B2338" s="342" t="s">
        <v>1583</v>
      </c>
      <c r="C2338" s="342" t="str">
        <f>("7640018259")</f>
        <v>7640018259</v>
      </c>
      <c r="D2338" s="340">
        <v>7649.1</v>
      </c>
      <c r="E2338" s="343"/>
    </row>
    <row r="2339" spans="1:5" s="335" customFormat="1" ht="36">
      <c r="A2339" s="342" t="s">
        <v>1584</v>
      </c>
      <c r="B2339" s="342" t="s">
        <v>1584</v>
      </c>
      <c r="C2339" s="342" t="str">
        <f>("7640018260")</f>
        <v>7640018260</v>
      </c>
      <c r="D2339" s="340">
        <v>31499.1</v>
      </c>
      <c r="E2339" s="343"/>
    </row>
    <row r="2340" spans="1:5" s="335" customFormat="1" ht="12.75">
      <c r="A2340" s="344"/>
      <c r="B2340" s="343"/>
      <c r="C2340" s="343"/>
      <c r="D2340" s="395"/>
      <c r="E2340" s="343"/>
    </row>
    <row r="2341" spans="1:5" s="335" customFormat="1" ht="15" customHeight="1">
      <c r="A2341" s="345"/>
      <c r="B2341" s="404" t="s">
        <v>1585</v>
      </c>
      <c r="C2341" s="404"/>
      <c r="D2341" s="404"/>
      <c r="E2341" s="404"/>
    </row>
    <row r="2342" spans="1:5" s="335" customFormat="1" ht="25.5">
      <c r="A2342" s="346" t="s">
        <v>789</v>
      </c>
      <c r="B2342" s="346" t="s">
        <v>409</v>
      </c>
      <c r="C2342" s="346" t="s">
        <v>26</v>
      </c>
      <c r="D2342" s="337" t="s">
        <v>6425</v>
      </c>
      <c r="E2342" s="343"/>
    </row>
    <row r="2343" spans="1:5" s="335" customFormat="1" ht="24">
      <c r="A2343" s="342" t="s">
        <v>1586</v>
      </c>
      <c r="B2343" s="342"/>
      <c r="C2343" s="342" t="s">
        <v>6121</v>
      </c>
      <c r="D2343" s="340">
        <v>0</v>
      </c>
      <c r="E2343" s="343"/>
    </row>
    <row r="2344" spans="1:5" s="335" customFormat="1" ht="12.75">
      <c r="A2344" s="402" t="s">
        <v>1587</v>
      </c>
      <c r="B2344" s="402"/>
      <c r="C2344" s="402"/>
      <c r="D2344" s="402"/>
      <c r="E2344" s="343"/>
    </row>
    <row r="2345" spans="1:5" s="335" customFormat="1" ht="48">
      <c r="A2345" s="342" t="s">
        <v>1588</v>
      </c>
      <c r="B2345" s="342" t="s">
        <v>1589</v>
      </c>
      <c r="C2345" s="342" t="str">
        <f>("7640017451")</f>
        <v>7640017451</v>
      </c>
      <c r="D2345" s="340">
        <v>7500</v>
      </c>
      <c r="E2345" s="343"/>
    </row>
    <row r="2346" spans="1:5" s="335" customFormat="1" ht="48">
      <c r="A2346" s="342" t="s">
        <v>1590</v>
      </c>
      <c r="B2346" s="342" t="s">
        <v>1591</v>
      </c>
      <c r="C2346" s="342" t="s">
        <v>6122</v>
      </c>
      <c r="D2346" s="340">
        <v>45000</v>
      </c>
      <c r="E2346" s="343"/>
    </row>
    <row r="2347" spans="1:5" s="335" customFormat="1" ht="48">
      <c r="A2347" s="342" t="s">
        <v>1590</v>
      </c>
      <c r="B2347" s="342" t="s">
        <v>1592</v>
      </c>
      <c r="C2347" s="342" t="s">
        <v>6123</v>
      </c>
      <c r="D2347" s="340">
        <v>70000</v>
      </c>
      <c r="E2347" s="343"/>
    </row>
    <row r="2348" spans="1:5" s="335" customFormat="1" ht="48">
      <c r="A2348" s="342" t="s">
        <v>1593</v>
      </c>
      <c r="B2348" s="342" t="s">
        <v>1594</v>
      </c>
      <c r="C2348" s="342" t="s">
        <v>6124</v>
      </c>
      <c r="D2348" s="340">
        <v>28000</v>
      </c>
      <c r="E2348" s="343"/>
    </row>
    <row r="2349" spans="1:5" s="335" customFormat="1" ht="48">
      <c r="A2349" s="342" t="s">
        <v>1595</v>
      </c>
      <c r="B2349" s="342" t="s">
        <v>1596</v>
      </c>
      <c r="C2349" s="342" t="s">
        <v>6125</v>
      </c>
      <c r="D2349" s="340">
        <v>65000</v>
      </c>
      <c r="E2349" s="343"/>
    </row>
    <row r="2350" spans="1:5" s="335" customFormat="1" ht="48">
      <c r="A2350" s="342" t="s">
        <v>1597</v>
      </c>
      <c r="B2350" s="342" t="s">
        <v>1598</v>
      </c>
      <c r="C2350" s="342" t="s">
        <v>6126</v>
      </c>
      <c r="D2350" s="340">
        <v>97000</v>
      </c>
      <c r="E2350" s="343"/>
    </row>
    <row r="2351" spans="1:5" s="335" customFormat="1" ht="48">
      <c r="A2351" s="342" t="s">
        <v>1599</v>
      </c>
      <c r="B2351" s="342" t="s">
        <v>1600</v>
      </c>
      <c r="C2351" s="342" t="s">
        <v>6127</v>
      </c>
      <c r="D2351" s="340">
        <v>26000</v>
      </c>
      <c r="E2351" s="343"/>
    </row>
    <row r="2352" spans="1:5" s="335" customFormat="1" ht="48">
      <c r="A2352" s="342" t="s">
        <v>1601</v>
      </c>
      <c r="B2352" s="342" t="s">
        <v>1602</v>
      </c>
      <c r="C2352" s="342" t="s">
        <v>6128</v>
      </c>
      <c r="D2352" s="340">
        <v>62000</v>
      </c>
      <c r="E2352" s="343"/>
    </row>
    <row r="2353" spans="1:5" s="335" customFormat="1" ht="48">
      <c r="A2353" s="342" t="s">
        <v>1603</v>
      </c>
      <c r="B2353" s="342" t="s">
        <v>1604</v>
      </c>
      <c r="C2353" s="342" t="s">
        <v>6129</v>
      </c>
      <c r="D2353" s="340">
        <v>92000</v>
      </c>
      <c r="E2353" s="343"/>
    </row>
    <row r="2354" spans="1:5" s="335" customFormat="1" ht="12.75">
      <c r="A2354" s="403" t="s">
        <v>1605</v>
      </c>
      <c r="B2354" s="403"/>
      <c r="C2354" s="403"/>
      <c r="D2354" s="403"/>
      <c r="E2354" s="343"/>
    </row>
    <row r="2355" spans="1:5" s="335" customFormat="1" ht="36">
      <c r="A2355" s="342" t="s">
        <v>1606</v>
      </c>
      <c r="B2355" s="342" t="s">
        <v>1607</v>
      </c>
      <c r="C2355" s="342" t="str">
        <f>("7640017483")</f>
        <v>7640017483</v>
      </c>
      <c r="D2355" s="340">
        <v>1500</v>
      </c>
      <c r="E2355" s="343"/>
    </row>
    <row r="2356" spans="1:5" s="335" customFormat="1" ht="24">
      <c r="A2356" s="342" t="s">
        <v>1608</v>
      </c>
      <c r="B2356" s="342" t="s">
        <v>1608</v>
      </c>
      <c r="C2356" s="342" t="str">
        <f>("7640017484")</f>
        <v>7640017484</v>
      </c>
      <c r="D2356" s="340">
        <v>5000</v>
      </c>
      <c r="E2356" s="343"/>
    </row>
    <row r="2357" spans="1:5" s="335" customFormat="1" ht="48">
      <c r="A2357" s="342" t="s">
        <v>1609</v>
      </c>
      <c r="B2357" s="342" t="s">
        <v>1610</v>
      </c>
      <c r="C2357" s="342" t="str">
        <f>("7640017485")</f>
        <v>7640017485</v>
      </c>
      <c r="D2357" s="340">
        <v>2250</v>
      </c>
      <c r="E2357" s="343"/>
    </row>
    <row r="2358" spans="1:5" s="335" customFormat="1" ht="37.5" customHeight="1">
      <c r="A2358" s="342" t="s">
        <v>1611</v>
      </c>
      <c r="B2358" s="342" t="s">
        <v>1612</v>
      </c>
      <c r="C2358" s="342" t="str">
        <f>("7640017486")</f>
        <v>7640017486</v>
      </c>
      <c r="D2358" s="340">
        <v>200</v>
      </c>
      <c r="E2358" s="343"/>
    </row>
    <row r="2359" spans="1:5" s="335" customFormat="1" ht="12.75">
      <c r="A2359" s="403" t="s">
        <v>1613</v>
      </c>
      <c r="B2359" s="403"/>
      <c r="C2359" s="403"/>
      <c r="D2359" s="403"/>
      <c r="E2359" s="343"/>
    </row>
    <row r="2360" spans="1:5" s="335" customFormat="1" ht="72">
      <c r="A2360" s="342" t="s">
        <v>1614</v>
      </c>
      <c r="B2360" s="342" t="s">
        <v>1614</v>
      </c>
      <c r="C2360" s="342" t="str">
        <f>("7640017436")</f>
        <v>7640017436</v>
      </c>
      <c r="D2360" s="340">
        <v>3500</v>
      </c>
      <c r="E2360" s="343"/>
    </row>
    <row r="2361" spans="1:5" s="335" customFormat="1" ht="48">
      <c r="A2361" s="342" t="s">
        <v>1615</v>
      </c>
      <c r="B2361" s="342" t="s">
        <v>1616</v>
      </c>
      <c r="C2361" s="342" t="str">
        <f>("7640017467")</f>
        <v>7640017467</v>
      </c>
      <c r="D2361" s="340">
        <v>3500</v>
      </c>
      <c r="E2361" s="343"/>
    </row>
    <row r="2362" spans="1:5" s="335" customFormat="1" ht="12.75">
      <c r="A2362" s="403" t="s">
        <v>1617</v>
      </c>
      <c r="B2362" s="403"/>
      <c r="C2362" s="403"/>
      <c r="D2362" s="403"/>
      <c r="E2362" s="343"/>
    </row>
    <row r="2363" spans="1:5" s="335" customFormat="1" ht="48">
      <c r="A2363" s="342" t="s">
        <v>1618</v>
      </c>
      <c r="B2363" s="342" t="s">
        <v>1619</v>
      </c>
      <c r="C2363" s="342" t="str">
        <f>("7640017459")</f>
        <v>7640017459</v>
      </c>
      <c r="D2363" s="340">
        <v>12000</v>
      </c>
      <c r="E2363" s="343"/>
    </row>
    <row r="2364" spans="1:5" s="335" customFormat="1" ht="48">
      <c r="A2364" s="342" t="s">
        <v>1620</v>
      </c>
      <c r="B2364" s="342" t="s">
        <v>1621</v>
      </c>
      <c r="C2364" s="342" t="str">
        <f>("7640017460")</f>
        <v>7640017460</v>
      </c>
      <c r="D2364" s="340">
        <v>6000</v>
      </c>
      <c r="E2364" s="343"/>
    </row>
    <row r="2365" spans="1:5" s="335" customFormat="1" ht="48">
      <c r="A2365" s="342" t="s">
        <v>1622</v>
      </c>
      <c r="B2365" s="342" t="s">
        <v>1623</v>
      </c>
      <c r="C2365" s="342" t="str">
        <f>("7640017461")</f>
        <v>7640017461</v>
      </c>
      <c r="D2365" s="340">
        <v>5000</v>
      </c>
      <c r="E2365" s="343"/>
    </row>
    <row r="2366" spans="1:5" s="335" customFormat="1" ht="48">
      <c r="A2366" s="342" t="s">
        <v>1624</v>
      </c>
      <c r="B2366" s="342" t="s">
        <v>1625</v>
      </c>
      <c r="C2366" s="342" t="str">
        <f>("7640017464")</f>
        <v>7640017464</v>
      </c>
      <c r="D2366" s="340">
        <v>2000</v>
      </c>
      <c r="E2366" s="343"/>
    </row>
    <row r="2367" spans="1:5" s="335" customFormat="1" ht="48">
      <c r="A2367" s="342" t="s">
        <v>1626</v>
      </c>
      <c r="B2367" s="342" t="s">
        <v>1627</v>
      </c>
      <c r="C2367" s="342" t="str">
        <f>("7640017465")</f>
        <v>7640017465</v>
      </c>
      <c r="D2367" s="340">
        <v>2000</v>
      </c>
      <c r="E2367" s="343"/>
    </row>
    <row r="2368" spans="1:5" s="335" customFormat="1" ht="48">
      <c r="A2368" s="342" t="s">
        <v>1628</v>
      </c>
      <c r="B2368" s="342" t="s">
        <v>1629</v>
      </c>
      <c r="C2368" s="342" t="str">
        <f>("7640017466")</f>
        <v>7640017466</v>
      </c>
      <c r="D2368" s="340">
        <v>1.3</v>
      </c>
      <c r="E2368" s="343"/>
    </row>
    <row r="2369" spans="1:5" s="335" customFormat="1" ht="36">
      <c r="A2369" s="342" t="s">
        <v>1630</v>
      </c>
      <c r="B2369" s="342" t="s">
        <v>1630</v>
      </c>
      <c r="C2369" s="342" t="str">
        <f>("7640017468")</f>
        <v>7640017468</v>
      </c>
      <c r="D2369" s="340">
        <v>4000</v>
      </c>
      <c r="E2369" s="343"/>
    </row>
    <row r="2370" spans="1:5" s="335" customFormat="1" ht="48">
      <c r="A2370" s="342" t="s">
        <v>1631</v>
      </c>
      <c r="B2370" s="342" t="s">
        <v>1632</v>
      </c>
      <c r="C2370" s="342" t="str">
        <f>("7640017469")</f>
        <v>7640017469</v>
      </c>
      <c r="D2370" s="340">
        <v>1000</v>
      </c>
      <c r="E2370" s="343"/>
    </row>
    <row r="2371" spans="1:5" s="335" customFormat="1" ht="60">
      <c r="A2371" s="342" t="s">
        <v>1633</v>
      </c>
      <c r="B2371" s="342" t="s">
        <v>1634</v>
      </c>
      <c r="C2371" s="342" t="str">
        <f>("7640017470")</f>
        <v>7640017470</v>
      </c>
      <c r="D2371" s="340">
        <v>1.3</v>
      </c>
      <c r="E2371" s="343"/>
    </row>
    <row r="2372" spans="1:5" s="335" customFormat="1" ht="12.75">
      <c r="A2372" s="403" t="s">
        <v>1635</v>
      </c>
      <c r="B2372" s="403"/>
      <c r="C2372" s="403"/>
      <c r="D2372" s="403"/>
      <c r="E2372" s="343"/>
    </row>
    <row r="2373" spans="1:5" s="335" customFormat="1" ht="60">
      <c r="A2373" s="342" t="s">
        <v>1636</v>
      </c>
      <c r="B2373" s="342" t="s">
        <v>1608</v>
      </c>
      <c r="C2373" s="342" t="str">
        <f>("7640017489")</f>
        <v>7640017489</v>
      </c>
      <c r="D2373" s="340">
        <v>2000</v>
      </c>
      <c r="E2373" s="343"/>
    </row>
    <row r="2374" spans="1:5" s="335" customFormat="1" ht="84">
      <c r="A2374" s="342" t="s">
        <v>1637</v>
      </c>
      <c r="B2374" s="342" t="s">
        <v>1608</v>
      </c>
      <c r="C2374" s="342" t="str">
        <f>("7640017490")</f>
        <v>7640017490</v>
      </c>
      <c r="D2374" s="340">
        <v>7000</v>
      </c>
      <c r="E2374" s="343"/>
    </row>
    <row r="2375" spans="1:5" s="335" customFormat="1" ht="12.75">
      <c r="A2375" s="403" t="s">
        <v>1638</v>
      </c>
      <c r="B2375" s="403"/>
      <c r="C2375" s="403"/>
      <c r="D2375" s="403"/>
      <c r="E2375" s="343"/>
    </row>
    <row r="2376" spans="1:5" s="335" customFormat="1" ht="48">
      <c r="A2376" s="342" t="s">
        <v>1639</v>
      </c>
      <c r="B2376" s="342" t="s">
        <v>1640</v>
      </c>
      <c r="C2376" s="342" t="s">
        <v>6130</v>
      </c>
      <c r="D2376" s="340">
        <v>1.3</v>
      </c>
      <c r="E2376" s="343"/>
    </row>
    <row r="2377" spans="1:5" s="335" customFormat="1" ht="60">
      <c r="A2377" s="342" t="s">
        <v>1641</v>
      </c>
      <c r="B2377" s="342" t="s">
        <v>1642</v>
      </c>
      <c r="C2377" s="342" t="s">
        <v>6131</v>
      </c>
      <c r="D2377" s="340">
        <v>1.3</v>
      </c>
      <c r="E2377" s="343"/>
    </row>
    <row r="2378" spans="1:5" s="335" customFormat="1" ht="12.75">
      <c r="A2378" s="403" t="s">
        <v>1643</v>
      </c>
      <c r="B2378" s="403"/>
      <c r="C2378" s="403"/>
      <c r="D2378" s="403"/>
      <c r="E2378" s="343"/>
    </row>
    <row r="2379" spans="1:5" s="335" customFormat="1" ht="48">
      <c r="A2379" s="342" t="s">
        <v>1644</v>
      </c>
      <c r="B2379" s="342" t="s">
        <v>1645</v>
      </c>
      <c r="C2379" s="342" t="str">
        <f>("7640017481")</f>
        <v>7640017481</v>
      </c>
      <c r="D2379" s="340">
        <v>8500</v>
      </c>
      <c r="E2379" s="343"/>
    </row>
    <row r="2380" spans="1:5" s="335" customFormat="1" ht="48">
      <c r="A2380" s="342" t="s">
        <v>1646</v>
      </c>
      <c r="B2380" s="342" t="s">
        <v>1647</v>
      </c>
      <c r="C2380" s="342" t="str">
        <f>("7640017482")</f>
        <v>7640017482</v>
      </c>
      <c r="D2380" s="340">
        <v>11500</v>
      </c>
      <c r="E2380" s="343"/>
    </row>
    <row r="2381" spans="1:5" s="335" customFormat="1" ht="12.75">
      <c r="A2381" s="403" t="s">
        <v>1648</v>
      </c>
      <c r="B2381" s="403"/>
      <c r="C2381" s="403"/>
      <c r="D2381" s="403"/>
      <c r="E2381" s="343"/>
    </row>
    <row r="2382" spans="1:5" s="335" customFormat="1" ht="24">
      <c r="A2382" s="342" t="s">
        <v>1649</v>
      </c>
      <c r="B2382" s="342" t="s">
        <v>1650</v>
      </c>
      <c r="C2382" s="342" t="s">
        <v>6132</v>
      </c>
      <c r="D2382" s="340">
        <v>1.3</v>
      </c>
      <c r="E2382" s="343"/>
    </row>
    <row r="2383" spans="1:5" s="335" customFormat="1" ht="12.75">
      <c r="A2383" s="403" t="s">
        <v>1651</v>
      </c>
      <c r="B2383" s="403"/>
      <c r="C2383" s="403"/>
      <c r="D2383" s="403"/>
      <c r="E2383" s="343"/>
    </row>
    <row r="2384" spans="1:5" s="335" customFormat="1" ht="36">
      <c r="A2384" s="342" t="s">
        <v>1652</v>
      </c>
      <c r="B2384" s="342" t="s">
        <v>1653</v>
      </c>
      <c r="C2384" s="342" t="str">
        <f>("7640017458")</f>
        <v>7640017458</v>
      </c>
      <c r="D2384" s="340">
        <v>3000</v>
      </c>
      <c r="E2384" s="343"/>
    </row>
    <row r="2385" spans="1:5" s="335" customFormat="1" ht="12.75">
      <c r="A2385" s="403" t="s">
        <v>1654</v>
      </c>
      <c r="B2385" s="403"/>
      <c r="C2385" s="403"/>
      <c r="D2385" s="403"/>
      <c r="E2385" s="343"/>
    </row>
    <row r="2386" spans="1:5" s="335" customFormat="1" ht="12.75">
      <c r="A2386" s="342" t="s">
        <v>1655</v>
      </c>
      <c r="B2386" s="342" t="s">
        <v>1656</v>
      </c>
      <c r="C2386" s="342" t="str">
        <f>("7640017452")</f>
        <v>7640017452</v>
      </c>
      <c r="D2386" s="340">
        <v>5000</v>
      </c>
      <c r="E2386" s="343"/>
    </row>
    <row r="2387" spans="1:5" s="335" customFormat="1" ht="24">
      <c r="A2387" s="342" t="s">
        <v>1657</v>
      </c>
      <c r="B2387" s="342" t="s">
        <v>1658</v>
      </c>
      <c r="C2387" s="342" t="str">
        <f>("7640017453")</f>
        <v>7640017453</v>
      </c>
      <c r="D2387" s="340">
        <v>4000</v>
      </c>
      <c r="E2387" s="343"/>
    </row>
    <row r="2388" spans="1:5" s="335" customFormat="1" ht="24">
      <c r="A2388" s="342" t="s">
        <v>1659</v>
      </c>
      <c r="B2388" s="342" t="s">
        <v>1660</v>
      </c>
      <c r="C2388" s="342" t="str">
        <f>("7640017454")</f>
        <v>7640017454</v>
      </c>
      <c r="D2388" s="340">
        <v>3000</v>
      </c>
      <c r="E2388" s="343"/>
    </row>
    <row r="2389" spans="1:5" s="335" customFormat="1" ht="24">
      <c r="A2389" s="342" t="s">
        <v>1661</v>
      </c>
      <c r="B2389" s="342" t="s">
        <v>1662</v>
      </c>
      <c r="C2389" s="342" t="str">
        <f>("7640017455")</f>
        <v>7640017455</v>
      </c>
      <c r="D2389" s="340">
        <v>800</v>
      </c>
      <c r="E2389" s="343"/>
    </row>
    <row r="2390" spans="1:5" s="335" customFormat="1" ht="12.75">
      <c r="A2390" s="344"/>
      <c r="B2390" s="343"/>
      <c r="C2390" s="343"/>
      <c r="D2390" s="395"/>
      <c r="E2390" s="343"/>
    </row>
    <row r="2391" spans="1:5" s="335" customFormat="1" ht="15" customHeight="1">
      <c r="A2391" s="345"/>
      <c r="B2391" s="404" t="s">
        <v>1663</v>
      </c>
      <c r="C2391" s="404"/>
      <c r="D2391" s="404"/>
      <c r="E2391" s="404"/>
    </row>
    <row r="2392" spans="1:5" s="335" customFormat="1" ht="25.5">
      <c r="A2392" s="346" t="s">
        <v>789</v>
      </c>
      <c r="B2392" s="346" t="s">
        <v>409</v>
      </c>
      <c r="C2392" s="346" t="s">
        <v>26</v>
      </c>
      <c r="D2392" s="337" t="s">
        <v>6425</v>
      </c>
      <c r="E2392" s="343"/>
    </row>
    <row r="2393" spans="1:5" s="335" customFormat="1" ht="24">
      <c r="A2393" s="342" t="s">
        <v>1664</v>
      </c>
      <c r="B2393" s="342"/>
      <c r="C2393" s="342" t="s">
        <v>6133</v>
      </c>
      <c r="D2393" s="340">
        <v>0</v>
      </c>
      <c r="E2393" s="343"/>
    </row>
    <row r="2394" spans="1:5" s="335" customFormat="1" ht="12.75">
      <c r="A2394" s="402" t="s">
        <v>1587</v>
      </c>
      <c r="B2394" s="402"/>
      <c r="C2394" s="402"/>
      <c r="D2394" s="402"/>
      <c r="E2394" s="343"/>
    </row>
    <row r="2395" spans="1:5" s="335" customFormat="1" ht="60">
      <c r="A2395" s="342" t="s">
        <v>1665</v>
      </c>
      <c r="B2395" s="342" t="s">
        <v>1666</v>
      </c>
      <c r="C2395" s="342" t="str">
        <f>("7640017491")</f>
        <v>7640017491</v>
      </c>
      <c r="D2395" s="340">
        <v>10000</v>
      </c>
      <c r="E2395" s="343"/>
    </row>
    <row r="2396" spans="1:5" s="335" customFormat="1" ht="12.75">
      <c r="A2396" s="403" t="s">
        <v>1605</v>
      </c>
      <c r="B2396" s="403"/>
      <c r="C2396" s="403"/>
      <c r="D2396" s="403"/>
      <c r="E2396" s="343"/>
    </row>
    <row r="2397" spans="1:5" s="335" customFormat="1" ht="36">
      <c r="A2397" s="342" t="s">
        <v>1606</v>
      </c>
      <c r="B2397" s="342" t="s">
        <v>1607</v>
      </c>
      <c r="C2397" s="342" t="str">
        <f>("7640017483")</f>
        <v>7640017483</v>
      </c>
      <c r="D2397" s="340">
        <v>1500</v>
      </c>
      <c r="E2397" s="343"/>
    </row>
    <row r="2398" spans="1:5" s="335" customFormat="1" ht="24">
      <c r="A2398" s="342" t="s">
        <v>1608</v>
      </c>
      <c r="B2398" s="342" t="s">
        <v>1608</v>
      </c>
      <c r="C2398" s="342" t="str">
        <f>("7640017484")</f>
        <v>7640017484</v>
      </c>
      <c r="D2398" s="340">
        <v>5000</v>
      </c>
      <c r="E2398" s="343"/>
    </row>
    <row r="2399" spans="1:5" s="335" customFormat="1" ht="48">
      <c r="A2399" s="342" t="s">
        <v>1609</v>
      </c>
      <c r="B2399" s="342" t="s">
        <v>1610</v>
      </c>
      <c r="C2399" s="342" t="str">
        <f>("7640017485")</f>
        <v>7640017485</v>
      </c>
      <c r="D2399" s="340">
        <v>2250</v>
      </c>
      <c r="E2399" s="343"/>
    </row>
    <row r="2400" spans="1:5" s="335" customFormat="1" ht="36">
      <c r="A2400" s="342" t="s">
        <v>1611</v>
      </c>
      <c r="B2400" s="342" t="s">
        <v>1612</v>
      </c>
      <c r="C2400" s="342" t="str">
        <f>("7640017486")</f>
        <v>7640017486</v>
      </c>
      <c r="D2400" s="340">
        <v>200</v>
      </c>
      <c r="E2400" s="343"/>
    </row>
    <row r="2401" spans="1:5" s="335" customFormat="1" ht="12.75">
      <c r="A2401" s="403" t="s">
        <v>1613</v>
      </c>
      <c r="B2401" s="403"/>
      <c r="C2401" s="403"/>
      <c r="D2401" s="403"/>
      <c r="E2401" s="343"/>
    </row>
    <row r="2402" spans="1:5" s="335" customFormat="1" ht="48">
      <c r="A2402" s="342" t="s">
        <v>1667</v>
      </c>
      <c r="B2402" s="342" t="s">
        <v>1668</v>
      </c>
      <c r="C2402" s="342" t="str">
        <f>("7640007561")</f>
        <v>7640007561</v>
      </c>
      <c r="D2402" s="340">
        <v>2000</v>
      </c>
      <c r="E2402" s="343"/>
    </row>
    <row r="2403" spans="1:5" s="335" customFormat="1" ht="48">
      <c r="A2403" s="342" t="s">
        <v>1669</v>
      </c>
      <c r="B2403" s="342" t="s">
        <v>1670</v>
      </c>
      <c r="C2403" s="342" t="str">
        <f>("7640007562")</f>
        <v>7640007562</v>
      </c>
      <c r="D2403" s="340">
        <v>800</v>
      </c>
      <c r="E2403" s="343"/>
    </row>
    <row r="2404" spans="1:5" s="335" customFormat="1" ht="12.75">
      <c r="A2404" s="403" t="s">
        <v>1638</v>
      </c>
      <c r="B2404" s="403"/>
      <c r="C2404" s="403"/>
      <c r="D2404" s="403"/>
      <c r="E2404" s="343"/>
    </row>
    <row r="2405" spans="1:5" s="335" customFormat="1" ht="48">
      <c r="A2405" s="342" t="s">
        <v>1639</v>
      </c>
      <c r="B2405" s="342" t="s">
        <v>1640</v>
      </c>
      <c r="C2405" s="342" t="s">
        <v>6134</v>
      </c>
      <c r="D2405" s="340">
        <v>1.3</v>
      </c>
      <c r="E2405" s="343"/>
    </row>
    <row r="2406" spans="1:5" s="335" customFormat="1" ht="60">
      <c r="A2406" s="342" t="s">
        <v>1641</v>
      </c>
      <c r="B2406" s="342" t="s">
        <v>1642</v>
      </c>
      <c r="C2406" s="342" t="s">
        <v>6135</v>
      </c>
      <c r="D2406" s="340">
        <v>1.3</v>
      </c>
      <c r="E2406" s="343"/>
    </row>
    <row r="2407" spans="1:5" s="335" customFormat="1" ht="12.75">
      <c r="A2407" s="403" t="s">
        <v>1643</v>
      </c>
      <c r="B2407" s="403"/>
      <c r="C2407" s="403"/>
      <c r="D2407" s="403"/>
      <c r="E2407" s="343"/>
    </row>
    <row r="2408" spans="1:5" s="335" customFormat="1" ht="36">
      <c r="A2408" s="342" t="s">
        <v>1671</v>
      </c>
      <c r="B2408" s="342" t="s">
        <v>1672</v>
      </c>
      <c r="C2408" s="342" t="str">
        <f>("7640017496")</f>
        <v>7640017496</v>
      </c>
      <c r="D2408" s="340">
        <v>4000</v>
      </c>
      <c r="E2408" s="343"/>
    </row>
    <row r="2409" spans="1:5" s="335" customFormat="1" ht="12.75">
      <c r="A2409" s="403" t="s">
        <v>1648</v>
      </c>
      <c r="B2409" s="403"/>
      <c r="C2409" s="403"/>
      <c r="D2409" s="403"/>
      <c r="E2409" s="343"/>
    </row>
    <row r="2410" spans="1:5" s="335" customFormat="1" ht="60">
      <c r="A2410" s="342" t="s">
        <v>1673</v>
      </c>
      <c r="B2410" s="342" t="s">
        <v>1674</v>
      </c>
      <c r="C2410" s="342" t="str">
        <f>("7640017492")</f>
        <v>7640017492</v>
      </c>
      <c r="D2410" s="340">
        <v>4000</v>
      </c>
      <c r="E2410" s="343"/>
    </row>
    <row r="2411" spans="1:5" s="335" customFormat="1" ht="12.75">
      <c r="A2411" s="403" t="s">
        <v>1675</v>
      </c>
      <c r="B2411" s="403"/>
      <c r="C2411" s="403"/>
      <c r="D2411" s="403"/>
      <c r="E2411" s="343"/>
    </row>
    <row r="2412" spans="1:5" s="335" customFormat="1" ht="48">
      <c r="A2412" s="342" t="s">
        <v>1676</v>
      </c>
      <c r="B2412" s="342" t="s">
        <v>1677</v>
      </c>
      <c r="C2412" s="342" t="str">
        <f>("7640017495")</f>
        <v>7640017495</v>
      </c>
      <c r="D2412" s="340">
        <v>0</v>
      </c>
      <c r="E2412" s="343"/>
    </row>
    <row r="2413" spans="1:5" s="335" customFormat="1" ht="12.75">
      <c r="A2413" s="344"/>
      <c r="B2413" s="343"/>
      <c r="C2413" s="343"/>
      <c r="D2413" s="395"/>
      <c r="E2413" s="343"/>
    </row>
    <row r="2414" spans="1:5" s="335" customFormat="1" ht="15" customHeight="1">
      <c r="A2414" s="345"/>
      <c r="B2414" s="404" t="s">
        <v>1678</v>
      </c>
      <c r="C2414" s="404"/>
      <c r="D2414" s="404"/>
      <c r="E2414" s="404"/>
    </row>
    <row r="2415" spans="1:5" s="335" customFormat="1" ht="25.5">
      <c r="A2415" s="346" t="s">
        <v>789</v>
      </c>
      <c r="B2415" s="346" t="s">
        <v>409</v>
      </c>
      <c r="C2415" s="346" t="s">
        <v>26</v>
      </c>
      <c r="D2415" s="337" t="s">
        <v>6425</v>
      </c>
      <c r="E2415" s="343"/>
    </row>
    <row r="2416" spans="1:5" s="335" customFormat="1" ht="24">
      <c r="A2416" s="342" t="s">
        <v>1679</v>
      </c>
      <c r="B2416" s="342"/>
      <c r="C2416" s="342" t="s">
        <v>6136</v>
      </c>
      <c r="D2416" s="340">
        <v>0</v>
      </c>
      <c r="E2416" s="343"/>
    </row>
    <row r="2417" spans="1:5" s="335" customFormat="1" ht="12.75">
      <c r="A2417" s="402" t="s">
        <v>1587</v>
      </c>
      <c r="B2417" s="402"/>
      <c r="C2417" s="402"/>
      <c r="D2417" s="402"/>
      <c r="E2417" s="343"/>
    </row>
    <row r="2418" spans="1:5" s="335" customFormat="1" ht="84">
      <c r="A2418" s="342" t="s">
        <v>1680</v>
      </c>
      <c r="B2418" s="342" t="s">
        <v>1681</v>
      </c>
      <c r="C2418" s="342" t="str">
        <f>("7640017411")</f>
        <v>7640017411</v>
      </c>
      <c r="D2418" s="340">
        <v>25000</v>
      </c>
      <c r="E2418" s="343"/>
    </row>
    <row r="2419" spans="1:5" s="335" customFormat="1" ht="48">
      <c r="A2419" s="342" t="s">
        <v>1682</v>
      </c>
      <c r="B2419" s="342" t="s">
        <v>1683</v>
      </c>
      <c r="C2419" s="342" t="s">
        <v>6137</v>
      </c>
      <c r="D2419" s="340">
        <v>10000</v>
      </c>
      <c r="E2419" s="343"/>
    </row>
    <row r="2420" spans="1:5" s="335" customFormat="1" ht="48">
      <c r="A2420" s="342" t="s">
        <v>1684</v>
      </c>
      <c r="B2420" s="342" t="s">
        <v>1685</v>
      </c>
      <c r="C2420" s="342" t="s">
        <v>6138</v>
      </c>
      <c r="D2420" s="340">
        <v>39000</v>
      </c>
      <c r="E2420" s="343"/>
    </row>
    <row r="2421" spans="1:5" s="335" customFormat="1" ht="48">
      <c r="A2421" s="342" t="s">
        <v>1686</v>
      </c>
      <c r="B2421" s="342" t="s">
        <v>1685</v>
      </c>
      <c r="C2421" s="342" t="s">
        <v>6139</v>
      </c>
      <c r="D2421" s="340">
        <v>49000</v>
      </c>
      <c r="E2421" s="343"/>
    </row>
    <row r="2422" spans="1:5" s="335" customFormat="1" ht="48">
      <c r="A2422" s="342" t="s">
        <v>1687</v>
      </c>
      <c r="B2422" s="342" t="s">
        <v>1685</v>
      </c>
      <c r="C2422" s="342" t="s">
        <v>6140</v>
      </c>
      <c r="D2422" s="340">
        <v>55000</v>
      </c>
      <c r="E2422" s="343"/>
    </row>
    <row r="2423" spans="1:5" s="335" customFormat="1" ht="48">
      <c r="A2423" s="342" t="s">
        <v>1688</v>
      </c>
      <c r="B2423" s="342" t="s">
        <v>1685</v>
      </c>
      <c r="C2423" s="342" t="s">
        <v>6141</v>
      </c>
      <c r="D2423" s="340">
        <v>60000</v>
      </c>
      <c r="E2423" s="343"/>
    </row>
    <row r="2424" spans="1:5" s="335" customFormat="1" ht="60">
      <c r="A2424" s="342" t="s">
        <v>1689</v>
      </c>
      <c r="B2424" s="342" t="s">
        <v>1690</v>
      </c>
      <c r="C2424" s="342" t="s">
        <v>6142</v>
      </c>
      <c r="D2424" s="340">
        <v>50000</v>
      </c>
      <c r="E2424" s="343"/>
    </row>
    <row r="2425" spans="1:5" s="335" customFormat="1" ht="60">
      <c r="A2425" s="342" t="s">
        <v>1691</v>
      </c>
      <c r="B2425" s="342" t="s">
        <v>1690</v>
      </c>
      <c r="C2425" s="342" t="s">
        <v>6143</v>
      </c>
      <c r="D2425" s="340">
        <v>65000</v>
      </c>
      <c r="E2425" s="343"/>
    </row>
    <row r="2426" spans="1:5" s="335" customFormat="1" ht="60">
      <c r="A2426" s="342" t="s">
        <v>1692</v>
      </c>
      <c r="B2426" s="342" t="s">
        <v>1690</v>
      </c>
      <c r="C2426" s="342" t="s">
        <v>6144</v>
      </c>
      <c r="D2426" s="340">
        <v>73500</v>
      </c>
      <c r="E2426" s="343"/>
    </row>
    <row r="2427" spans="1:5" s="335" customFormat="1" ht="60">
      <c r="A2427" s="342" t="s">
        <v>1693</v>
      </c>
      <c r="B2427" s="342" t="s">
        <v>1690</v>
      </c>
      <c r="C2427" s="342" t="s">
        <v>6145</v>
      </c>
      <c r="D2427" s="340">
        <v>82000</v>
      </c>
      <c r="E2427" s="343"/>
    </row>
    <row r="2428" spans="1:5" s="335" customFormat="1" ht="60">
      <c r="A2428" s="342" t="s">
        <v>1694</v>
      </c>
      <c r="B2428" s="342" t="s">
        <v>1695</v>
      </c>
      <c r="C2428" s="342" t="s">
        <v>6146</v>
      </c>
      <c r="D2428" s="340">
        <v>60000</v>
      </c>
      <c r="E2428" s="343"/>
    </row>
    <row r="2429" spans="1:5" s="335" customFormat="1" ht="60">
      <c r="A2429" s="342" t="s">
        <v>1696</v>
      </c>
      <c r="B2429" s="342" t="s">
        <v>1695</v>
      </c>
      <c r="C2429" s="342" t="s">
        <v>6147</v>
      </c>
      <c r="D2429" s="340">
        <v>79000</v>
      </c>
      <c r="E2429" s="343"/>
    </row>
    <row r="2430" spans="1:5" s="335" customFormat="1" ht="60">
      <c r="A2430" s="342" t="s">
        <v>1697</v>
      </c>
      <c r="B2430" s="342" t="s">
        <v>1695</v>
      </c>
      <c r="C2430" s="342" t="s">
        <v>6148</v>
      </c>
      <c r="D2430" s="340">
        <v>85000</v>
      </c>
      <c r="E2430" s="343"/>
    </row>
    <row r="2431" spans="1:5" s="335" customFormat="1" ht="60">
      <c r="A2431" s="342" t="s">
        <v>1698</v>
      </c>
      <c r="B2431" s="342" t="s">
        <v>1695</v>
      </c>
      <c r="C2431" s="342" t="s">
        <v>6149</v>
      </c>
      <c r="D2431" s="340">
        <v>95000</v>
      </c>
      <c r="E2431" s="343"/>
    </row>
    <row r="2432" spans="1:5" s="335" customFormat="1" ht="12.75">
      <c r="A2432" s="403" t="s">
        <v>1605</v>
      </c>
      <c r="B2432" s="403"/>
      <c r="C2432" s="403"/>
      <c r="D2432" s="403"/>
      <c r="E2432" s="343"/>
    </row>
    <row r="2433" spans="1:5" s="335" customFormat="1" ht="36">
      <c r="A2433" s="342" t="s">
        <v>1606</v>
      </c>
      <c r="B2433" s="342" t="s">
        <v>1607</v>
      </c>
      <c r="C2433" s="342" t="str">
        <f>("7640017483")</f>
        <v>7640017483</v>
      </c>
      <c r="D2433" s="340">
        <v>1500</v>
      </c>
      <c r="E2433" s="343"/>
    </row>
    <row r="2434" spans="1:5" s="335" customFormat="1" ht="24">
      <c r="A2434" s="342" t="s">
        <v>1608</v>
      </c>
      <c r="B2434" s="342" t="s">
        <v>1608</v>
      </c>
      <c r="C2434" s="342" t="str">
        <f>("7640017484")</f>
        <v>7640017484</v>
      </c>
      <c r="D2434" s="340">
        <v>5000</v>
      </c>
      <c r="E2434" s="343"/>
    </row>
    <row r="2435" spans="1:5" s="335" customFormat="1" ht="48">
      <c r="A2435" s="342" t="s">
        <v>1609</v>
      </c>
      <c r="B2435" s="342" t="s">
        <v>1610</v>
      </c>
      <c r="C2435" s="342" t="str">
        <f>("7640017485")</f>
        <v>7640017485</v>
      </c>
      <c r="D2435" s="340">
        <v>2250</v>
      </c>
      <c r="E2435" s="343"/>
    </row>
    <row r="2436" spans="1:5" s="335" customFormat="1" ht="36">
      <c r="A2436" s="342" t="s">
        <v>1611</v>
      </c>
      <c r="B2436" s="342" t="s">
        <v>1612</v>
      </c>
      <c r="C2436" s="342" t="str">
        <f>("7640017486")</f>
        <v>7640017486</v>
      </c>
      <c r="D2436" s="340">
        <v>200</v>
      </c>
      <c r="E2436" s="343"/>
    </row>
    <row r="2437" spans="1:5" s="335" customFormat="1" ht="12.75">
      <c r="A2437" s="403" t="s">
        <v>1613</v>
      </c>
      <c r="B2437" s="403"/>
      <c r="C2437" s="403"/>
      <c r="D2437" s="403"/>
      <c r="E2437" s="343"/>
    </row>
    <row r="2438" spans="1:5" s="335" customFormat="1" ht="36">
      <c r="A2438" s="342" t="s">
        <v>1699</v>
      </c>
      <c r="B2438" s="342" t="s">
        <v>1699</v>
      </c>
      <c r="C2438" s="342" t="str">
        <f>("7640017435")</f>
        <v>7640017435</v>
      </c>
      <c r="D2438" s="340">
        <v>5000</v>
      </c>
      <c r="E2438" s="343"/>
    </row>
    <row r="2439" spans="1:5" s="335" customFormat="1" ht="72">
      <c r="A2439" s="342" t="s">
        <v>1614</v>
      </c>
      <c r="B2439" s="342" t="s">
        <v>1614</v>
      </c>
      <c r="C2439" s="342" t="str">
        <f>("7640017436")</f>
        <v>7640017436</v>
      </c>
      <c r="D2439" s="340">
        <v>3500</v>
      </c>
      <c r="E2439" s="343"/>
    </row>
    <row r="2440" spans="1:5" s="335" customFormat="1" ht="24">
      <c r="A2440" s="342" t="s">
        <v>1700</v>
      </c>
      <c r="B2440" s="342" t="s">
        <v>1700</v>
      </c>
      <c r="C2440" s="342" t="str">
        <f>("7640017437")</f>
        <v>7640017437</v>
      </c>
      <c r="D2440" s="340">
        <v>3600</v>
      </c>
      <c r="E2440" s="343"/>
    </row>
    <row r="2441" spans="1:5" s="335" customFormat="1" ht="24">
      <c r="A2441" s="342" t="s">
        <v>1701</v>
      </c>
      <c r="B2441" s="342" t="s">
        <v>1701</v>
      </c>
      <c r="C2441" s="342" t="str">
        <f>("7640017438")</f>
        <v>7640017438</v>
      </c>
      <c r="D2441" s="340">
        <v>2000</v>
      </c>
      <c r="E2441" s="343"/>
    </row>
    <row r="2442" spans="1:5" s="335" customFormat="1" ht="36">
      <c r="A2442" s="342" t="s">
        <v>1702</v>
      </c>
      <c r="B2442" s="342" t="s">
        <v>1702</v>
      </c>
      <c r="C2442" s="342" t="str">
        <f>("7640017439")</f>
        <v>7640017439</v>
      </c>
      <c r="D2442" s="340">
        <v>600</v>
      </c>
      <c r="E2442" s="343"/>
    </row>
    <row r="2443" spans="1:5" s="335" customFormat="1" ht="48">
      <c r="A2443" s="342" t="s">
        <v>1703</v>
      </c>
      <c r="B2443" s="342" t="s">
        <v>1703</v>
      </c>
      <c r="C2443" s="342" t="str">
        <f>("7640017440")</f>
        <v>7640017440</v>
      </c>
      <c r="D2443" s="340">
        <v>160</v>
      </c>
      <c r="E2443" s="343"/>
    </row>
    <row r="2444" spans="1:5" s="335" customFormat="1" ht="48">
      <c r="A2444" s="342" t="s">
        <v>1704</v>
      </c>
      <c r="B2444" s="342" t="s">
        <v>1705</v>
      </c>
      <c r="C2444" s="342" t="str">
        <f>("7640017441")</f>
        <v>7640017441</v>
      </c>
      <c r="D2444" s="340">
        <v>800</v>
      </c>
      <c r="E2444" s="343"/>
    </row>
    <row r="2445" spans="1:5" s="335" customFormat="1" ht="48">
      <c r="A2445" s="342" t="s">
        <v>1706</v>
      </c>
      <c r="B2445" s="342" t="s">
        <v>1707</v>
      </c>
      <c r="C2445" s="342" t="str">
        <f>("7640017442")</f>
        <v>7640017442</v>
      </c>
      <c r="D2445" s="340">
        <v>800</v>
      </c>
      <c r="E2445" s="343"/>
    </row>
    <row r="2446" spans="1:5" s="335" customFormat="1" ht="48">
      <c r="A2446" s="342" t="s">
        <v>1708</v>
      </c>
      <c r="B2446" s="342" t="s">
        <v>1709</v>
      </c>
      <c r="C2446" s="342" t="s">
        <v>6150</v>
      </c>
      <c r="D2446" s="340">
        <v>1.3</v>
      </c>
      <c r="E2446" s="343"/>
    </row>
    <row r="2447" spans="1:5" s="335" customFormat="1" ht="48">
      <c r="A2447" s="342" t="s">
        <v>1710</v>
      </c>
      <c r="B2447" s="342" t="s">
        <v>1711</v>
      </c>
      <c r="C2447" s="342" t="str">
        <f>("7640017444")</f>
        <v>7640017444</v>
      </c>
      <c r="D2447" s="340">
        <v>1400</v>
      </c>
      <c r="E2447" s="343"/>
    </row>
    <row r="2448" spans="1:5" s="335" customFormat="1" ht="48">
      <c r="A2448" s="342" t="s">
        <v>1712</v>
      </c>
      <c r="B2448" s="342" t="s">
        <v>1713</v>
      </c>
      <c r="C2448" s="342" t="str">
        <f>("7640017445")</f>
        <v>7640017445</v>
      </c>
      <c r="D2448" s="340">
        <v>1500</v>
      </c>
      <c r="E2448" s="343"/>
    </row>
    <row r="2449" spans="1:5" s="335" customFormat="1" ht="48">
      <c r="A2449" s="342" t="s">
        <v>1714</v>
      </c>
      <c r="B2449" s="342" t="s">
        <v>1715</v>
      </c>
      <c r="C2449" s="342" t="s">
        <v>6151</v>
      </c>
      <c r="D2449" s="340">
        <v>1.3</v>
      </c>
      <c r="E2449" s="343"/>
    </row>
    <row r="2450" spans="1:5" s="335" customFormat="1" ht="48">
      <c r="A2450" s="342" t="s">
        <v>1716</v>
      </c>
      <c r="B2450" s="342" t="s">
        <v>1716</v>
      </c>
      <c r="C2450" s="342" t="str">
        <f>("7640017447")</f>
        <v>7640017447</v>
      </c>
      <c r="D2450" s="340">
        <v>6500</v>
      </c>
      <c r="E2450" s="343"/>
    </row>
    <row r="2451" spans="1:5" s="335" customFormat="1" ht="60">
      <c r="A2451" s="342" t="s">
        <v>1717</v>
      </c>
      <c r="B2451" s="342" t="s">
        <v>1717</v>
      </c>
      <c r="C2451" s="342" t="str">
        <f>("7640017448")</f>
        <v>7640017448</v>
      </c>
      <c r="D2451" s="340">
        <v>8333</v>
      </c>
      <c r="E2451" s="343"/>
    </row>
    <row r="2452" spans="1:5" s="335" customFormat="1" ht="48">
      <c r="A2452" s="342" t="s">
        <v>1718</v>
      </c>
      <c r="B2452" s="342" t="s">
        <v>1719</v>
      </c>
      <c r="C2452" s="342" t="str">
        <f>("7640017449")</f>
        <v>7640017449</v>
      </c>
      <c r="D2452" s="340">
        <v>10000</v>
      </c>
      <c r="E2452" s="343"/>
    </row>
    <row r="2453" spans="1:5" s="335" customFormat="1" ht="12.75">
      <c r="A2453" s="403" t="s">
        <v>1635</v>
      </c>
      <c r="B2453" s="403"/>
      <c r="C2453" s="403"/>
      <c r="D2453" s="403"/>
      <c r="E2453" s="343"/>
    </row>
    <row r="2454" spans="1:5" s="335" customFormat="1" ht="60">
      <c r="A2454" s="342" t="s">
        <v>1636</v>
      </c>
      <c r="B2454" s="342" t="s">
        <v>1608</v>
      </c>
      <c r="C2454" s="342" t="str">
        <f>("7640017489")</f>
        <v>7640017489</v>
      </c>
      <c r="D2454" s="340">
        <v>2000</v>
      </c>
      <c r="E2454" s="343"/>
    </row>
    <row r="2455" spans="1:5" s="335" customFormat="1" ht="84">
      <c r="A2455" s="342" t="s">
        <v>1637</v>
      </c>
      <c r="B2455" s="342" t="s">
        <v>1608</v>
      </c>
      <c r="C2455" s="342" t="str">
        <f>("7640017490")</f>
        <v>7640017490</v>
      </c>
      <c r="D2455" s="340">
        <v>7000</v>
      </c>
      <c r="E2455" s="343"/>
    </row>
    <row r="2456" spans="1:5" s="335" customFormat="1" ht="12.75">
      <c r="A2456" s="403" t="s">
        <v>1638</v>
      </c>
      <c r="B2456" s="403"/>
      <c r="C2456" s="403"/>
      <c r="D2456" s="403"/>
      <c r="E2456" s="343"/>
    </row>
    <row r="2457" spans="1:5" s="335" customFormat="1" ht="48">
      <c r="A2457" s="342" t="s">
        <v>1639</v>
      </c>
      <c r="B2457" s="342" t="s">
        <v>1640</v>
      </c>
      <c r="C2457" s="342" t="s">
        <v>6152</v>
      </c>
      <c r="D2457" s="340">
        <v>1.3</v>
      </c>
      <c r="E2457" s="343"/>
    </row>
    <row r="2458" spans="1:5" s="335" customFormat="1" ht="60">
      <c r="A2458" s="342" t="s">
        <v>1641</v>
      </c>
      <c r="B2458" s="342" t="s">
        <v>1642</v>
      </c>
      <c r="C2458" s="342" t="s">
        <v>6153</v>
      </c>
      <c r="D2458" s="340">
        <v>1.3</v>
      </c>
      <c r="E2458" s="343"/>
    </row>
    <row r="2459" spans="1:5" s="335" customFormat="1" ht="12.75">
      <c r="A2459" s="403" t="s">
        <v>1720</v>
      </c>
      <c r="B2459" s="403"/>
      <c r="C2459" s="403"/>
      <c r="D2459" s="403"/>
      <c r="E2459" s="343"/>
    </row>
    <row r="2460" spans="1:5" s="335" customFormat="1" ht="24">
      <c r="A2460" s="342" t="s">
        <v>1721</v>
      </c>
      <c r="B2460" s="342" t="s">
        <v>1722</v>
      </c>
      <c r="C2460" s="342" t="str">
        <f>("7640017417")</f>
        <v>7640017417</v>
      </c>
      <c r="D2460" s="340">
        <v>4000</v>
      </c>
      <c r="E2460" s="343"/>
    </row>
    <row r="2461" spans="1:5" s="335" customFormat="1" ht="12.75">
      <c r="A2461" s="403" t="s">
        <v>1643</v>
      </c>
      <c r="B2461" s="403"/>
      <c r="C2461" s="403"/>
      <c r="D2461" s="403"/>
      <c r="E2461" s="343"/>
    </row>
    <row r="2462" spans="1:5" s="335" customFormat="1" ht="48">
      <c r="A2462" s="342" t="s">
        <v>1644</v>
      </c>
      <c r="B2462" s="342" t="s">
        <v>1645</v>
      </c>
      <c r="C2462" s="342" t="str">
        <f>("7640017481")</f>
        <v>7640017481</v>
      </c>
      <c r="D2462" s="340">
        <v>8500</v>
      </c>
      <c r="E2462" s="343"/>
    </row>
    <row r="2463" spans="1:5" s="335" customFormat="1" ht="48">
      <c r="A2463" s="342" t="s">
        <v>1646</v>
      </c>
      <c r="B2463" s="342" t="s">
        <v>1647</v>
      </c>
      <c r="C2463" s="342" t="str">
        <f>("7640017482")</f>
        <v>7640017482</v>
      </c>
      <c r="D2463" s="340">
        <v>11500</v>
      </c>
      <c r="E2463" s="343"/>
    </row>
    <row r="2464" spans="1:5" s="335" customFormat="1" ht="12.75">
      <c r="A2464" s="403" t="s">
        <v>1723</v>
      </c>
      <c r="B2464" s="403"/>
      <c r="C2464" s="403"/>
      <c r="D2464" s="403"/>
      <c r="E2464" s="343"/>
    </row>
    <row r="2465" spans="1:5" s="335" customFormat="1" ht="36">
      <c r="A2465" s="342" t="s">
        <v>1724</v>
      </c>
      <c r="B2465" s="342" t="s">
        <v>1725</v>
      </c>
      <c r="C2465" s="342" t="str">
        <f>("7640007601")</f>
        <v>7640007601</v>
      </c>
      <c r="D2465" s="340">
        <v>3500</v>
      </c>
      <c r="E2465" s="343"/>
    </row>
    <row r="2466" spans="1:5" s="335" customFormat="1" ht="12.75">
      <c r="A2466" s="403" t="s">
        <v>1648</v>
      </c>
      <c r="B2466" s="403"/>
      <c r="C2466" s="403"/>
      <c r="D2466" s="403"/>
      <c r="E2466" s="343"/>
    </row>
    <row r="2467" spans="1:5" s="335" customFormat="1" ht="60">
      <c r="A2467" s="342" t="s">
        <v>1726</v>
      </c>
      <c r="B2467" s="342" t="s">
        <v>1674</v>
      </c>
      <c r="C2467" s="342" t="str">
        <f>("7640017418")</f>
        <v>7640017418</v>
      </c>
      <c r="D2467" s="340">
        <v>4000</v>
      </c>
      <c r="E2467" s="343"/>
    </row>
    <row r="2468" spans="1:5" s="335" customFormat="1" ht="24">
      <c r="A2468" s="342" t="s">
        <v>1727</v>
      </c>
      <c r="B2468" s="342" t="s">
        <v>1650</v>
      </c>
      <c r="C2468" s="342" t="s">
        <v>6154</v>
      </c>
      <c r="D2468" s="340">
        <v>1.3</v>
      </c>
      <c r="E2468" s="343"/>
    </row>
    <row r="2469" spans="1:5" s="335" customFormat="1" ht="24">
      <c r="A2469" s="342" t="s">
        <v>1728</v>
      </c>
      <c r="B2469" s="342" t="s">
        <v>1729</v>
      </c>
      <c r="C2469" s="342" t="s">
        <v>6155</v>
      </c>
      <c r="D2469" s="340">
        <v>7000</v>
      </c>
      <c r="E2469" s="343"/>
    </row>
    <row r="2470" spans="1:5" s="335" customFormat="1" ht="12.75">
      <c r="A2470" s="403" t="s">
        <v>1651</v>
      </c>
      <c r="B2470" s="403"/>
      <c r="C2470" s="403"/>
      <c r="D2470" s="403"/>
      <c r="E2470" s="343"/>
    </row>
    <row r="2471" spans="1:5" s="335" customFormat="1" ht="36">
      <c r="A2471" s="342" t="s">
        <v>1730</v>
      </c>
      <c r="B2471" s="342" t="s">
        <v>1730</v>
      </c>
      <c r="C2471" s="342" t="str">
        <f>("7640017421")</f>
        <v>7640017421</v>
      </c>
      <c r="D2471" s="340">
        <v>7500</v>
      </c>
      <c r="E2471" s="343"/>
    </row>
    <row r="2472" spans="1:5" s="335" customFormat="1" ht="36">
      <c r="A2472" s="342" t="s">
        <v>1731</v>
      </c>
      <c r="B2472" s="342" t="s">
        <v>1731</v>
      </c>
      <c r="C2472" s="342" t="str">
        <f>("7640017422")</f>
        <v>7640017422</v>
      </c>
      <c r="D2472" s="340">
        <v>1.3</v>
      </c>
      <c r="E2472" s="343"/>
    </row>
    <row r="2473" spans="1:5" s="335" customFormat="1" ht="12.75">
      <c r="A2473" s="403" t="s">
        <v>1732</v>
      </c>
      <c r="B2473" s="403"/>
      <c r="C2473" s="403"/>
      <c r="D2473" s="403"/>
      <c r="E2473" s="343"/>
    </row>
    <row r="2474" spans="1:5" s="335" customFormat="1" ht="36">
      <c r="A2474" s="342" t="s">
        <v>1733</v>
      </c>
      <c r="B2474" s="342" t="s">
        <v>1734</v>
      </c>
      <c r="C2474" s="342" t="str">
        <f>("7640017450")</f>
        <v>7640017450</v>
      </c>
      <c r="D2474" s="340">
        <v>0</v>
      </c>
      <c r="E2474" s="343"/>
    </row>
    <row r="2475" spans="1:5" s="335" customFormat="1" ht="12.75">
      <c r="A2475" s="403" t="s">
        <v>1654</v>
      </c>
      <c r="B2475" s="403"/>
      <c r="C2475" s="403"/>
      <c r="D2475" s="403"/>
      <c r="E2475" s="343"/>
    </row>
    <row r="2476" spans="1:5" s="335" customFormat="1" ht="14.25">
      <c r="A2476" s="342" t="s">
        <v>1735</v>
      </c>
      <c r="B2476" s="342" t="s">
        <v>1736</v>
      </c>
      <c r="C2476" s="342" t="s">
        <v>6156</v>
      </c>
      <c r="D2476" s="340">
        <v>18000</v>
      </c>
      <c r="E2476" s="343"/>
    </row>
    <row r="2477" spans="1:5" s="335" customFormat="1" ht="14.25">
      <c r="A2477" s="342" t="s">
        <v>1737</v>
      </c>
      <c r="B2477" s="342" t="s">
        <v>1738</v>
      </c>
      <c r="C2477" s="342" t="s">
        <v>6157</v>
      </c>
      <c r="D2477" s="340">
        <v>10000</v>
      </c>
      <c r="E2477" s="343"/>
    </row>
    <row r="2478" spans="1:5" s="335" customFormat="1" ht="36">
      <c r="A2478" s="342" t="s">
        <v>1739</v>
      </c>
      <c r="B2478" s="342" t="s">
        <v>1739</v>
      </c>
      <c r="C2478" s="342" t="str">
        <f>("7640017415")</f>
        <v>7640017415</v>
      </c>
      <c r="D2478" s="340">
        <v>3000</v>
      </c>
      <c r="E2478" s="343"/>
    </row>
    <row r="2479" spans="1:5" s="335" customFormat="1" ht="24">
      <c r="A2479" s="342" t="s">
        <v>1740</v>
      </c>
      <c r="B2479" s="342" t="s">
        <v>1740</v>
      </c>
      <c r="C2479" s="342" t="str">
        <f>("7640017416")</f>
        <v>7640017416</v>
      </c>
      <c r="D2479" s="340">
        <v>800</v>
      </c>
      <c r="E2479" s="343"/>
    </row>
    <row r="2480" spans="1:5" s="335" customFormat="1" ht="12.75">
      <c r="A2480" s="344"/>
      <c r="B2480" s="343"/>
      <c r="C2480" s="343"/>
      <c r="D2480" s="395"/>
      <c r="E2480" s="343"/>
    </row>
    <row r="2481" spans="1:5" s="335" customFormat="1" ht="15" customHeight="1">
      <c r="A2481" s="345"/>
      <c r="B2481" s="404" t="s">
        <v>1741</v>
      </c>
      <c r="C2481" s="404"/>
      <c r="D2481" s="404"/>
      <c r="E2481" s="404"/>
    </row>
    <row r="2482" spans="1:5" s="335" customFormat="1" ht="25.5">
      <c r="A2482" s="346" t="s">
        <v>789</v>
      </c>
      <c r="B2482" s="346" t="s">
        <v>409</v>
      </c>
      <c r="C2482" s="346" t="s">
        <v>26</v>
      </c>
      <c r="D2482" s="337" t="s">
        <v>6425</v>
      </c>
      <c r="E2482" s="343"/>
    </row>
    <row r="2483" spans="1:5" s="335" customFormat="1" ht="26.25">
      <c r="A2483" s="342" t="s">
        <v>1742</v>
      </c>
      <c r="B2483" s="342"/>
      <c r="C2483" s="342" t="s">
        <v>6158</v>
      </c>
      <c r="D2483" s="340">
        <v>0</v>
      </c>
      <c r="E2483" s="343"/>
    </row>
    <row r="2484" spans="1:5" s="335" customFormat="1" ht="12.75">
      <c r="A2484" s="403" t="s">
        <v>792</v>
      </c>
      <c r="B2484" s="403"/>
      <c r="C2484" s="403"/>
      <c r="D2484" s="403"/>
      <c r="E2484" s="343"/>
    </row>
    <row r="2485" spans="1:5" s="335" customFormat="1" ht="24">
      <c r="A2485" s="342" t="s">
        <v>1743</v>
      </c>
      <c r="B2485" s="342" t="s">
        <v>1742</v>
      </c>
      <c r="C2485" s="342" t="s">
        <v>6159</v>
      </c>
      <c r="D2485" s="340">
        <v>300</v>
      </c>
      <c r="E2485" s="343"/>
    </row>
    <row r="2486" spans="1:5" s="335" customFormat="1" ht="12.75">
      <c r="A2486" s="403" t="s">
        <v>803</v>
      </c>
      <c r="B2486" s="403"/>
      <c r="C2486" s="403"/>
      <c r="D2486" s="403"/>
      <c r="E2486" s="343"/>
    </row>
    <row r="2487" spans="1:5" s="335" customFormat="1" ht="12.75">
      <c r="A2487" s="342" t="s">
        <v>1744</v>
      </c>
      <c r="B2487" s="342" t="s">
        <v>1745</v>
      </c>
      <c r="C2487" s="342" t="str">
        <f>("7640016314")</f>
        <v>7640016314</v>
      </c>
      <c r="D2487" s="340">
        <v>60</v>
      </c>
      <c r="E2487" s="343"/>
    </row>
    <row r="2488" spans="1:5" s="335" customFormat="1" ht="12.75">
      <c r="A2488" s="342" t="s">
        <v>1746</v>
      </c>
      <c r="B2488" s="342" t="s">
        <v>1747</v>
      </c>
      <c r="C2488" s="342" t="str">
        <f>("7640016321")</f>
        <v>7640016321</v>
      </c>
      <c r="D2488" s="340">
        <v>171</v>
      </c>
      <c r="E2488" s="343"/>
    </row>
    <row r="2489" spans="1:5" s="335" customFormat="1" ht="12.75">
      <c r="A2489" s="342" t="s">
        <v>1748</v>
      </c>
      <c r="B2489" s="342" t="s">
        <v>1749</v>
      </c>
      <c r="C2489" s="342" t="str">
        <f>("7640016328")</f>
        <v>7640016328</v>
      </c>
      <c r="D2489" s="340">
        <v>270</v>
      </c>
      <c r="E2489" s="343"/>
    </row>
    <row r="2490" spans="1:5" s="335" customFormat="1" ht="12.75">
      <c r="A2490" s="403" t="s">
        <v>819</v>
      </c>
      <c r="B2490" s="403"/>
      <c r="C2490" s="403"/>
      <c r="D2490" s="403"/>
      <c r="E2490" s="343"/>
    </row>
    <row r="2491" spans="1:5" s="335" customFormat="1" ht="24">
      <c r="A2491" s="342" t="s">
        <v>1750</v>
      </c>
      <c r="B2491" s="342" t="s">
        <v>1751</v>
      </c>
      <c r="C2491" s="342" t="s">
        <v>6160</v>
      </c>
      <c r="D2491" s="340">
        <v>600</v>
      </c>
      <c r="E2491" s="343"/>
    </row>
    <row r="2492" spans="1:5" s="335" customFormat="1" ht="24">
      <c r="A2492" s="342" t="s">
        <v>1752</v>
      </c>
      <c r="B2492" s="342" t="s">
        <v>1753</v>
      </c>
      <c r="C2492" s="342" t="str">
        <f>("7640015729")</f>
        <v>7640015729</v>
      </c>
      <c r="D2492" s="340">
        <v>500</v>
      </c>
      <c r="E2492" s="343"/>
    </row>
    <row r="2493" spans="1:5" s="335" customFormat="1" ht="24">
      <c r="A2493" s="342" t="s">
        <v>1754</v>
      </c>
      <c r="B2493" s="342" t="s">
        <v>1755</v>
      </c>
      <c r="C2493" s="342" t="str">
        <f>("7640015730")</f>
        <v>7640015730</v>
      </c>
      <c r="D2493" s="340">
        <v>300</v>
      </c>
      <c r="E2493" s="343"/>
    </row>
    <row r="2494" spans="1:5" s="335" customFormat="1" ht="24">
      <c r="A2494" s="342" t="s">
        <v>1756</v>
      </c>
      <c r="B2494" s="342" t="s">
        <v>1757</v>
      </c>
      <c r="C2494" s="342" t="str">
        <f>("7640015731")</f>
        <v>7640015731</v>
      </c>
      <c r="D2494" s="340">
        <v>800</v>
      </c>
      <c r="E2494" s="343"/>
    </row>
    <row r="2495" spans="1:5" s="335" customFormat="1" ht="12.75">
      <c r="A2495" s="342" t="s">
        <v>1758</v>
      </c>
      <c r="B2495" s="342" t="s">
        <v>1759</v>
      </c>
      <c r="C2495" s="342" t="str">
        <f>("7640015732")</f>
        <v>7640015732</v>
      </c>
      <c r="D2495" s="340">
        <v>200</v>
      </c>
      <c r="E2495" s="343"/>
    </row>
    <row r="2496" spans="1:5" s="335" customFormat="1" ht="24">
      <c r="A2496" s="342" t="s">
        <v>1760</v>
      </c>
      <c r="B2496" s="342" t="s">
        <v>1761</v>
      </c>
      <c r="C2496" s="342" t="str">
        <f>("7640015733")</f>
        <v>7640015733</v>
      </c>
      <c r="D2496" s="340">
        <v>400</v>
      </c>
      <c r="E2496" s="343"/>
    </row>
    <row r="2497" spans="1:5" s="335" customFormat="1" ht="24">
      <c r="A2497" s="342" t="s">
        <v>1762</v>
      </c>
      <c r="B2497" s="342" t="s">
        <v>1763</v>
      </c>
      <c r="C2497" s="342" t="str">
        <f>("7640015734")</f>
        <v>7640015734</v>
      </c>
      <c r="D2497" s="340">
        <v>300</v>
      </c>
      <c r="E2497" s="343"/>
    </row>
    <row r="2498" spans="1:5" s="335" customFormat="1" ht="24">
      <c r="A2498" s="342" t="s">
        <v>1764</v>
      </c>
      <c r="B2498" s="342" t="s">
        <v>1765</v>
      </c>
      <c r="C2498" s="342" t="str">
        <f>("7640015735")</f>
        <v>7640015735</v>
      </c>
      <c r="D2498" s="340">
        <v>300</v>
      </c>
      <c r="E2498" s="343"/>
    </row>
    <row r="2499" spans="1:5" s="335" customFormat="1" ht="24">
      <c r="A2499" s="342" t="s">
        <v>1766</v>
      </c>
      <c r="B2499" s="342" t="s">
        <v>1767</v>
      </c>
      <c r="C2499" s="342" t="str">
        <f>("7640015736")</f>
        <v>7640015736</v>
      </c>
      <c r="D2499" s="340">
        <v>300</v>
      </c>
      <c r="E2499" s="343"/>
    </row>
    <row r="2500" spans="1:5" s="335" customFormat="1" ht="36">
      <c r="A2500" s="342" t="s">
        <v>1768</v>
      </c>
      <c r="B2500" s="342" t="s">
        <v>1769</v>
      </c>
      <c r="C2500" s="342" t="str">
        <f>("7640016308")</f>
        <v>7640016308</v>
      </c>
      <c r="D2500" s="340">
        <v>200</v>
      </c>
      <c r="E2500" s="343"/>
    </row>
    <row r="2501" spans="1:5" s="335" customFormat="1" ht="24">
      <c r="A2501" s="342" t="s">
        <v>1770</v>
      </c>
      <c r="B2501" s="342" t="s">
        <v>1771</v>
      </c>
      <c r="C2501" s="342" t="str">
        <f>("7640016309")</f>
        <v>7640016309</v>
      </c>
      <c r="D2501" s="340">
        <v>100</v>
      </c>
      <c r="E2501" s="343"/>
    </row>
    <row r="2502" spans="1:5" s="335" customFormat="1" ht="24">
      <c r="A2502" s="342" t="s">
        <v>1772</v>
      </c>
      <c r="B2502" s="342" t="s">
        <v>1773</v>
      </c>
      <c r="C2502" s="342" t="str">
        <f>("7640016310")</f>
        <v>7640016310</v>
      </c>
      <c r="D2502" s="340">
        <v>300</v>
      </c>
      <c r="E2502" s="343"/>
    </row>
    <row r="2503" spans="1:5" s="335" customFormat="1" ht="12.75">
      <c r="A2503" s="342" t="s">
        <v>1774</v>
      </c>
      <c r="B2503" s="342" t="s">
        <v>1775</v>
      </c>
      <c r="C2503" s="342" t="str">
        <f>("7640016311")</f>
        <v>7640016311</v>
      </c>
      <c r="D2503" s="340">
        <v>400</v>
      </c>
      <c r="E2503" s="343"/>
    </row>
    <row r="2504" spans="1:5" s="335" customFormat="1" ht="24">
      <c r="A2504" s="342" t="s">
        <v>1776</v>
      </c>
      <c r="B2504" s="342" t="s">
        <v>1777</v>
      </c>
      <c r="C2504" s="342" t="str">
        <f>("7640016312")</f>
        <v>7640016312</v>
      </c>
      <c r="D2504" s="340">
        <v>200</v>
      </c>
      <c r="E2504" s="343"/>
    </row>
    <row r="2505" spans="1:5" s="335" customFormat="1" ht="36">
      <c r="A2505" s="342" t="s">
        <v>1778</v>
      </c>
      <c r="B2505" s="342" t="s">
        <v>1778</v>
      </c>
      <c r="C2505" s="342" t="str">
        <f>("7640016313")</f>
        <v>7640016313</v>
      </c>
      <c r="D2505" s="340">
        <v>500</v>
      </c>
      <c r="E2505" s="343"/>
    </row>
    <row r="2506" spans="1:5" s="335" customFormat="1" ht="24">
      <c r="A2506" s="342" t="s">
        <v>1779</v>
      </c>
      <c r="B2506" s="342" t="s">
        <v>1780</v>
      </c>
      <c r="C2506" s="342" t="str">
        <f>("7640018116")</f>
        <v>7640018116</v>
      </c>
      <c r="D2506" s="340">
        <v>400</v>
      </c>
      <c r="E2506" s="343"/>
    </row>
    <row r="2507" spans="1:5" s="335" customFormat="1" ht="12.75">
      <c r="A2507" s="342" t="s">
        <v>1781</v>
      </c>
      <c r="B2507" s="342" t="s">
        <v>1782</v>
      </c>
      <c r="C2507" s="342" t="str">
        <f>("7640018120")</f>
        <v>7640018120</v>
      </c>
      <c r="D2507" s="340">
        <v>200</v>
      </c>
      <c r="E2507" s="343"/>
    </row>
    <row r="2508" spans="1:5" s="335" customFormat="1" ht="60">
      <c r="A2508" s="342" t="s">
        <v>1783</v>
      </c>
      <c r="B2508" s="342" t="s">
        <v>1783</v>
      </c>
      <c r="C2508" s="342" t="str">
        <f>("7640018452")</f>
        <v>7640018452</v>
      </c>
      <c r="D2508" s="340">
        <v>2244</v>
      </c>
      <c r="E2508" s="343"/>
    </row>
    <row r="2509" spans="1:5" s="335" customFormat="1" ht="24">
      <c r="A2509" s="342" t="s">
        <v>1784</v>
      </c>
      <c r="B2509" s="342" t="s">
        <v>1784</v>
      </c>
      <c r="C2509" s="342" t="str">
        <f>("7640018613")</f>
        <v>7640018613</v>
      </c>
      <c r="D2509" s="340">
        <v>1000</v>
      </c>
      <c r="E2509" s="343"/>
    </row>
    <row r="2510" spans="1:5" s="335" customFormat="1" ht="12.75">
      <c r="A2510" s="403" t="s">
        <v>836</v>
      </c>
      <c r="B2510" s="403"/>
      <c r="C2510" s="403"/>
      <c r="D2510" s="403"/>
      <c r="E2510" s="343"/>
    </row>
    <row r="2511" spans="1:5" s="335" customFormat="1" ht="36">
      <c r="A2511" s="342" t="s">
        <v>1785</v>
      </c>
      <c r="B2511" s="342" t="s">
        <v>1786</v>
      </c>
      <c r="C2511" s="342" t="str">
        <f>("7640014449")</f>
        <v>7640014449</v>
      </c>
      <c r="D2511" s="340">
        <v>120</v>
      </c>
      <c r="E2511" s="343"/>
    </row>
    <row r="2512" spans="1:5" s="335" customFormat="1" ht="36">
      <c r="A2512" s="342" t="s">
        <v>1787</v>
      </c>
      <c r="B2512" s="342" t="s">
        <v>1788</v>
      </c>
      <c r="C2512" s="342" t="str">
        <f>("7640015766")</f>
        <v>7640015766</v>
      </c>
      <c r="D2512" s="340">
        <v>100</v>
      </c>
      <c r="E2512" s="343"/>
    </row>
    <row r="2513" spans="1:5" s="335" customFormat="1" ht="24">
      <c r="A2513" s="342" t="s">
        <v>1789</v>
      </c>
      <c r="B2513" s="342" t="s">
        <v>1790</v>
      </c>
      <c r="C2513" s="342" t="str">
        <f>("7640015767")</f>
        <v>7640015767</v>
      </c>
      <c r="D2513" s="340">
        <v>60</v>
      </c>
      <c r="E2513" s="343"/>
    </row>
    <row r="2514" spans="1:5" s="335" customFormat="1" ht="36">
      <c r="A2514" s="342" t="s">
        <v>1791</v>
      </c>
      <c r="B2514" s="342" t="s">
        <v>1792</v>
      </c>
      <c r="C2514" s="342" t="str">
        <f>("7640015768")</f>
        <v>7640015768</v>
      </c>
      <c r="D2514" s="340">
        <v>160</v>
      </c>
      <c r="E2514" s="343"/>
    </row>
    <row r="2515" spans="1:5" s="335" customFormat="1" ht="24">
      <c r="A2515" s="342" t="s">
        <v>1793</v>
      </c>
      <c r="B2515" s="342" t="s">
        <v>1794</v>
      </c>
      <c r="C2515" s="342" t="str">
        <f>("7640015769")</f>
        <v>7640015769</v>
      </c>
      <c r="D2515" s="340">
        <v>40</v>
      </c>
      <c r="E2515" s="343"/>
    </row>
    <row r="2516" spans="1:5" s="335" customFormat="1" ht="24">
      <c r="A2516" s="342" t="s">
        <v>1795</v>
      </c>
      <c r="B2516" s="342" t="s">
        <v>1796</v>
      </c>
      <c r="C2516" s="342" t="str">
        <f>("7640015770")</f>
        <v>7640015770</v>
      </c>
      <c r="D2516" s="340">
        <v>80</v>
      </c>
      <c r="E2516" s="343"/>
    </row>
    <row r="2517" spans="1:5" s="335" customFormat="1" ht="24">
      <c r="A2517" s="342" t="s">
        <v>1797</v>
      </c>
      <c r="B2517" s="342" t="s">
        <v>1798</v>
      </c>
      <c r="C2517" s="342" t="str">
        <f>("7640015771")</f>
        <v>7640015771</v>
      </c>
      <c r="D2517" s="340">
        <v>60</v>
      </c>
      <c r="E2517" s="343"/>
    </row>
    <row r="2518" spans="1:5" s="335" customFormat="1" ht="24">
      <c r="A2518" s="342" t="s">
        <v>1799</v>
      </c>
      <c r="B2518" s="342" t="s">
        <v>1800</v>
      </c>
      <c r="C2518" s="342" t="str">
        <f>("7640015772")</f>
        <v>7640015772</v>
      </c>
      <c r="D2518" s="340">
        <v>60</v>
      </c>
      <c r="E2518" s="343"/>
    </row>
    <row r="2519" spans="1:5" s="335" customFormat="1" ht="36">
      <c r="A2519" s="342" t="s">
        <v>1801</v>
      </c>
      <c r="B2519" s="342" t="s">
        <v>1802</v>
      </c>
      <c r="C2519" s="342" t="str">
        <f>("7640015773")</f>
        <v>7640015773</v>
      </c>
      <c r="D2519" s="340">
        <v>60</v>
      </c>
      <c r="E2519" s="343"/>
    </row>
    <row r="2520" spans="1:5" s="335" customFormat="1" ht="36">
      <c r="A2520" s="342" t="s">
        <v>1803</v>
      </c>
      <c r="B2520" s="342" t="s">
        <v>1804</v>
      </c>
      <c r="C2520" s="342" t="str">
        <f>("7640015774")</f>
        <v>7640015774</v>
      </c>
      <c r="D2520" s="340">
        <v>342</v>
      </c>
      <c r="E2520" s="343"/>
    </row>
    <row r="2521" spans="1:5" s="335" customFormat="1" ht="36">
      <c r="A2521" s="342" t="s">
        <v>1805</v>
      </c>
      <c r="B2521" s="342" t="s">
        <v>1806</v>
      </c>
      <c r="C2521" s="342" t="str">
        <f>("7640015775")</f>
        <v>7640015775</v>
      </c>
      <c r="D2521" s="340">
        <v>285</v>
      </c>
      <c r="E2521" s="343"/>
    </row>
    <row r="2522" spans="1:5" s="335" customFormat="1" ht="24">
      <c r="A2522" s="342" t="s">
        <v>1807</v>
      </c>
      <c r="B2522" s="342" t="s">
        <v>1808</v>
      </c>
      <c r="C2522" s="342" t="str">
        <f>("7640015776")</f>
        <v>7640015776</v>
      </c>
      <c r="D2522" s="340">
        <v>171</v>
      </c>
      <c r="E2522" s="343"/>
    </row>
    <row r="2523" spans="1:5" s="335" customFormat="1" ht="36">
      <c r="A2523" s="342" t="s">
        <v>1809</v>
      </c>
      <c r="B2523" s="342" t="s">
        <v>1810</v>
      </c>
      <c r="C2523" s="342" t="str">
        <f>("7640015777")</f>
        <v>7640015777</v>
      </c>
      <c r="D2523" s="340">
        <v>456</v>
      </c>
      <c r="E2523" s="343"/>
    </row>
    <row r="2524" spans="1:5" s="335" customFormat="1" ht="24">
      <c r="A2524" s="342" t="s">
        <v>1811</v>
      </c>
      <c r="B2524" s="342" t="s">
        <v>1812</v>
      </c>
      <c r="C2524" s="342" t="str">
        <f>("7640015778")</f>
        <v>7640015778</v>
      </c>
      <c r="D2524" s="340">
        <v>114</v>
      </c>
      <c r="E2524" s="343"/>
    </row>
    <row r="2525" spans="1:5" s="335" customFormat="1" ht="24">
      <c r="A2525" s="342" t="s">
        <v>1813</v>
      </c>
      <c r="B2525" s="342" t="s">
        <v>1814</v>
      </c>
      <c r="C2525" s="342" t="str">
        <f>("7640015779")</f>
        <v>7640015779</v>
      </c>
      <c r="D2525" s="340">
        <v>228</v>
      </c>
      <c r="E2525" s="343"/>
    </row>
    <row r="2526" spans="1:5" s="335" customFormat="1" ht="24">
      <c r="A2526" s="342" t="s">
        <v>1815</v>
      </c>
      <c r="B2526" s="342" t="s">
        <v>1816</v>
      </c>
      <c r="C2526" s="342" t="str">
        <f>("7640015780")</f>
        <v>7640015780</v>
      </c>
      <c r="D2526" s="340">
        <v>171</v>
      </c>
      <c r="E2526" s="343"/>
    </row>
    <row r="2527" spans="1:5" s="335" customFormat="1" ht="24">
      <c r="A2527" s="342" t="s">
        <v>1817</v>
      </c>
      <c r="B2527" s="342" t="s">
        <v>1818</v>
      </c>
      <c r="C2527" s="342" t="str">
        <f>("7640015781")</f>
        <v>7640015781</v>
      </c>
      <c r="D2527" s="340">
        <v>171</v>
      </c>
      <c r="E2527" s="343"/>
    </row>
    <row r="2528" spans="1:5" s="335" customFormat="1" ht="36">
      <c r="A2528" s="342" t="s">
        <v>1819</v>
      </c>
      <c r="B2528" s="342" t="s">
        <v>1820</v>
      </c>
      <c r="C2528" s="342" t="str">
        <f>("7640015782")</f>
        <v>7640015782</v>
      </c>
      <c r="D2528" s="340">
        <v>171</v>
      </c>
      <c r="E2528" s="343"/>
    </row>
    <row r="2529" spans="1:5" s="335" customFormat="1" ht="36">
      <c r="A2529" s="342" t="s">
        <v>1821</v>
      </c>
      <c r="B2529" s="342" t="s">
        <v>1822</v>
      </c>
      <c r="C2529" s="342" t="str">
        <f>("7640015783")</f>
        <v>7640015783</v>
      </c>
      <c r="D2529" s="340">
        <v>540</v>
      </c>
      <c r="E2529" s="343"/>
    </row>
    <row r="2530" spans="1:5" s="335" customFormat="1" ht="36">
      <c r="A2530" s="342" t="s">
        <v>1823</v>
      </c>
      <c r="B2530" s="342" t="s">
        <v>1824</v>
      </c>
      <c r="C2530" s="342" t="str">
        <f>("7640015784")</f>
        <v>7640015784</v>
      </c>
      <c r="D2530" s="340">
        <v>450</v>
      </c>
      <c r="E2530" s="343"/>
    </row>
    <row r="2531" spans="1:5" s="335" customFormat="1" ht="24">
      <c r="A2531" s="342" t="s">
        <v>1825</v>
      </c>
      <c r="B2531" s="342" t="s">
        <v>1826</v>
      </c>
      <c r="C2531" s="342" t="str">
        <f>("7640015785")</f>
        <v>7640015785</v>
      </c>
      <c r="D2531" s="340">
        <v>270</v>
      </c>
      <c r="E2531" s="343"/>
    </row>
    <row r="2532" spans="1:5" s="335" customFormat="1" ht="36">
      <c r="A2532" s="342" t="s">
        <v>1827</v>
      </c>
      <c r="B2532" s="342" t="s">
        <v>1828</v>
      </c>
      <c r="C2532" s="342" t="str">
        <f>("7640015786")</f>
        <v>7640015786</v>
      </c>
      <c r="D2532" s="340">
        <v>720</v>
      </c>
      <c r="E2532" s="343"/>
    </row>
    <row r="2533" spans="1:5" s="335" customFormat="1" ht="24">
      <c r="A2533" s="342" t="s">
        <v>1829</v>
      </c>
      <c r="B2533" s="342" t="s">
        <v>1830</v>
      </c>
      <c r="C2533" s="342" t="str">
        <f>("7640015787")</f>
        <v>7640015787</v>
      </c>
      <c r="D2533" s="340">
        <v>180</v>
      </c>
      <c r="E2533" s="343"/>
    </row>
    <row r="2534" spans="1:5" s="335" customFormat="1" ht="24">
      <c r="A2534" s="342" t="s">
        <v>1831</v>
      </c>
      <c r="B2534" s="342" t="s">
        <v>1832</v>
      </c>
      <c r="C2534" s="342" t="str">
        <f>("7640015788")</f>
        <v>7640015788</v>
      </c>
      <c r="D2534" s="340">
        <v>360</v>
      </c>
      <c r="E2534" s="343"/>
    </row>
    <row r="2535" spans="1:5" s="335" customFormat="1" ht="36">
      <c r="A2535" s="342" t="s">
        <v>1833</v>
      </c>
      <c r="B2535" s="342" t="s">
        <v>1834</v>
      </c>
      <c r="C2535" s="342" t="str">
        <f>("7640015789")</f>
        <v>7640015789</v>
      </c>
      <c r="D2535" s="340">
        <v>270</v>
      </c>
      <c r="E2535" s="343"/>
    </row>
    <row r="2536" spans="1:5" s="335" customFormat="1" ht="24">
      <c r="A2536" s="342" t="s">
        <v>1835</v>
      </c>
      <c r="B2536" s="342" t="s">
        <v>1836</v>
      </c>
      <c r="C2536" s="342" t="str">
        <f>("7640015790")</f>
        <v>7640015790</v>
      </c>
      <c r="D2536" s="340">
        <v>270</v>
      </c>
      <c r="E2536" s="343"/>
    </row>
    <row r="2537" spans="1:5" s="335" customFormat="1" ht="36">
      <c r="A2537" s="342" t="s">
        <v>1837</v>
      </c>
      <c r="B2537" s="342" t="s">
        <v>1838</v>
      </c>
      <c r="C2537" s="342" t="str">
        <f>("7640015791")</f>
        <v>7640015791</v>
      </c>
      <c r="D2537" s="340">
        <v>270</v>
      </c>
      <c r="E2537" s="343"/>
    </row>
    <row r="2538" spans="1:5" s="335" customFormat="1" ht="36">
      <c r="A2538" s="342" t="s">
        <v>1839</v>
      </c>
      <c r="B2538" s="342" t="s">
        <v>1840</v>
      </c>
      <c r="C2538" s="342" t="str">
        <f>("7640016315")</f>
        <v>7640016315</v>
      </c>
      <c r="D2538" s="340">
        <v>40</v>
      </c>
      <c r="E2538" s="343"/>
    </row>
    <row r="2539" spans="1:5" s="335" customFormat="1" ht="24">
      <c r="A2539" s="342" t="s">
        <v>1841</v>
      </c>
      <c r="B2539" s="342" t="s">
        <v>1842</v>
      </c>
      <c r="C2539" s="342" t="str">
        <f>("7640016316")</f>
        <v>7640016316</v>
      </c>
      <c r="D2539" s="340">
        <v>20</v>
      </c>
      <c r="E2539" s="343"/>
    </row>
    <row r="2540" spans="1:5" s="335" customFormat="1" ht="24">
      <c r="A2540" s="342" t="s">
        <v>1843</v>
      </c>
      <c r="B2540" s="342" t="s">
        <v>1844</v>
      </c>
      <c r="C2540" s="342" t="str">
        <f>("7640016317")</f>
        <v>7640016317</v>
      </c>
      <c r="D2540" s="340">
        <v>60</v>
      </c>
      <c r="E2540" s="343"/>
    </row>
    <row r="2541" spans="1:5" s="335" customFormat="1" ht="24">
      <c r="A2541" s="342" t="s">
        <v>1845</v>
      </c>
      <c r="B2541" s="342" t="s">
        <v>1846</v>
      </c>
      <c r="C2541" s="342" t="str">
        <f>("7640016318")</f>
        <v>7640016318</v>
      </c>
      <c r="D2541" s="340">
        <v>80</v>
      </c>
      <c r="E2541" s="343"/>
    </row>
    <row r="2542" spans="1:5" s="335" customFormat="1" ht="24">
      <c r="A2542" s="342" t="s">
        <v>1847</v>
      </c>
      <c r="B2542" s="342" t="s">
        <v>1848</v>
      </c>
      <c r="C2542" s="342" t="str">
        <f>("7640016319")</f>
        <v>7640016319</v>
      </c>
      <c r="D2542" s="340">
        <v>40</v>
      </c>
      <c r="E2542" s="343"/>
    </row>
    <row r="2543" spans="1:5" s="335" customFormat="1" ht="24">
      <c r="A2543" s="342" t="s">
        <v>1849</v>
      </c>
      <c r="B2543" s="342" t="s">
        <v>1850</v>
      </c>
      <c r="C2543" s="342" t="str">
        <f>("7640016320")</f>
        <v>7640016320</v>
      </c>
      <c r="D2543" s="340">
        <v>100</v>
      </c>
      <c r="E2543" s="343"/>
    </row>
    <row r="2544" spans="1:5" s="335" customFormat="1" ht="36">
      <c r="A2544" s="342" t="s">
        <v>1851</v>
      </c>
      <c r="B2544" s="342" t="s">
        <v>1852</v>
      </c>
      <c r="C2544" s="342" t="str">
        <f>("7640016322")</f>
        <v>7640016322</v>
      </c>
      <c r="D2544" s="340">
        <v>114</v>
      </c>
      <c r="E2544" s="343"/>
    </row>
    <row r="2545" spans="1:5" s="335" customFormat="1" ht="24">
      <c r="A2545" s="342" t="s">
        <v>1853</v>
      </c>
      <c r="B2545" s="342" t="s">
        <v>1854</v>
      </c>
      <c r="C2545" s="342" t="str">
        <f>("7640016323")</f>
        <v>7640016323</v>
      </c>
      <c r="D2545" s="340">
        <v>57</v>
      </c>
      <c r="E2545" s="343"/>
    </row>
    <row r="2546" spans="1:5" s="335" customFormat="1" ht="24">
      <c r="A2546" s="342" t="s">
        <v>1855</v>
      </c>
      <c r="B2546" s="342" t="s">
        <v>1856</v>
      </c>
      <c r="C2546" s="342" t="str">
        <f>("7640016324")</f>
        <v>7640016324</v>
      </c>
      <c r="D2546" s="340">
        <v>171</v>
      </c>
      <c r="E2546" s="343"/>
    </row>
    <row r="2547" spans="1:5" s="335" customFormat="1" ht="24">
      <c r="A2547" s="342" t="s">
        <v>1857</v>
      </c>
      <c r="B2547" s="342" t="s">
        <v>1858</v>
      </c>
      <c r="C2547" s="342" t="str">
        <f>("7640016325")</f>
        <v>7640016325</v>
      </c>
      <c r="D2547" s="340">
        <v>228</v>
      </c>
      <c r="E2547" s="343"/>
    </row>
    <row r="2548" spans="1:5" s="335" customFormat="1" ht="24">
      <c r="A2548" s="342" t="s">
        <v>1859</v>
      </c>
      <c r="B2548" s="342" t="s">
        <v>1860</v>
      </c>
      <c r="C2548" s="342" t="str">
        <f>("7640016326")</f>
        <v>7640016326</v>
      </c>
      <c r="D2548" s="340">
        <v>114</v>
      </c>
      <c r="E2548" s="343"/>
    </row>
    <row r="2549" spans="1:5" s="335" customFormat="1" ht="24">
      <c r="A2549" s="342" t="s">
        <v>1861</v>
      </c>
      <c r="B2549" s="342" t="s">
        <v>1862</v>
      </c>
      <c r="C2549" s="342" t="str">
        <f>("7640016327")</f>
        <v>7640016327</v>
      </c>
      <c r="D2549" s="340">
        <v>285</v>
      </c>
      <c r="E2549" s="343"/>
    </row>
    <row r="2550" spans="1:5" s="335" customFormat="1" ht="36">
      <c r="A2550" s="342" t="s">
        <v>1863</v>
      </c>
      <c r="B2550" s="342" t="s">
        <v>1864</v>
      </c>
      <c r="C2550" s="342" t="str">
        <f>("7640016329")</f>
        <v>7640016329</v>
      </c>
      <c r="D2550" s="340">
        <v>180</v>
      </c>
      <c r="E2550" s="343"/>
    </row>
    <row r="2551" spans="1:5" s="335" customFormat="1" ht="24">
      <c r="A2551" s="342" t="s">
        <v>1865</v>
      </c>
      <c r="B2551" s="342" t="s">
        <v>1866</v>
      </c>
      <c r="C2551" s="342" t="str">
        <f>("7640016330")</f>
        <v>7640016330</v>
      </c>
      <c r="D2551" s="340">
        <v>90</v>
      </c>
      <c r="E2551" s="343"/>
    </row>
    <row r="2552" spans="1:5" s="335" customFormat="1" ht="24">
      <c r="A2552" s="342" t="s">
        <v>1867</v>
      </c>
      <c r="B2552" s="342" t="s">
        <v>1868</v>
      </c>
      <c r="C2552" s="342" t="str">
        <f>("7640016331")</f>
        <v>7640016331</v>
      </c>
      <c r="D2552" s="340">
        <v>270</v>
      </c>
      <c r="E2552" s="343"/>
    </row>
    <row r="2553" spans="1:5" s="335" customFormat="1" ht="24">
      <c r="A2553" s="342" t="s">
        <v>1869</v>
      </c>
      <c r="B2553" s="342" t="s">
        <v>1870</v>
      </c>
      <c r="C2553" s="342" t="str">
        <f>("7640016332")</f>
        <v>7640016332</v>
      </c>
      <c r="D2553" s="340">
        <v>360</v>
      </c>
      <c r="E2553" s="343"/>
    </row>
    <row r="2554" spans="1:5" s="335" customFormat="1" ht="24">
      <c r="A2554" s="342" t="s">
        <v>1871</v>
      </c>
      <c r="B2554" s="342" t="s">
        <v>1872</v>
      </c>
      <c r="C2554" s="342" t="str">
        <f>("7640016333")</f>
        <v>7640016333</v>
      </c>
      <c r="D2554" s="340">
        <v>180</v>
      </c>
      <c r="E2554" s="343"/>
    </row>
    <row r="2555" spans="1:5" s="335" customFormat="1" ht="24">
      <c r="A2555" s="342" t="s">
        <v>1873</v>
      </c>
      <c r="B2555" s="342" t="s">
        <v>1874</v>
      </c>
      <c r="C2555" s="342" t="str">
        <f>("7640016334")</f>
        <v>7640016334</v>
      </c>
      <c r="D2555" s="340">
        <v>450</v>
      </c>
      <c r="E2555" s="343"/>
    </row>
    <row r="2556" spans="1:5" s="335" customFormat="1" ht="36">
      <c r="A2556" s="342" t="s">
        <v>1875</v>
      </c>
      <c r="B2556" s="342" t="s">
        <v>1876</v>
      </c>
      <c r="C2556" s="342" t="str">
        <f>("7640018117")</f>
        <v>7640018117</v>
      </c>
      <c r="D2556" s="340">
        <v>80</v>
      </c>
      <c r="E2556" s="343"/>
    </row>
    <row r="2557" spans="1:5" s="335" customFormat="1" ht="36">
      <c r="A2557" s="342" t="s">
        <v>1877</v>
      </c>
      <c r="B2557" s="342" t="s">
        <v>1878</v>
      </c>
      <c r="C2557" s="342" t="str">
        <f>("7640018118")</f>
        <v>7640018118</v>
      </c>
      <c r="D2557" s="340">
        <v>228</v>
      </c>
      <c r="E2557" s="343"/>
    </row>
    <row r="2558" spans="1:5" s="335" customFormat="1" ht="36">
      <c r="A2558" s="342" t="s">
        <v>1879</v>
      </c>
      <c r="B2558" s="342" t="s">
        <v>1880</v>
      </c>
      <c r="C2558" s="342" t="str">
        <f>("7640018119")</f>
        <v>7640018119</v>
      </c>
      <c r="D2558" s="340">
        <v>360</v>
      </c>
      <c r="E2558" s="343"/>
    </row>
    <row r="2559" spans="1:5" s="335" customFormat="1" ht="24">
      <c r="A2559" s="342" t="s">
        <v>1881</v>
      </c>
      <c r="B2559" s="342" t="s">
        <v>1882</v>
      </c>
      <c r="C2559" s="342" t="str">
        <f>("7640018121")</f>
        <v>7640018121</v>
      </c>
      <c r="D2559" s="340">
        <v>40</v>
      </c>
      <c r="E2559" s="343"/>
    </row>
    <row r="2560" spans="1:5" s="335" customFormat="1" ht="24">
      <c r="A2560" s="342" t="s">
        <v>1883</v>
      </c>
      <c r="B2560" s="342" t="s">
        <v>1884</v>
      </c>
      <c r="C2560" s="342" t="str">
        <f>("7640018122")</f>
        <v>7640018122</v>
      </c>
      <c r="D2560" s="340">
        <v>114</v>
      </c>
      <c r="E2560" s="343"/>
    </row>
    <row r="2561" spans="1:5" s="335" customFormat="1" ht="24">
      <c r="A2561" s="342" t="s">
        <v>1885</v>
      </c>
      <c r="B2561" s="342" t="s">
        <v>1886</v>
      </c>
      <c r="C2561" s="342" t="str">
        <f>("7640018123")</f>
        <v>7640018123</v>
      </c>
      <c r="D2561" s="340">
        <v>180</v>
      </c>
      <c r="E2561" s="343"/>
    </row>
    <row r="2562" spans="1:5" s="335" customFormat="1" ht="48">
      <c r="A2562" s="342" t="s">
        <v>1887</v>
      </c>
      <c r="B2562" s="342" t="s">
        <v>1887</v>
      </c>
      <c r="C2562" s="342" t="str">
        <f>("7640018453")</f>
        <v>7640018453</v>
      </c>
      <c r="D2562" s="340">
        <v>450</v>
      </c>
      <c r="E2562" s="343"/>
    </row>
    <row r="2563" spans="1:5" s="335" customFormat="1" ht="48">
      <c r="A2563" s="342" t="s">
        <v>1888</v>
      </c>
      <c r="B2563" s="342" t="s">
        <v>1888</v>
      </c>
      <c r="C2563" s="342" t="str">
        <f>("7640018454")</f>
        <v>7640018454</v>
      </c>
      <c r="D2563" s="340">
        <v>1278</v>
      </c>
      <c r="E2563" s="343"/>
    </row>
    <row r="2564" spans="1:5" s="335" customFormat="1" ht="48">
      <c r="A2564" s="342" t="s">
        <v>1889</v>
      </c>
      <c r="B2564" s="342" t="s">
        <v>1889</v>
      </c>
      <c r="C2564" s="342" t="str">
        <f>("7640018455")</f>
        <v>7640018455</v>
      </c>
      <c r="D2564" s="340">
        <v>2030</v>
      </c>
      <c r="E2564" s="343"/>
    </row>
    <row r="2565" spans="1:5" s="335" customFormat="1" ht="48">
      <c r="A2565" s="342" t="s">
        <v>1890</v>
      </c>
      <c r="B2565" s="342" t="s">
        <v>1890</v>
      </c>
      <c r="C2565" s="342" t="str">
        <f>("7640018614")</f>
        <v>7640018614</v>
      </c>
      <c r="D2565" s="340">
        <v>200</v>
      </c>
      <c r="E2565" s="343"/>
    </row>
    <row r="2566" spans="1:5" s="335" customFormat="1" ht="48">
      <c r="A2566" s="342" t="s">
        <v>1891</v>
      </c>
      <c r="B2566" s="342" t="s">
        <v>1891</v>
      </c>
      <c r="C2566" s="342" t="str">
        <f>("7640018615")</f>
        <v>7640018615</v>
      </c>
      <c r="D2566" s="340">
        <v>570</v>
      </c>
      <c r="E2566" s="343"/>
    </row>
    <row r="2567" spans="1:5" s="335" customFormat="1" ht="48">
      <c r="A2567" s="342" t="s">
        <v>1892</v>
      </c>
      <c r="B2567" s="342" t="s">
        <v>1892</v>
      </c>
      <c r="C2567" s="342" t="str">
        <f>("7640018616")</f>
        <v>7640018616</v>
      </c>
      <c r="D2567" s="340">
        <v>900</v>
      </c>
      <c r="E2567" s="343"/>
    </row>
    <row r="2568" spans="1:5" s="335" customFormat="1" ht="12.75">
      <c r="A2568" s="344"/>
      <c r="B2568" s="343"/>
      <c r="C2568" s="343"/>
      <c r="D2568" s="395"/>
      <c r="E2568" s="343"/>
    </row>
    <row r="2569" spans="1:5" s="335" customFormat="1" ht="12.75">
      <c r="A2569" s="403" t="s">
        <v>856</v>
      </c>
      <c r="B2569" s="403"/>
      <c r="C2569" s="403"/>
      <c r="D2569" s="403"/>
      <c r="E2569" s="343"/>
    </row>
    <row r="2570" spans="1:5" s="335" customFormat="1" ht="36">
      <c r="A2570" s="342" t="s">
        <v>1893</v>
      </c>
      <c r="B2570" s="342" t="s">
        <v>1894</v>
      </c>
      <c r="C2570" s="342" t="str">
        <f>("7640005345")</f>
        <v>7640005345</v>
      </c>
      <c r="D2570" s="340">
        <v>200</v>
      </c>
      <c r="E2570" s="343"/>
    </row>
    <row r="2571" spans="1:5" s="335" customFormat="1" ht="36">
      <c r="A2571" s="342" t="s">
        <v>1895</v>
      </c>
      <c r="B2571" s="342" t="s">
        <v>1896</v>
      </c>
      <c r="C2571" s="342" t="str">
        <f>("7640005346")</f>
        <v>7640005346</v>
      </c>
      <c r="D2571" s="340">
        <v>350</v>
      </c>
      <c r="E2571" s="343"/>
    </row>
    <row r="2572" spans="1:5" s="335" customFormat="1" ht="12.75">
      <c r="A2572" s="403" t="s">
        <v>1897</v>
      </c>
      <c r="B2572" s="403"/>
      <c r="C2572" s="403"/>
      <c r="D2572" s="403"/>
      <c r="E2572" s="343"/>
    </row>
    <row r="2573" spans="1:5" s="335" customFormat="1" ht="24">
      <c r="A2573" s="342" t="s">
        <v>1898</v>
      </c>
      <c r="B2573" s="342" t="s">
        <v>1898</v>
      </c>
      <c r="C2573" s="342" t="str">
        <f>("7640018130")</f>
        <v>7640018130</v>
      </c>
      <c r="D2573" s="340">
        <v>995</v>
      </c>
      <c r="E2573" s="343"/>
    </row>
    <row r="2574" spans="1:5" s="335" customFormat="1" ht="12.75">
      <c r="A2574" s="344"/>
      <c r="B2574" s="343"/>
      <c r="C2574" s="343"/>
      <c r="D2574" s="395"/>
      <c r="E2574" s="343"/>
    </row>
    <row r="2575" spans="1:5" s="335" customFormat="1" ht="15" customHeight="1">
      <c r="A2575" s="345"/>
      <c r="B2575" s="404" t="s">
        <v>1899</v>
      </c>
      <c r="C2575" s="404"/>
      <c r="D2575" s="404"/>
      <c r="E2575" s="404"/>
    </row>
    <row r="2576" spans="1:5" s="335" customFormat="1" ht="25.5">
      <c r="A2576" s="346" t="s">
        <v>789</v>
      </c>
      <c r="B2576" s="346" t="s">
        <v>409</v>
      </c>
      <c r="C2576" s="346" t="s">
        <v>26</v>
      </c>
      <c r="D2576" s="337" t="s">
        <v>6425</v>
      </c>
      <c r="E2576" s="343"/>
    </row>
    <row r="2577" spans="1:5" s="335" customFormat="1" ht="26.25">
      <c r="A2577" s="342" t="s">
        <v>1900</v>
      </c>
      <c r="B2577" s="342"/>
      <c r="C2577" s="342" t="s">
        <v>6161</v>
      </c>
      <c r="D2577" s="338" t="s">
        <v>791</v>
      </c>
      <c r="E2577" s="343"/>
    </row>
    <row r="2578" spans="1:5" s="335" customFormat="1" ht="12.75">
      <c r="A2578" s="403" t="s">
        <v>792</v>
      </c>
      <c r="B2578" s="403"/>
      <c r="C2578" s="403"/>
      <c r="D2578" s="403"/>
      <c r="E2578" s="343"/>
    </row>
    <row r="2579" spans="1:5" s="335" customFormat="1" ht="12.75">
      <c r="A2579" s="405" t="s">
        <v>1901</v>
      </c>
      <c r="B2579" s="347" t="s">
        <v>1902</v>
      </c>
      <c r="C2579" s="405" t="s">
        <v>6162</v>
      </c>
      <c r="D2579" s="408">
        <v>1200</v>
      </c>
      <c r="E2579" s="343"/>
    </row>
    <row r="2580" spans="1:5" s="335" customFormat="1" ht="12.75">
      <c r="A2580" s="406"/>
      <c r="B2580" s="348" t="s">
        <v>1903</v>
      </c>
      <c r="C2580" s="406"/>
      <c r="D2580" s="409"/>
      <c r="E2580" s="343"/>
    </row>
    <row r="2581" spans="1:5" s="335" customFormat="1" ht="12.75">
      <c r="A2581" s="406"/>
      <c r="B2581" s="348" t="s">
        <v>1904</v>
      </c>
      <c r="C2581" s="406"/>
      <c r="D2581" s="409"/>
      <c r="E2581" s="343"/>
    </row>
    <row r="2582" spans="1:5" s="335" customFormat="1" ht="12.75">
      <c r="A2582" s="406"/>
      <c r="B2582" s="348" t="s">
        <v>1905</v>
      </c>
      <c r="C2582" s="406"/>
      <c r="D2582" s="409"/>
      <c r="E2582" s="343"/>
    </row>
    <row r="2583" spans="1:5" s="335" customFormat="1" ht="24">
      <c r="A2583" s="407"/>
      <c r="B2583" s="349" t="s">
        <v>1906</v>
      </c>
      <c r="C2583" s="407"/>
      <c r="D2583" s="410"/>
      <c r="E2583" s="343"/>
    </row>
    <row r="2584" spans="1:5" s="335" customFormat="1" ht="24">
      <c r="A2584" s="342" t="s">
        <v>1907</v>
      </c>
      <c r="B2584" s="342" t="s">
        <v>1908</v>
      </c>
      <c r="C2584" s="342" t="str">
        <f>("7640015725")</f>
        <v>7640015725</v>
      </c>
      <c r="D2584" s="340">
        <v>6456</v>
      </c>
      <c r="E2584" s="343"/>
    </row>
    <row r="2585" spans="1:5" s="335" customFormat="1" ht="24">
      <c r="A2585" s="342" t="s">
        <v>1909</v>
      </c>
      <c r="B2585" s="342" t="s">
        <v>1910</v>
      </c>
      <c r="C2585" s="342" t="str">
        <f>("7640015726")</f>
        <v>7640015726</v>
      </c>
      <c r="D2585" s="340">
        <v>14832</v>
      </c>
      <c r="E2585" s="343"/>
    </row>
    <row r="2586" spans="1:5" s="335" customFormat="1" ht="24">
      <c r="A2586" s="342" t="s">
        <v>1911</v>
      </c>
      <c r="B2586" s="342" t="s">
        <v>1912</v>
      </c>
      <c r="C2586" s="342" t="str">
        <f>("7640015727")</f>
        <v>7640015727</v>
      </c>
      <c r="D2586" s="340">
        <v>28248</v>
      </c>
      <c r="E2586" s="343"/>
    </row>
    <row r="2587" spans="1:5" s="335" customFormat="1" ht="24">
      <c r="A2587" s="342" t="s">
        <v>1913</v>
      </c>
      <c r="B2587" s="342" t="s">
        <v>1914</v>
      </c>
      <c r="C2587" s="342" t="str">
        <f>("7640015728")</f>
        <v>7640015728</v>
      </c>
      <c r="D2587" s="340">
        <v>55056</v>
      </c>
      <c r="E2587" s="343"/>
    </row>
    <row r="2588" spans="1:5" s="335" customFormat="1" ht="12.75">
      <c r="A2588" s="403" t="s">
        <v>803</v>
      </c>
      <c r="B2588" s="403"/>
      <c r="C2588" s="403"/>
      <c r="D2588" s="403"/>
      <c r="E2588" s="343"/>
    </row>
    <row r="2589" spans="1:5" s="335" customFormat="1" ht="24">
      <c r="A2589" s="342" t="s">
        <v>1915</v>
      </c>
      <c r="B2589" s="342" t="s">
        <v>1916</v>
      </c>
      <c r="C2589" s="342" t="str">
        <f>("7640015751")</f>
        <v>7640015751</v>
      </c>
      <c r="D2589" s="340">
        <v>240</v>
      </c>
      <c r="E2589" s="343"/>
    </row>
    <row r="2590" spans="1:5" s="335" customFormat="1" ht="24">
      <c r="A2590" s="342" t="s">
        <v>1917</v>
      </c>
      <c r="B2590" s="342" t="s">
        <v>1918</v>
      </c>
      <c r="C2590" s="342" t="str">
        <f>("7640015752")</f>
        <v>7640015752</v>
      </c>
      <c r="D2590" s="340">
        <v>1291</v>
      </c>
      <c r="E2590" s="343"/>
    </row>
    <row r="2591" spans="1:5" s="335" customFormat="1" ht="24">
      <c r="A2591" s="342" t="s">
        <v>1919</v>
      </c>
      <c r="B2591" s="342" t="s">
        <v>1920</v>
      </c>
      <c r="C2591" s="342" t="str">
        <f>("7640015753")</f>
        <v>7640015753</v>
      </c>
      <c r="D2591" s="340">
        <v>2966</v>
      </c>
      <c r="E2591" s="343"/>
    </row>
    <row r="2592" spans="1:5" s="335" customFormat="1" ht="24">
      <c r="A2592" s="342" t="s">
        <v>1921</v>
      </c>
      <c r="B2592" s="342" t="s">
        <v>1922</v>
      </c>
      <c r="C2592" s="342" t="str">
        <f>("7640015754")</f>
        <v>7640015754</v>
      </c>
      <c r="D2592" s="340">
        <v>5728</v>
      </c>
      <c r="E2592" s="343"/>
    </row>
    <row r="2593" spans="1:5" s="335" customFormat="1" ht="24">
      <c r="A2593" s="342" t="s">
        <v>1923</v>
      </c>
      <c r="B2593" s="342" t="s">
        <v>1924</v>
      </c>
      <c r="C2593" s="342" t="str">
        <f>("7640015755")</f>
        <v>7640015755</v>
      </c>
      <c r="D2593" s="340">
        <v>11011</v>
      </c>
      <c r="E2593" s="343"/>
    </row>
    <row r="2594" spans="1:5" s="335" customFormat="1" ht="24">
      <c r="A2594" s="342" t="s">
        <v>1925</v>
      </c>
      <c r="B2594" s="342" t="s">
        <v>1926</v>
      </c>
      <c r="C2594" s="342" t="str">
        <f>("7640015756")</f>
        <v>7640015756</v>
      </c>
      <c r="D2594" s="340">
        <v>684</v>
      </c>
      <c r="E2594" s="343"/>
    </row>
    <row r="2595" spans="1:5" s="335" customFormat="1" ht="24">
      <c r="A2595" s="342" t="s">
        <v>1927</v>
      </c>
      <c r="B2595" s="342" t="s">
        <v>1928</v>
      </c>
      <c r="C2595" s="342" t="str">
        <f>("7640015757")</f>
        <v>7640015757</v>
      </c>
      <c r="D2595" s="340">
        <v>3680</v>
      </c>
      <c r="E2595" s="343"/>
    </row>
    <row r="2596" spans="1:5" s="335" customFormat="1" ht="24">
      <c r="A2596" s="342" t="s">
        <v>1929</v>
      </c>
      <c r="B2596" s="342" t="s">
        <v>1930</v>
      </c>
      <c r="C2596" s="342" t="str">
        <f>("7640015758")</f>
        <v>7640015758</v>
      </c>
      <c r="D2596" s="340">
        <v>8454</v>
      </c>
      <c r="E2596" s="343"/>
    </row>
    <row r="2597" spans="1:5" s="335" customFormat="1" ht="24">
      <c r="A2597" s="342" t="s">
        <v>1931</v>
      </c>
      <c r="B2597" s="342" t="s">
        <v>1932</v>
      </c>
      <c r="C2597" s="342" t="str">
        <f>("7640015759")</f>
        <v>7640015759</v>
      </c>
      <c r="D2597" s="340">
        <v>16325</v>
      </c>
      <c r="E2597" s="343"/>
    </row>
    <row r="2598" spans="1:5" s="335" customFormat="1" ht="24">
      <c r="A2598" s="342" t="s">
        <v>1933</v>
      </c>
      <c r="B2598" s="342" t="s">
        <v>1934</v>
      </c>
      <c r="C2598" s="342" t="str">
        <f>("7640015760")</f>
        <v>7640015760</v>
      </c>
      <c r="D2598" s="340">
        <v>31382</v>
      </c>
      <c r="E2598" s="343"/>
    </row>
    <row r="2599" spans="1:5" s="335" customFormat="1" ht="24">
      <c r="A2599" s="342" t="s">
        <v>1935</v>
      </c>
      <c r="B2599" s="342" t="s">
        <v>1936</v>
      </c>
      <c r="C2599" s="342" t="str">
        <f>("7640015761")</f>
        <v>7640015761</v>
      </c>
      <c r="D2599" s="340">
        <v>1080</v>
      </c>
      <c r="E2599" s="343"/>
    </row>
    <row r="2600" spans="1:5" s="335" customFormat="1" ht="24">
      <c r="A2600" s="342" t="s">
        <v>1937</v>
      </c>
      <c r="B2600" s="342" t="s">
        <v>1938</v>
      </c>
      <c r="C2600" s="342" t="str">
        <f>("7640015762")</f>
        <v>7640015762</v>
      </c>
      <c r="D2600" s="340">
        <v>5810</v>
      </c>
      <c r="E2600" s="343"/>
    </row>
    <row r="2601" spans="1:5" s="335" customFormat="1" ht="24">
      <c r="A2601" s="342" t="s">
        <v>1939</v>
      </c>
      <c r="B2601" s="342" t="s">
        <v>1940</v>
      </c>
      <c r="C2601" s="342" t="str">
        <f>("7640015763")</f>
        <v>7640015763</v>
      </c>
      <c r="D2601" s="340">
        <v>13349</v>
      </c>
      <c r="E2601" s="343"/>
    </row>
    <row r="2602" spans="1:5" s="335" customFormat="1" ht="24">
      <c r="A2602" s="342" t="s">
        <v>1941</v>
      </c>
      <c r="B2602" s="342" t="s">
        <v>1942</v>
      </c>
      <c r="C2602" s="342" t="str">
        <f>("7640015764")</f>
        <v>7640015764</v>
      </c>
      <c r="D2602" s="340">
        <v>25776</v>
      </c>
      <c r="E2602" s="343"/>
    </row>
    <row r="2603" spans="1:5" s="335" customFormat="1" ht="24">
      <c r="A2603" s="342" t="s">
        <v>1943</v>
      </c>
      <c r="B2603" s="342" t="s">
        <v>1944</v>
      </c>
      <c r="C2603" s="342" t="str">
        <f>("7640015765")</f>
        <v>7640015765</v>
      </c>
      <c r="D2603" s="340">
        <v>49550</v>
      </c>
      <c r="E2603" s="343"/>
    </row>
    <row r="2604" spans="1:5" s="335" customFormat="1" ht="12.75">
      <c r="A2604" s="403" t="s">
        <v>819</v>
      </c>
      <c r="B2604" s="403"/>
      <c r="C2604" s="403"/>
      <c r="D2604" s="403"/>
      <c r="E2604" s="343"/>
    </row>
    <row r="2605" spans="1:5" s="335" customFormat="1" ht="24">
      <c r="A2605" s="342" t="s">
        <v>1750</v>
      </c>
      <c r="B2605" s="342" t="s">
        <v>1751</v>
      </c>
      <c r="C2605" s="342" t="s">
        <v>6160</v>
      </c>
      <c r="D2605" s="340">
        <v>600</v>
      </c>
      <c r="E2605" s="343"/>
    </row>
    <row r="2606" spans="1:5" s="335" customFormat="1" ht="24">
      <c r="A2606" s="342" t="s">
        <v>1756</v>
      </c>
      <c r="B2606" s="342" t="s">
        <v>1757</v>
      </c>
      <c r="C2606" s="342" t="str">
        <f>("7640015731")</f>
        <v>7640015731</v>
      </c>
      <c r="D2606" s="340">
        <v>800</v>
      </c>
      <c r="E2606" s="343"/>
    </row>
    <row r="2607" spans="1:5" s="335" customFormat="1" ht="12.75">
      <c r="A2607" s="342" t="s">
        <v>1758</v>
      </c>
      <c r="B2607" s="342" t="s">
        <v>1759</v>
      </c>
      <c r="C2607" s="342" t="str">
        <f>("7640015732")</f>
        <v>7640015732</v>
      </c>
      <c r="D2607" s="340">
        <v>200</v>
      </c>
      <c r="E2607" s="343"/>
    </row>
    <row r="2608" spans="1:5" s="335" customFormat="1" ht="24">
      <c r="A2608" s="342" t="s">
        <v>1760</v>
      </c>
      <c r="B2608" s="342" t="s">
        <v>1761</v>
      </c>
      <c r="C2608" s="342" t="str">
        <f>("7640015733")</f>
        <v>7640015733</v>
      </c>
      <c r="D2608" s="340">
        <v>400</v>
      </c>
      <c r="E2608" s="343"/>
    </row>
    <row r="2609" spans="1:5" s="335" customFormat="1" ht="24">
      <c r="A2609" s="342" t="s">
        <v>1762</v>
      </c>
      <c r="B2609" s="342" t="s">
        <v>1763</v>
      </c>
      <c r="C2609" s="342" t="str">
        <f>("7640015734")</f>
        <v>7640015734</v>
      </c>
      <c r="D2609" s="340">
        <v>300</v>
      </c>
      <c r="E2609" s="343"/>
    </row>
    <row r="2610" spans="1:5" s="335" customFormat="1" ht="24">
      <c r="A2610" s="342" t="s">
        <v>1764</v>
      </c>
      <c r="B2610" s="342" t="s">
        <v>1765</v>
      </c>
      <c r="C2610" s="342" t="str">
        <f>("7640015735")</f>
        <v>7640015735</v>
      </c>
      <c r="D2610" s="340">
        <v>300</v>
      </c>
      <c r="E2610" s="343"/>
    </row>
    <row r="2611" spans="1:5" s="335" customFormat="1" ht="24">
      <c r="A2611" s="342" t="s">
        <v>1766</v>
      </c>
      <c r="B2611" s="342" t="s">
        <v>1767</v>
      </c>
      <c r="C2611" s="342" t="str">
        <f>("7640015736")</f>
        <v>7640015736</v>
      </c>
      <c r="D2611" s="340">
        <v>300</v>
      </c>
      <c r="E2611" s="343"/>
    </row>
    <row r="2612" spans="1:5" s="335" customFormat="1" ht="12.75">
      <c r="A2612" s="342" t="s">
        <v>1774</v>
      </c>
      <c r="B2612" s="342" t="s">
        <v>1775</v>
      </c>
      <c r="C2612" s="342" t="str">
        <f>("7640016311")</f>
        <v>7640016311</v>
      </c>
      <c r="D2612" s="340">
        <v>400</v>
      </c>
      <c r="E2612" s="343"/>
    </row>
    <row r="2613" spans="1:5" s="335" customFormat="1" ht="24">
      <c r="A2613" s="342" t="s">
        <v>1776</v>
      </c>
      <c r="B2613" s="342" t="s">
        <v>1777</v>
      </c>
      <c r="C2613" s="342" t="str">
        <f>("7640016312")</f>
        <v>7640016312</v>
      </c>
      <c r="D2613" s="340">
        <v>200</v>
      </c>
      <c r="E2613" s="343"/>
    </row>
    <row r="2614" spans="1:5" s="335" customFormat="1" ht="36">
      <c r="A2614" s="342" t="s">
        <v>1778</v>
      </c>
      <c r="B2614" s="342" t="s">
        <v>1778</v>
      </c>
      <c r="C2614" s="342" t="str">
        <f>("7640016313")</f>
        <v>7640016313</v>
      </c>
      <c r="D2614" s="340">
        <v>500</v>
      </c>
      <c r="E2614" s="343"/>
    </row>
    <row r="2615" spans="1:5" s="335" customFormat="1" ht="12.75">
      <c r="A2615" s="342" t="s">
        <v>1781</v>
      </c>
      <c r="B2615" s="342" t="s">
        <v>1782</v>
      </c>
      <c r="C2615" s="342" t="str">
        <f>("7640018120")</f>
        <v>7640018120</v>
      </c>
      <c r="D2615" s="340">
        <v>200</v>
      </c>
      <c r="E2615" s="343"/>
    </row>
    <row r="2616" spans="1:5" s="335" customFormat="1" ht="60">
      <c r="A2616" s="342" t="s">
        <v>1783</v>
      </c>
      <c r="B2616" s="342" t="s">
        <v>1783</v>
      </c>
      <c r="C2616" s="342" t="str">
        <f>("7640018452")</f>
        <v>7640018452</v>
      </c>
      <c r="D2616" s="340">
        <v>2244</v>
      </c>
      <c r="E2616" s="343"/>
    </row>
    <row r="2617" spans="1:5" s="335" customFormat="1" ht="24">
      <c r="A2617" s="342" t="s">
        <v>1784</v>
      </c>
      <c r="B2617" s="342" t="s">
        <v>1784</v>
      </c>
      <c r="C2617" s="342" t="str">
        <f>("7640018613")</f>
        <v>7640018613</v>
      </c>
      <c r="D2617" s="340">
        <v>1000</v>
      </c>
      <c r="E2617" s="343"/>
    </row>
    <row r="2618" spans="1:5" s="335" customFormat="1" ht="12.75">
      <c r="A2618" s="403" t="s">
        <v>836</v>
      </c>
      <c r="B2618" s="403"/>
      <c r="C2618" s="403"/>
      <c r="D2618" s="403"/>
      <c r="E2618" s="343"/>
    </row>
    <row r="2619" spans="1:5" s="335" customFormat="1" ht="36">
      <c r="A2619" s="342" t="s">
        <v>1785</v>
      </c>
      <c r="B2619" s="342" t="s">
        <v>1786</v>
      </c>
      <c r="C2619" s="342" t="str">
        <f>("7640014449")</f>
        <v>7640014449</v>
      </c>
      <c r="D2619" s="340">
        <v>120</v>
      </c>
      <c r="E2619" s="343"/>
    </row>
    <row r="2620" spans="1:5" s="335" customFormat="1" ht="36">
      <c r="A2620" s="342" t="s">
        <v>1791</v>
      </c>
      <c r="B2620" s="342" t="s">
        <v>1792</v>
      </c>
      <c r="C2620" s="342" t="str">
        <f>("7640015768")</f>
        <v>7640015768</v>
      </c>
      <c r="D2620" s="340">
        <v>160</v>
      </c>
      <c r="E2620" s="343"/>
    </row>
    <row r="2621" spans="1:5" s="335" customFormat="1" ht="24">
      <c r="A2621" s="342" t="s">
        <v>1793</v>
      </c>
      <c r="B2621" s="342" t="s">
        <v>1794</v>
      </c>
      <c r="C2621" s="342" t="str">
        <f>("7640015769")</f>
        <v>7640015769</v>
      </c>
      <c r="D2621" s="340">
        <v>40</v>
      </c>
      <c r="E2621" s="343"/>
    </row>
    <row r="2622" spans="1:5" s="335" customFormat="1" ht="24">
      <c r="A2622" s="342" t="s">
        <v>1795</v>
      </c>
      <c r="B2622" s="342" t="s">
        <v>1796</v>
      </c>
      <c r="C2622" s="342" t="str">
        <f>("7640015770")</f>
        <v>7640015770</v>
      </c>
      <c r="D2622" s="340">
        <v>80</v>
      </c>
      <c r="E2622" s="343"/>
    </row>
    <row r="2623" spans="1:5" s="335" customFormat="1" ht="24">
      <c r="A2623" s="342" t="s">
        <v>1797</v>
      </c>
      <c r="B2623" s="342" t="s">
        <v>1798</v>
      </c>
      <c r="C2623" s="342" t="str">
        <f>("7640015771")</f>
        <v>7640015771</v>
      </c>
      <c r="D2623" s="340">
        <v>60</v>
      </c>
      <c r="E2623" s="343"/>
    </row>
    <row r="2624" spans="1:5" s="335" customFormat="1" ht="24">
      <c r="A2624" s="342" t="s">
        <v>1799</v>
      </c>
      <c r="B2624" s="342" t="s">
        <v>1800</v>
      </c>
      <c r="C2624" s="342" t="str">
        <f>("7640015772")</f>
        <v>7640015772</v>
      </c>
      <c r="D2624" s="340">
        <v>60</v>
      </c>
      <c r="E2624" s="343"/>
    </row>
    <row r="2625" spans="1:5" s="335" customFormat="1" ht="36">
      <c r="A2625" s="342" t="s">
        <v>1801</v>
      </c>
      <c r="B2625" s="342" t="s">
        <v>1802</v>
      </c>
      <c r="C2625" s="342" t="str">
        <f>("7640015773")</f>
        <v>7640015773</v>
      </c>
      <c r="D2625" s="340">
        <v>60</v>
      </c>
      <c r="E2625" s="343"/>
    </row>
    <row r="2626" spans="1:5" s="335" customFormat="1" ht="36">
      <c r="A2626" s="342" t="s">
        <v>1803</v>
      </c>
      <c r="B2626" s="342" t="s">
        <v>1804</v>
      </c>
      <c r="C2626" s="342" t="str">
        <f>("7640015774")</f>
        <v>7640015774</v>
      </c>
      <c r="D2626" s="340">
        <v>342</v>
      </c>
      <c r="E2626" s="343"/>
    </row>
    <row r="2627" spans="1:5" s="335" customFormat="1" ht="24">
      <c r="A2627" s="342" t="s">
        <v>1807</v>
      </c>
      <c r="B2627" s="342" t="s">
        <v>1808</v>
      </c>
      <c r="C2627" s="342" t="str">
        <f>("7640015776")</f>
        <v>7640015776</v>
      </c>
      <c r="D2627" s="340">
        <v>171</v>
      </c>
      <c r="E2627" s="343"/>
    </row>
    <row r="2628" spans="1:5" s="335" customFormat="1" ht="36">
      <c r="A2628" s="342" t="s">
        <v>1809</v>
      </c>
      <c r="B2628" s="342" t="s">
        <v>1810</v>
      </c>
      <c r="C2628" s="342" t="str">
        <f>("7640015777")</f>
        <v>7640015777</v>
      </c>
      <c r="D2628" s="340">
        <v>456</v>
      </c>
      <c r="E2628" s="343"/>
    </row>
    <row r="2629" spans="1:5" s="335" customFormat="1" ht="24">
      <c r="A2629" s="342" t="s">
        <v>1811</v>
      </c>
      <c r="B2629" s="342" t="s">
        <v>1812</v>
      </c>
      <c r="C2629" s="342" t="str">
        <f>("7640015778")</f>
        <v>7640015778</v>
      </c>
      <c r="D2629" s="340">
        <v>114</v>
      </c>
      <c r="E2629" s="343"/>
    </row>
    <row r="2630" spans="1:5" s="335" customFormat="1" ht="24">
      <c r="A2630" s="342" t="s">
        <v>1813</v>
      </c>
      <c r="B2630" s="342" t="s">
        <v>1814</v>
      </c>
      <c r="C2630" s="342" t="str">
        <f>("7640015779")</f>
        <v>7640015779</v>
      </c>
      <c r="D2630" s="340">
        <v>228</v>
      </c>
      <c r="E2630" s="343"/>
    </row>
    <row r="2631" spans="1:5" s="335" customFormat="1" ht="24">
      <c r="A2631" s="342" t="s">
        <v>1815</v>
      </c>
      <c r="B2631" s="342" t="s">
        <v>1816</v>
      </c>
      <c r="C2631" s="342" t="str">
        <f>("7640015780")</f>
        <v>7640015780</v>
      </c>
      <c r="D2631" s="340">
        <v>171</v>
      </c>
      <c r="E2631" s="343"/>
    </row>
    <row r="2632" spans="1:5" s="335" customFormat="1" ht="24">
      <c r="A2632" s="342" t="s">
        <v>1817</v>
      </c>
      <c r="B2632" s="342" t="s">
        <v>1818</v>
      </c>
      <c r="C2632" s="342" t="str">
        <f>("7640015781")</f>
        <v>7640015781</v>
      </c>
      <c r="D2632" s="340">
        <v>171</v>
      </c>
      <c r="E2632" s="343"/>
    </row>
    <row r="2633" spans="1:5" s="335" customFormat="1" ht="36">
      <c r="A2633" s="342" t="s">
        <v>1819</v>
      </c>
      <c r="B2633" s="342" t="s">
        <v>1820</v>
      </c>
      <c r="C2633" s="342" t="str">
        <f>("7640015782")</f>
        <v>7640015782</v>
      </c>
      <c r="D2633" s="340">
        <v>171</v>
      </c>
      <c r="E2633" s="343"/>
    </row>
    <row r="2634" spans="1:5" s="335" customFormat="1" ht="36">
      <c r="A2634" s="342" t="s">
        <v>1821</v>
      </c>
      <c r="B2634" s="342" t="s">
        <v>1822</v>
      </c>
      <c r="C2634" s="342" t="str">
        <f>("7640015783")</f>
        <v>7640015783</v>
      </c>
      <c r="D2634" s="340">
        <v>540</v>
      </c>
      <c r="E2634" s="343"/>
    </row>
    <row r="2635" spans="1:5" s="335" customFormat="1" ht="24">
      <c r="A2635" s="342" t="s">
        <v>1825</v>
      </c>
      <c r="B2635" s="342" t="s">
        <v>1826</v>
      </c>
      <c r="C2635" s="342" t="str">
        <f>("7640015785")</f>
        <v>7640015785</v>
      </c>
      <c r="D2635" s="340">
        <v>270</v>
      </c>
      <c r="E2635" s="343"/>
    </row>
    <row r="2636" spans="1:5" s="335" customFormat="1" ht="36">
      <c r="A2636" s="342" t="s">
        <v>1827</v>
      </c>
      <c r="B2636" s="342" t="s">
        <v>1828</v>
      </c>
      <c r="C2636" s="342" t="str">
        <f>("7640015786")</f>
        <v>7640015786</v>
      </c>
      <c r="D2636" s="340">
        <v>720</v>
      </c>
      <c r="E2636" s="343"/>
    </row>
    <row r="2637" spans="1:5" s="335" customFormat="1" ht="24">
      <c r="A2637" s="342" t="s">
        <v>1829</v>
      </c>
      <c r="B2637" s="342" t="s">
        <v>1830</v>
      </c>
      <c r="C2637" s="342" t="str">
        <f>("7640015787")</f>
        <v>7640015787</v>
      </c>
      <c r="D2637" s="340">
        <v>180</v>
      </c>
      <c r="E2637" s="343"/>
    </row>
    <row r="2638" spans="1:5" s="335" customFormat="1" ht="24">
      <c r="A2638" s="342" t="s">
        <v>1831</v>
      </c>
      <c r="B2638" s="342" t="s">
        <v>1832</v>
      </c>
      <c r="C2638" s="342" t="str">
        <f>("7640015788")</f>
        <v>7640015788</v>
      </c>
      <c r="D2638" s="340">
        <v>360</v>
      </c>
      <c r="E2638" s="343"/>
    </row>
    <row r="2639" spans="1:5" s="335" customFormat="1" ht="36">
      <c r="A2639" s="342" t="s">
        <v>1833</v>
      </c>
      <c r="B2639" s="342" t="s">
        <v>1834</v>
      </c>
      <c r="C2639" s="342" t="str">
        <f>("7640015789")</f>
        <v>7640015789</v>
      </c>
      <c r="D2639" s="340">
        <v>270</v>
      </c>
      <c r="E2639" s="343"/>
    </row>
    <row r="2640" spans="1:5" s="335" customFormat="1" ht="24">
      <c r="A2640" s="342" t="s">
        <v>1835</v>
      </c>
      <c r="B2640" s="342" t="s">
        <v>1836</v>
      </c>
      <c r="C2640" s="342" t="str">
        <f>("7640015790")</f>
        <v>7640015790</v>
      </c>
      <c r="D2640" s="340">
        <v>270</v>
      </c>
      <c r="E2640" s="343"/>
    </row>
    <row r="2641" spans="1:5" s="335" customFormat="1" ht="36">
      <c r="A2641" s="342" t="s">
        <v>1837</v>
      </c>
      <c r="B2641" s="342" t="s">
        <v>1838</v>
      </c>
      <c r="C2641" s="342" t="str">
        <f>("7640015791")</f>
        <v>7640015791</v>
      </c>
      <c r="D2641" s="340">
        <v>270</v>
      </c>
      <c r="E2641" s="343"/>
    </row>
    <row r="2642" spans="1:5" s="335" customFormat="1" ht="24">
      <c r="A2642" s="342" t="s">
        <v>1845</v>
      </c>
      <c r="B2642" s="342" t="s">
        <v>1846</v>
      </c>
      <c r="C2642" s="342" t="str">
        <f>("7640016318")</f>
        <v>7640016318</v>
      </c>
      <c r="D2642" s="340">
        <v>80</v>
      </c>
      <c r="E2642" s="343"/>
    </row>
    <row r="2643" spans="1:5" s="335" customFormat="1" ht="24">
      <c r="A2643" s="342" t="s">
        <v>1847</v>
      </c>
      <c r="B2643" s="342" t="s">
        <v>1848</v>
      </c>
      <c r="C2643" s="342" t="str">
        <f>("7640016319")</f>
        <v>7640016319</v>
      </c>
      <c r="D2643" s="340">
        <v>40</v>
      </c>
      <c r="E2643" s="343"/>
    </row>
    <row r="2644" spans="1:5" s="335" customFormat="1" ht="24">
      <c r="A2644" s="342" t="s">
        <v>1849</v>
      </c>
      <c r="B2644" s="342" t="s">
        <v>1850</v>
      </c>
      <c r="C2644" s="342" t="str">
        <f>("7640016320")</f>
        <v>7640016320</v>
      </c>
      <c r="D2644" s="340">
        <v>100</v>
      </c>
      <c r="E2644" s="343"/>
    </row>
    <row r="2645" spans="1:5" s="335" customFormat="1" ht="24">
      <c r="A2645" s="342" t="s">
        <v>1869</v>
      </c>
      <c r="B2645" s="342" t="s">
        <v>1870</v>
      </c>
      <c r="C2645" s="342" t="str">
        <f>("7640016332")</f>
        <v>7640016332</v>
      </c>
      <c r="D2645" s="340">
        <v>360</v>
      </c>
      <c r="E2645" s="343"/>
    </row>
    <row r="2646" spans="1:5" s="335" customFormat="1" ht="24">
      <c r="A2646" s="342" t="s">
        <v>1871</v>
      </c>
      <c r="B2646" s="342" t="s">
        <v>1872</v>
      </c>
      <c r="C2646" s="342" t="str">
        <f>("7640016333")</f>
        <v>7640016333</v>
      </c>
      <c r="D2646" s="340">
        <v>180</v>
      </c>
      <c r="E2646" s="343"/>
    </row>
    <row r="2647" spans="1:5" s="335" customFormat="1" ht="24">
      <c r="A2647" s="342" t="s">
        <v>1873</v>
      </c>
      <c r="B2647" s="342" t="s">
        <v>1874</v>
      </c>
      <c r="C2647" s="342" t="str">
        <f>("7640016334")</f>
        <v>7640016334</v>
      </c>
      <c r="D2647" s="340">
        <v>450</v>
      </c>
      <c r="E2647" s="343"/>
    </row>
    <row r="2648" spans="1:5" s="335" customFormat="1" ht="24">
      <c r="A2648" s="342" t="s">
        <v>1881</v>
      </c>
      <c r="B2648" s="342" t="s">
        <v>1882</v>
      </c>
      <c r="C2648" s="342" t="str">
        <f>("7640018121")</f>
        <v>7640018121</v>
      </c>
      <c r="D2648" s="340">
        <v>40</v>
      </c>
      <c r="E2648" s="343"/>
    </row>
    <row r="2649" spans="1:5" s="335" customFormat="1" ht="24">
      <c r="A2649" s="342" t="s">
        <v>1883</v>
      </c>
      <c r="B2649" s="342" t="s">
        <v>1884</v>
      </c>
      <c r="C2649" s="342" t="str">
        <f>("7640018122")</f>
        <v>7640018122</v>
      </c>
      <c r="D2649" s="340">
        <v>114</v>
      </c>
      <c r="E2649" s="343"/>
    </row>
    <row r="2650" spans="1:5" s="335" customFormat="1" ht="24">
      <c r="A2650" s="342" t="s">
        <v>1885</v>
      </c>
      <c r="B2650" s="342" t="s">
        <v>1886</v>
      </c>
      <c r="C2650" s="342" t="str">
        <f>("7640018123")</f>
        <v>7640018123</v>
      </c>
      <c r="D2650" s="340">
        <v>180</v>
      </c>
      <c r="E2650" s="343"/>
    </row>
    <row r="2651" spans="1:5" s="335" customFormat="1" ht="48">
      <c r="A2651" s="342" t="s">
        <v>1887</v>
      </c>
      <c r="B2651" s="342" t="s">
        <v>1887</v>
      </c>
      <c r="C2651" s="342" t="str">
        <f>("7640018453")</f>
        <v>7640018453</v>
      </c>
      <c r="D2651" s="340">
        <v>450</v>
      </c>
      <c r="E2651" s="343"/>
    </row>
    <row r="2652" spans="1:5" s="335" customFormat="1" ht="48">
      <c r="A2652" s="342" t="s">
        <v>1888</v>
      </c>
      <c r="B2652" s="342" t="s">
        <v>1888</v>
      </c>
      <c r="C2652" s="342" t="str">
        <f>("7640018454")</f>
        <v>7640018454</v>
      </c>
      <c r="D2652" s="340">
        <v>1278</v>
      </c>
      <c r="E2652" s="343"/>
    </row>
    <row r="2653" spans="1:5" s="335" customFormat="1" ht="48">
      <c r="A2653" s="342" t="s">
        <v>1889</v>
      </c>
      <c r="B2653" s="342" t="s">
        <v>1889</v>
      </c>
      <c r="C2653" s="342" t="str">
        <f>("7640018455")</f>
        <v>7640018455</v>
      </c>
      <c r="D2653" s="340">
        <v>2030</v>
      </c>
      <c r="E2653" s="343"/>
    </row>
    <row r="2654" spans="1:5" s="335" customFormat="1" ht="48">
      <c r="A2654" s="342" t="s">
        <v>1890</v>
      </c>
      <c r="B2654" s="342" t="s">
        <v>1890</v>
      </c>
      <c r="C2654" s="342" t="str">
        <f>("7640018614")</f>
        <v>7640018614</v>
      </c>
      <c r="D2654" s="340">
        <v>200</v>
      </c>
      <c r="E2654" s="343"/>
    </row>
    <row r="2655" spans="1:5" s="335" customFormat="1" ht="48">
      <c r="A2655" s="342" t="s">
        <v>1891</v>
      </c>
      <c r="B2655" s="342" t="s">
        <v>1891</v>
      </c>
      <c r="C2655" s="342" t="str">
        <f>("7640018615")</f>
        <v>7640018615</v>
      </c>
      <c r="D2655" s="340">
        <v>570</v>
      </c>
      <c r="E2655" s="343"/>
    </row>
    <row r="2656" spans="1:5" s="335" customFormat="1" ht="48">
      <c r="A2656" s="342" t="s">
        <v>1892</v>
      </c>
      <c r="B2656" s="342" t="s">
        <v>1892</v>
      </c>
      <c r="C2656" s="342" t="str">
        <f>("7640018616")</f>
        <v>7640018616</v>
      </c>
      <c r="D2656" s="340">
        <v>900</v>
      </c>
      <c r="E2656" s="343"/>
    </row>
    <row r="2657" spans="1:5" s="335" customFormat="1" ht="12.75">
      <c r="A2657" s="403" t="s">
        <v>856</v>
      </c>
      <c r="B2657" s="403"/>
      <c r="C2657" s="403"/>
      <c r="D2657" s="403"/>
      <c r="E2657" s="343"/>
    </row>
    <row r="2658" spans="1:5" s="335" customFormat="1" ht="36">
      <c r="A2658" s="342" t="s">
        <v>1893</v>
      </c>
      <c r="B2658" s="342" t="s">
        <v>1894</v>
      </c>
      <c r="C2658" s="342" t="str">
        <f>("7640005345")</f>
        <v>7640005345</v>
      </c>
      <c r="D2658" s="340">
        <v>200</v>
      </c>
      <c r="E2658" s="343"/>
    </row>
    <row r="2659" spans="1:5" s="335" customFormat="1" ht="36">
      <c r="A2659" s="342" t="s">
        <v>1895</v>
      </c>
      <c r="B2659" s="342" t="s">
        <v>1896</v>
      </c>
      <c r="C2659" s="342" t="str">
        <f>("7640005346")</f>
        <v>7640005346</v>
      </c>
      <c r="D2659" s="340">
        <v>350</v>
      </c>
      <c r="E2659" s="343"/>
    </row>
    <row r="2660" spans="1:5" s="335" customFormat="1" ht="36">
      <c r="A2660" s="342" t="s">
        <v>1945</v>
      </c>
      <c r="B2660" s="342" t="s">
        <v>1946</v>
      </c>
      <c r="C2660" s="342" t="s">
        <v>6163</v>
      </c>
      <c r="D2660" s="340">
        <v>800</v>
      </c>
      <c r="E2660" s="343"/>
    </row>
    <row r="2661" spans="1:5" s="335" customFormat="1" ht="12.75">
      <c r="A2661" s="403" t="s">
        <v>856</v>
      </c>
      <c r="B2661" s="403"/>
      <c r="C2661" s="403"/>
      <c r="D2661" s="403"/>
      <c r="E2661" s="343"/>
    </row>
    <row r="2662" spans="1:5" s="335" customFormat="1" ht="36">
      <c r="A2662" s="342" t="s">
        <v>1947</v>
      </c>
      <c r="B2662" s="342" t="s">
        <v>1948</v>
      </c>
      <c r="C2662" s="342" t="str">
        <f>("7640018005")</f>
        <v>7640018005</v>
      </c>
      <c r="D2662" s="340">
        <v>1800</v>
      </c>
      <c r="E2662" s="343"/>
    </row>
    <row r="2663" spans="1:5" s="335" customFormat="1" ht="12.75">
      <c r="A2663" s="344"/>
      <c r="B2663" s="343"/>
      <c r="C2663" s="343"/>
      <c r="D2663" s="395"/>
      <c r="E2663" s="343"/>
    </row>
    <row r="2664" spans="1:5" s="335" customFormat="1" ht="15" customHeight="1">
      <c r="A2664" s="345"/>
      <c r="B2664" s="404" t="s">
        <v>1949</v>
      </c>
      <c r="C2664" s="404"/>
      <c r="D2664" s="404"/>
      <c r="E2664" s="404"/>
    </row>
    <row r="2665" spans="1:5" s="335" customFormat="1" ht="25.5">
      <c r="A2665" s="346" t="s">
        <v>789</v>
      </c>
      <c r="B2665" s="346" t="s">
        <v>409</v>
      </c>
      <c r="C2665" s="346" t="s">
        <v>26</v>
      </c>
      <c r="D2665" s="337" t="s">
        <v>6425</v>
      </c>
      <c r="E2665" s="343"/>
    </row>
    <row r="2666" spans="1:5" s="335" customFormat="1" ht="38.25">
      <c r="A2666" s="342" t="s">
        <v>1950</v>
      </c>
      <c r="B2666" s="342"/>
      <c r="C2666" s="342" t="s">
        <v>6164</v>
      </c>
      <c r="D2666" s="340">
        <v>0</v>
      </c>
      <c r="E2666" s="343"/>
    </row>
    <row r="2667" spans="1:5" s="335" customFormat="1" ht="12.75">
      <c r="A2667" s="403" t="s">
        <v>792</v>
      </c>
      <c r="B2667" s="403"/>
      <c r="C2667" s="403"/>
      <c r="D2667" s="403"/>
      <c r="E2667" s="343"/>
    </row>
    <row r="2668" spans="1:5" s="335" customFormat="1" ht="24">
      <c r="A2668" s="342" t="s">
        <v>1951</v>
      </c>
      <c r="B2668" s="342" t="s">
        <v>1952</v>
      </c>
      <c r="C2668" s="342" t="s">
        <v>6165</v>
      </c>
      <c r="D2668" s="340">
        <v>800</v>
      </c>
      <c r="E2668" s="343"/>
    </row>
    <row r="2669" spans="1:5" s="335" customFormat="1" ht="24">
      <c r="A2669" s="342" t="s">
        <v>1953</v>
      </c>
      <c r="B2669" s="342" t="s">
        <v>1954</v>
      </c>
      <c r="C2669" s="342" t="str">
        <f>("7640015720")</f>
        <v>7640015720</v>
      </c>
      <c r="D2669" s="340">
        <v>5840</v>
      </c>
      <c r="E2669" s="343"/>
    </row>
    <row r="2670" spans="1:5" s="335" customFormat="1" ht="24">
      <c r="A2670" s="342" t="s">
        <v>1955</v>
      </c>
      <c r="B2670" s="342" t="s">
        <v>1956</v>
      </c>
      <c r="C2670" s="342" t="str">
        <f>("7640015721")</f>
        <v>7640015721</v>
      </c>
      <c r="D2670" s="340">
        <v>14200</v>
      </c>
      <c r="E2670" s="343"/>
    </row>
    <row r="2671" spans="1:5" s="335" customFormat="1" ht="24">
      <c r="A2671" s="342" t="s">
        <v>1957</v>
      </c>
      <c r="B2671" s="342" t="s">
        <v>1958</v>
      </c>
      <c r="C2671" s="342" t="str">
        <f>("7640015722")</f>
        <v>7640015722</v>
      </c>
      <c r="D2671" s="340">
        <v>27600</v>
      </c>
      <c r="E2671" s="343"/>
    </row>
    <row r="2672" spans="1:5" s="335" customFormat="1" ht="24">
      <c r="A2672" s="342" t="s">
        <v>1959</v>
      </c>
      <c r="B2672" s="342" t="s">
        <v>1960</v>
      </c>
      <c r="C2672" s="342" t="str">
        <f>("7640015723")</f>
        <v>7640015723</v>
      </c>
      <c r="D2672" s="340">
        <v>53600</v>
      </c>
      <c r="E2672" s="343"/>
    </row>
    <row r="2673" spans="1:5" s="335" customFormat="1" ht="12.75">
      <c r="A2673" s="403" t="s">
        <v>803</v>
      </c>
      <c r="B2673" s="403"/>
      <c r="C2673" s="403"/>
      <c r="D2673" s="403"/>
      <c r="E2673" s="343"/>
    </row>
    <row r="2674" spans="1:5" s="335" customFormat="1" ht="24">
      <c r="A2674" s="342" t="s">
        <v>1961</v>
      </c>
      <c r="B2674" s="342" t="s">
        <v>1962</v>
      </c>
      <c r="C2674" s="342" t="str">
        <f>("7640014448")</f>
        <v>7640014448</v>
      </c>
      <c r="D2674" s="340">
        <v>160</v>
      </c>
      <c r="E2674" s="343"/>
    </row>
    <row r="2675" spans="1:5" s="335" customFormat="1" ht="24">
      <c r="A2675" s="342" t="s">
        <v>1963</v>
      </c>
      <c r="B2675" s="342" t="s">
        <v>1964</v>
      </c>
      <c r="C2675" s="342" t="str">
        <f>("7640015737")</f>
        <v>7640015737</v>
      </c>
      <c r="D2675" s="340">
        <v>1168</v>
      </c>
      <c r="E2675" s="343"/>
    </row>
    <row r="2676" spans="1:5" s="335" customFormat="1" ht="24">
      <c r="A2676" s="342" t="s">
        <v>1965</v>
      </c>
      <c r="B2676" s="342" t="s">
        <v>1966</v>
      </c>
      <c r="C2676" s="342" t="str">
        <f>("7640015738")</f>
        <v>7640015738</v>
      </c>
      <c r="D2676" s="340">
        <v>2840</v>
      </c>
      <c r="E2676" s="343"/>
    </row>
    <row r="2677" spans="1:5" s="335" customFormat="1" ht="24">
      <c r="A2677" s="342" t="s">
        <v>1967</v>
      </c>
      <c r="B2677" s="342" t="s">
        <v>1968</v>
      </c>
      <c r="C2677" s="342" t="str">
        <f>("7640015739")</f>
        <v>7640015739</v>
      </c>
      <c r="D2677" s="340">
        <v>5520</v>
      </c>
      <c r="E2677" s="343"/>
    </row>
    <row r="2678" spans="1:5" s="335" customFormat="1" ht="24">
      <c r="A2678" s="342" t="s">
        <v>1969</v>
      </c>
      <c r="B2678" s="342" t="s">
        <v>1970</v>
      </c>
      <c r="C2678" s="342" t="str">
        <f>("7640015740")</f>
        <v>7640015740</v>
      </c>
      <c r="D2678" s="340">
        <v>10720</v>
      </c>
      <c r="E2678" s="343"/>
    </row>
    <row r="2679" spans="1:5" s="335" customFormat="1" ht="24">
      <c r="A2679" s="342" t="s">
        <v>1971</v>
      </c>
      <c r="B2679" s="342" t="s">
        <v>1972</v>
      </c>
      <c r="C2679" s="342" t="str">
        <f>("7640015741")</f>
        <v>7640015741</v>
      </c>
      <c r="D2679" s="340">
        <v>456</v>
      </c>
      <c r="E2679" s="343"/>
    </row>
    <row r="2680" spans="1:5" s="335" customFormat="1" ht="24">
      <c r="A2680" s="342" t="s">
        <v>1973</v>
      </c>
      <c r="B2680" s="342" t="s">
        <v>1974</v>
      </c>
      <c r="C2680" s="342" t="str">
        <f>("7640015742")</f>
        <v>7640015742</v>
      </c>
      <c r="D2680" s="340">
        <v>3329</v>
      </c>
      <c r="E2680" s="343"/>
    </row>
    <row r="2681" spans="1:5" s="335" customFormat="1" ht="24">
      <c r="A2681" s="342" t="s">
        <v>1975</v>
      </c>
      <c r="B2681" s="342" t="s">
        <v>1976</v>
      </c>
      <c r="C2681" s="342" t="str">
        <f>("7640015743")</f>
        <v>7640015743</v>
      </c>
      <c r="D2681" s="340">
        <v>8094</v>
      </c>
      <c r="E2681" s="343"/>
    </row>
    <row r="2682" spans="1:5" s="335" customFormat="1" ht="24">
      <c r="A2682" s="342" t="s">
        <v>1977</v>
      </c>
      <c r="B2682" s="342" t="s">
        <v>1978</v>
      </c>
      <c r="C2682" s="342" t="str">
        <f>("7640015744")</f>
        <v>7640015744</v>
      </c>
      <c r="D2682" s="340">
        <v>15732</v>
      </c>
      <c r="E2682" s="343"/>
    </row>
    <row r="2683" spans="1:5" s="335" customFormat="1" ht="24">
      <c r="A2683" s="342" t="s">
        <v>1979</v>
      </c>
      <c r="B2683" s="342" t="s">
        <v>1980</v>
      </c>
      <c r="C2683" s="342" t="str">
        <f>("7640015745")</f>
        <v>7640015745</v>
      </c>
      <c r="D2683" s="340">
        <v>30552</v>
      </c>
      <c r="E2683" s="343"/>
    </row>
    <row r="2684" spans="1:5" s="335" customFormat="1" ht="24">
      <c r="A2684" s="342" t="s">
        <v>1981</v>
      </c>
      <c r="B2684" s="342" t="s">
        <v>1982</v>
      </c>
      <c r="C2684" s="342" t="str">
        <f>("7640015746")</f>
        <v>7640015746</v>
      </c>
      <c r="D2684" s="340">
        <v>720</v>
      </c>
      <c r="E2684" s="343"/>
    </row>
    <row r="2685" spans="1:5" s="335" customFormat="1" ht="24">
      <c r="A2685" s="342" t="s">
        <v>1983</v>
      </c>
      <c r="B2685" s="342" t="s">
        <v>1984</v>
      </c>
      <c r="C2685" s="342" t="str">
        <f>("7640015748")</f>
        <v>7640015748</v>
      </c>
      <c r="D2685" s="340">
        <v>12780</v>
      </c>
      <c r="E2685" s="343"/>
    </row>
    <row r="2686" spans="1:5" s="335" customFormat="1" ht="24">
      <c r="A2686" s="342" t="s">
        <v>1985</v>
      </c>
      <c r="B2686" s="342" t="s">
        <v>1986</v>
      </c>
      <c r="C2686" s="342" t="str">
        <f>("7640015749")</f>
        <v>7640015749</v>
      </c>
      <c r="D2686" s="340">
        <v>24840</v>
      </c>
      <c r="E2686" s="343"/>
    </row>
    <row r="2687" spans="1:5" s="335" customFormat="1" ht="24">
      <c r="A2687" s="342" t="s">
        <v>1987</v>
      </c>
      <c r="B2687" s="342" t="s">
        <v>1988</v>
      </c>
      <c r="C2687" s="342" t="str">
        <f>("7640015750")</f>
        <v>7640015750</v>
      </c>
      <c r="D2687" s="340">
        <v>48240</v>
      </c>
      <c r="E2687" s="343"/>
    </row>
    <row r="2688" spans="1:5" s="335" customFormat="1" ht="12.75">
      <c r="A2688" s="403" t="s">
        <v>819</v>
      </c>
      <c r="B2688" s="403"/>
      <c r="C2688" s="403"/>
      <c r="D2688" s="403"/>
      <c r="E2688" s="343"/>
    </row>
    <row r="2689" spans="1:5" s="335" customFormat="1" ht="24">
      <c r="A2689" s="342" t="s">
        <v>1750</v>
      </c>
      <c r="B2689" s="342" t="s">
        <v>1751</v>
      </c>
      <c r="C2689" s="342" t="s">
        <v>6160</v>
      </c>
      <c r="D2689" s="340">
        <v>600</v>
      </c>
      <c r="E2689" s="343"/>
    </row>
    <row r="2690" spans="1:5" s="335" customFormat="1" ht="24">
      <c r="A2690" s="342" t="s">
        <v>1752</v>
      </c>
      <c r="B2690" s="342" t="s">
        <v>1753</v>
      </c>
      <c r="C2690" s="342" t="str">
        <f>("7640015729")</f>
        <v>7640015729</v>
      </c>
      <c r="D2690" s="340">
        <v>500</v>
      </c>
      <c r="E2690" s="343"/>
    </row>
    <row r="2691" spans="1:5" s="335" customFormat="1" ht="24">
      <c r="A2691" s="342" t="s">
        <v>1754</v>
      </c>
      <c r="B2691" s="342" t="s">
        <v>1755</v>
      </c>
      <c r="C2691" s="342" t="str">
        <f>("7640015730")</f>
        <v>7640015730</v>
      </c>
      <c r="D2691" s="340">
        <v>300</v>
      </c>
      <c r="E2691" s="343"/>
    </row>
    <row r="2692" spans="1:5" s="335" customFormat="1" ht="24">
      <c r="A2692" s="342" t="s">
        <v>1756</v>
      </c>
      <c r="B2692" s="342" t="s">
        <v>1757</v>
      </c>
      <c r="C2692" s="342" t="str">
        <f>("7640015731")</f>
        <v>7640015731</v>
      </c>
      <c r="D2692" s="340">
        <v>800</v>
      </c>
      <c r="E2692" s="343"/>
    </row>
    <row r="2693" spans="1:5" s="335" customFormat="1" ht="24">
      <c r="A2693" s="342" t="s">
        <v>1760</v>
      </c>
      <c r="B2693" s="342" t="s">
        <v>1761</v>
      </c>
      <c r="C2693" s="342" t="str">
        <f>("7640015733")</f>
        <v>7640015733</v>
      </c>
      <c r="D2693" s="340">
        <v>400</v>
      </c>
      <c r="E2693" s="343"/>
    </row>
    <row r="2694" spans="1:5" s="335" customFormat="1" ht="24">
      <c r="A2694" s="342" t="s">
        <v>1762</v>
      </c>
      <c r="B2694" s="342" t="s">
        <v>1763</v>
      </c>
      <c r="C2694" s="342" t="str">
        <f>("7640015734")</f>
        <v>7640015734</v>
      </c>
      <c r="D2694" s="340">
        <v>300</v>
      </c>
      <c r="E2694" s="343"/>
    </row>
    <row r="2695" spans="1:5" s="335" customFormat="1" ht="24">
      <c r="A2695" s="342" t="s">
        <v>1764</v>
      </c>
      <c r="B2695" s="342" t="s">
        <v>1765</v>
      </c>
      <c r="C2695" s="342" t="str">
        <f>("7640015735")</f>
        <v>7640015735</v>
      </c>
      <c r="D2695" s="340">
        <v>300</v>
      </c>
      <c r="E2695" s="343"/>
    </row>
    <row r="2696" spans="1:5" s="335" customFormat="1" ht="24">
      <c r="A2696" s="342" t="s">
        <v>1766</v>
      </c>
      <c r="B2696" s="342" t="s">
        <v>1767</v>
      </c>
      <c r="C2696" s="342" t="str">
        <f>("7640015736")</f>
        <v>7640015736</v>
      </c>
      <c r="D2696" s="340">
        <v>300</v>
      </c>
      <c r="E2696" s="343"/>
    </row>
    <row r="2697" spans="1:5" s="335" customFormat="1" ht="24">
      <c r="A2697" s="342" t="s">
        <v>1772</v>
      </c>
      <c r="B2697" s="342" t="s">
        <v>1773</v>
      </c>
      <c r="C2697" s="342" t="str">
        <f>("7640016310")</f>
        <v>7640016310</v>
      </c>
      <c r="D2697" s="340">
        <v>300</v>
      </c>
      <c r="E2697" s="343"/>
    </row>
    <row r="2698" spans="1:5" s="335" customFormat="1" ht="36">
      <c r="A2698" s="342" t="s">
        <v>1778</v>
      </c>
      <c r="B2698" s="342" t="s">
        <v>1778</v>
      </c>
      <c r="C2698" s="342" t="str">
        <f>("7640016313")</f>
        <v>7640016313</v>
      </c>
      <c r="D2698" s="340">
        <v>500</v>
      </c>
      <c r="E2698" s="343"/>
    </row>
    <row r="2699" spans="1:5" s="335" customFormat="1" ht="60">
      <c r="A2699" s="342" t="s">
        <v>1783</v>
      </c>
      <c r="B2699" s="342" t="s">
        <v>1783</v>
      </c>
      <c r="C2699" s="342" t="str">
        <f>("7640018452")</f>
        <v>7640018452</v>
      </c>
      <c r="D2699" s="340">
        <v>2244</v>
      </c>
      <c r="E2699" s="343"/>
    </row>
    <row r="2700" spans="1:5" s="335" customFormat="1" ht="24">
      <c r="A2700" s="342" t="s">
        <v>1784</v>
      </c>
      <c r="B2700" s="342" t="s">
        <v>1784</v>
      </c>
      <c r="C2700" s="342" t="str">
        <f>("7640018613")</f>
        <v>7640018613</v>
      </c>
      <c r="D2700" s="340">
        <v>1000</v>
      </c>
      <c r="E2700" s="343"/>
    </row>
    <row r="2701" spans="1:5" s="335" customFormat="1" ht="12.75">
      <c r="A2701" s="403" t="s">
        <v>836</v>
      </c>
      <c r="B2701" s="403"/>
      <c r="C2701" s="403"/>
      <c r="D2701" s="403"/>
      <c r="E2701" s="343"/>
    </row>
    <row r="2702" spans="1:5" s="335" customFormat="1" ht="36">
      <c r="A2702" s="342" t="s">
        <v>1785</v>
      </c>
      <c r="B2702" s="342" t="s">
        <v>1786</v>
      </c>
      <c r="C2702" s="342" t="str">
        <f>("7640014449")</f>
        <v>7640014449</v>
      </c>
      <c r="D2702" s="340">
        <v>120</v>
      </c>
      <c r="E2702" s="343"/>
    </row>
    <row r="2703" spans="1:5" s="335" customFormat="1" ht="36">
      <c r="A2703" s="342" t="s">
        <v>1787</v>
      </c>
      <c r="B2703" s="342" t="s">
        <v>1788</v>
      </c>
      <c r="C2703" s="342" t="str">
        <f>("7640015766")</f>
        <v>7640015766</v>
      </c>
      <c r="D2703" s="340">
        <v>100</v>
      </c>
      <c r="E2703" s="343"/>
    </row>
    <row r="2704" spans="1:5" s="335" customFormat="1" ht="24">
      <c r="A2704" s="342" t="s">
        <v>1789</v>
      </c>
      <c r="B2704" s="342" t="s">
        <v>1790</v>
      </c>
      <c r="C2704" s="342" t="str">
        <f>("7640015767")</f>
        <v>7640015767</v>
      </c>
      <c r="D2704" s="340">
        <v>60</v>
      </c>
      <c r="E2704" s="343"/>
    </row>
    <row r="2705" spans="1:5" s="335" customFormat="1" ht="36">
      <c r="A2705" s="342" t="s">
        <v>1791</v>
      </c>
      <c r="B2705" s="342" t="s">
        <v>1792</v>
      </c>
      <c r="C2705" s="342" t="str">
        <f>("7640015768")</f>
        <v>7640015768</v>
      </c>
      <c r="D2705" s="340">
        <v>160</v>
      </c>
      <c r="E2705" s="343"/>
    </row>
    <row r="2706" spans="1:5" s="335" customFormat="1" ht="24">
      <c r="A2706" s="342" t="s">
        <v>1795</v>
      </c>
      <c r="B2706" s="342" t="s">
        <v>1796</v>
      </c>
      <c r="C2706" s="342" t="str">
        <f>("7640015770")</f>
        <v>7640015770</v>
      </c>
      <c r="D2706" s="340">
        <v>80</v>
      </c>
      <c r="E2706" s="343"/>
    </row>
    <row r="2707" spans="1:5" s="335" customFormat="1" ht="24">
      <c r="A2707" s="342" t="s">
        <v>1797</v>
      </c>
      <c r="B2707" s="342" t="s">
        <v>1798</v>
      </c>
      <c r="C2707" s="342" t="str">
        <f>("7640015771")</f>
        <v>7640015771</v>
      </c>
      <c r="D2707" s="340">
        <v>60</v>
      </c>
      <c r="E2707" s="343"/>
    </row>
    <row r="2708" spans="1:5" s="335" customFormat="1" ht="24">
      <c r="A2708" s="342" t="s">
        <v>1799</v>
      </c>
      <c r="B2708" s="342" t="s">
        <v>1800</v>
      </c>
      <c r="C2708" s="342" t="str">
        <f>("7640015772")</f>
        <v>7640015772</v>
      </c>
      <c r="D2708" s="340">
        <v>60</v>
      </c>
      <c r="E2708" s="343"/>
    </row>
    <row r="2709" spans="1:5" s="335" customFormat="1" ht="36">
      <c r="A2709" s="342" t="s">
        <v>1801</v>
      </c>
      <c r="B2709" s="342" t="s">
        <v>1802</v>
      </c>
      <c r="C2709" s="342" t="str">
        <f>("7640015773")</f>
        <v>7640015773</v>
      </c>
      <c r="D2709" s="340">
        <v>60</v>
      </c>
      <c r="E2709" s="343"/>
    </row>
    <row r="2710" spans="1:5" s="335" customFormat="1" ht="36">
      <c r="A2710" s="342" t="s">
        <v>1803</v>
      </c>
      <c r="B2710" s="342" t="s">
        <v>1804</v>
      </c>
      <c r="C2710" s="342" t="str">
        <f>("7640015774")</f>
        <v>7640015774</v>
      </c>
      <c r="D2710" s="340">
        <v>342</v>
      </c>
      <c r="E2710" s="343"/>
    </row>
    <row r="2711" spans="1:5" s="335" customFormat="1" ht="36">
      <c r="A2711" s="342" t="s">
        <v>1805</v>
      </c>
      <c r="B2711" s="342" t="s">
        <v>1806</v>
      </c>
      <c r="C2711" s="342" t="str">
        <f>("7640015775")</f>
        <v>7640015775</v>
      </c>
      <c r="D2711" s="340">
        <v>285</v>
      </c>
      <c r="E2711" s="343"/>
    </row>
    <row r="2712" spans="1:5" s="335" customFormat="1" ht="24">
      <c r="A2712" s="342" t="s">
        <v>1807</v>
      </c>
      <c r="B2712" s="342" t="s">
        <v>1808</v>
      </c>
      <c r="C2712" s="342" t="str">
        <f>("7640015776")</f>
        <v>7640015776</v>
      </c>
      <c r="D2712" s="340">
        <v>171</v>
      </c>
      <c r="E2712" s="343"/>
    </row>
    <row r="2713" spans="1:5" s="335" customFormat="1" ht="36">
      <c r="A2713" s="342" t="s">
        <v>1809</v>
      </c>
      <c r="B2713" s="342" t="s">
        <v>1810</v>
      </c>
      <c r="C2713" s="342" t="str">
        <f>("7640015777")</f>
        <v>7640015777</v>
      </c>
      <c r="D2713" s="340">
        <v>456</v>
      </c>
      <c r="E2713" s="343"/>
    </row>
    <row r="2714" spans="1:5" s="335" customFormat="1" ht="24">
      <c r="A2714" s="342" t="s">
        <v>1813</v>
      </c>
      <c r="B2714" s="342" t="s">
        <v>1814</v>
      </c>
      <c r="C2714" s="342" t="str">
        <f>("7640015779")</f>
        <v>7640015779</v>
      </c>
      <c r="D2714" s="340">
        <v>228</v>
      </c>
      <c r="E2714" s="343"/>
    </row>
    <row r="2715" spans="1:5" s="335" customFormat="1" ht="24">
      <c r="A2715" s="342" t="s">
        <v>1815</v>
      </c>
      <c r="B2715" s="342" t="s">
        <v>1816</v>
      </c>
      <c r="C2715" s="342" t="str">
        <f>("7640015780")</f>
        <v>7640015780</v>
      </c>
      <c r="D2715" s="340">
        <v>171</v>
      </c>
      <c r="E2715" s="343"/>
    </row>
    <row r="2716" spans="1:5" s="335" customFormat="1" ht="24">
      <c r="A2716" s="342" t="s">
        <v>1817</v>
      </c>
      <c r="B2716" s="342" t="s">
        <v>1818</v>
      </c>
      <c r="C2716" s="342" t="str">
        <f>("7640015781")</f>
        <v>7640015781</v>
      </c>
      <c r="D2716" s="340">
        <v>171</v>
      </c>
      <c r="E2716" s="343"/>
    </row>
    <row r="2717" spans="1:5" s="335" customFormat="1" ht="36">
      <c r="A2717" s="342" t="s">
        <v>1819</v>
      </c>
      <c r="B2717" s="342" t="s">
        <v>1820</v>
      </c>
      <c r="C2717" s="342" t="str">
        <f>("7640015782")</f>
        <v>7640015782</v>
      </c>
      <c r="D2717" s="340">
        <v>171</v>
      </c>
      <c r="E2717" s="343"/>
    </row>
    <row r="2718" spans="1:5" s="335" customFormat="1" ht="36">
      <c r="A2718" s="342" t="s">
        <v>1821</v>
      </c>
      <c r="B2718" s="342" t="s">
        <v>1822</v>
      </c>
      <c r="C2718" s="342" t="str">
        <f>("7640015783")</f>
        <v>7640015783</v>
      </c>
      <c r="D2718" s="340">
        <v>540</v>
      </c>
      <c r="E2718" s="343"/>
    </row>
    <row r="2719" spans="1:5" s="335" customFormat="1" ht="36">
      <c r="A2719" s="342" t="s">
        <v>1823</v>
      </c>
      <c r="B2719" s="342" t="s">
        <v>1824</v>
      </c>
      <c r="C2719" s="342" t="str">
        <f>("7640015784")</f>
        <v>7640015784</v>
      </c>
      <c r="D2719" s="340">
        <v>450</v>
      </c>
      <c r="E2719" s="343"/>
    </row>
    <row r="2720" spans="1:5" s="335" customFormat="1" ht="24">
      <c r="A2720" s="342" t="s">
        <v>1825</v>
      </c>
      <c r="B2720" s="342" t="s">
        <v>1826</v>
      </c>
      <c r="C2720" s="342" t="str">
        <f>("7640015785")</f>
        <v>7640015785</v>
      </c>
      <c r="D2720" s="340">
        <v>270</v>
      </c>
      <c r="E2720" s="343"/>
    </row>
    <row r="2721" spans="1:5" s="335" customFormat="1" ht="36">
      <c r="A2721" s="342" t="s">
        <v>1827</v>
      </c>
      <c r="B2721" s="342" t="s">
        <v>1828</v>
      </c>
      <c r="C2721" s="342" t="str">
        <f>("7640015786")</f>
        <v>7640015786</v>
      </c>
      <c r="D2721" s="340">
        <v>720</v>
      </c>
      <c r="E2721" s="343"/>
    </row>
    <row r="2722" spans="1:5" s="335" customFormat="1" ht="24">
      <c r="A2722" s="342" t="s">
        <v>1829</v>
      </c>
      <c r="B2722" s="342" t="s">
        <v>1830</v>
      </c>
      <c r="C2722" s="342" t="str">
        <f>("7640015787")</f>
        <v>7640015787</v>
      </c>
      <c r="D2722" s="340">
        <v>180</v>
      </c>
      <c r="E2722" s="343"/>
    </row>
    <row r="2723" spans="1:5" s="335" customFormat="1" ht="24">
      <c r="A2723" s="342" t="s">
        <v>1831</v>
      </c>
      <c r="B2723" s="342" t="s">
        <v>1832</v>
      </c>
      <c r="C2723" s="342" t="str">
        <f>("7640015788")</f>
        <v>7640015788</v>
      </c>
      <c r="D2723" s="340">
        <v>360</v>
      </c>
      <c r="E2723" s="343"/>
    </row>
    <row r="2724" spans="1:5" s="335" customFormat="1" ht="36">
      <c r="A2724" s="342" t="s">
        <v>1833</v>
      </c>
      <c r="B2724" s="342" t="s">
        <v>1834</v>
      </c>
      <c r="C2724" s="342" t="str">
        <f>("7640015789")</f>
        <v>7640015789</v>
      </c>
      <c r="D2724" s="340">
        <v>270</v>
      </c>
      <c r="E2724" s="343"/>
    </row>
    <row r="2725" spans="1:5" s="335" customFormat="1" ht="24">
      <c r="A2725" s="342" t="s">
        <v>1835</v>
      </c>
      <c r="B2725" s="342" t="s">
        <v>1836</v>
      </c>
      <c r="C2725" s="342" t="str">
        <f>("7640015790")</f>
        <v>7640015790</v>
      </c>
      <c r="D2725" s="340">
        <v>270</v>
      </c>
      <c r="E2725" s="343"/>
    </row>
    <row r="2726" spans="1:5" s="335" customFormat="1" ht="36">
      <c r="A2726" s="342" t="s">
        <v>1837</v>
      </c>
      <c r="B2726" s="342" t="s">
        <v>1838</v>
      </c>
      <c r="C2726" s="342" t="str">
        <f>("7640015791")</f>
        <v>7640015791</v>
      </c>
      <c r="D2726" s="340">
        <v>270</v>
      </c>
      <c r="E2726" s="343"/>
    </row>
    <row r="2727" spans="1:5" s="335" customFormat="1" ht="24">
      <c r="A2727" s="342" t="s">
        <v>1843</v>
      </c>
      <c r="B2727" s="342" t="s">
        <v>1844</v>
      </c>
      <c r="C2727" s="342" t="str">
        <f>("7640016317")</f>
        <v>7640016317</v>
      </c>
      <c r="D2727" s="340">
        <v>60</v>
      </c>
      <c r="E2727" s="343"/>
    </row>
    <row r="2728" spans="1:5" s="335" customFormat="1" ht="24">
      <c r="A2728" s="342" t="s">
        <v>1849</v>
      </c>
      <c r="B2728" s="342" t="s">
        <v>1850</v>
      </c>
      <c r="C2728" s="342" t="str">
        <f>("7640016320")</f>
        <v>7640016320</v>
      </c>
      <c r="D2728" s="340">
        <v>100</v>
      </c>
      <c r="E2728" s="343"/>
    </row>
    <row r="2729" spans="1:5" s="335" customFormat="1" ht="24">
      <c r="A2729" s="342" t="s">
        <v>1855</v>
      </c>
      <c r="B2729" s="342" t="s">
        <v>1856</v>
      </c>
      <c r="C2729" s="342" t="str">
        <f>("7640016324")</f>
        <v>7640016324</v>
      </c>
      <c r="D2729" s="340">
        <v>171</v>
      </c>
      <c r="E2729" s="343"/>
    </row>
    <row r="2730" spans="1:5" s="335" customFormat="1" ht="24">
      <c r="A2730" s="342" t="s">
        <v>1861</v>
      </c>
      <c r="B2730" s="342" t="s">
        <v>1862</v>
      </c>
      <c r="C2730" s="342" t="str">
        <f>("7640016327")</f>
        <v>7640016327</v>
      </c>
      <c r="D2730" s="340">
        <v>285</v>
      </c>
      <c r="E2730" s="343"/>
    </row>
    <row r="2731" spans="1:5" s="335" customFormat="1" ht="24">
      <c r="A2731" s="342" t="s">
        <v>1867</v>
      </c>
      <c r="B2731" s="342" t="s">
        <v>1868</v>
      </c>
      <c r="C2731" s="342" t="str">
        <f>("7640016331")</f>
        <v>7640016331</v>
      </c>
      <c r="D2731" s="340">
        <v>270</v>
      </c>
      <c r="E2731" s="343"/>
    </row>
    <row r="2732" spans="1:5" s="335" customFormat="1" ht="24">
      <c r="A2732" s="342" t="s">
        <v>1873</v>
      </c>
      <c r="B2732" s="342" t="s">
        <v>1874</v>
      </c>
      <c r="C2732" s="342" t="str">
        <f>("7640016334")</f>
        <v>7640016334</v>
      </c>
      <c r="D2732" s="340">
        <v>450</v>
      </c>
      <c r="E2732" s="343"/>
    </row>
    <row r="2733" spans="1:5" s="335" customFormat="1" ht="48">
      <c r="A2733" s="342" t="s">
        <v>1887</v>
      </c>
      <c r="B2733" s="342" t="s">
        <v>1887</v>
      </c>
      <c r="C2733" s="342" t="str">
        <f>("7640018453")</f>
        <v>7640018453</v>
      </c>
      <c r="D2733" s="340">
        <v>450</v>
      </c>
      <c r="E2733" s="343"/>
    </row>
    <row r="2734" spans="1:5" s="335" customFormat="1" ht="48">
      <c r="A2734" s="342" t="s">
        <v>1888</v>
      </c>
      <c r="B2734" s="342" t="s">
        <v>1888</v>
      </c>
      <c r="C2734" s="342" t="str">
        <f>("7640018454")</f>
        <v>7640018454</v>
      </c>
      <c r="D2734" s="340">
        <v>1278</v>
      </c>
      <c r="E2734" s="343"/>
    </row>
    <row r="2735" spans="1:5" s="335" customFormat="1" ht="48">
      <c r="A2735" s="342" t="s">
        <v>1889</v>
      </c>
      <c r="B2735" s="342" t="s">
        <v>1889</v>
      </c>
      <c r="C2735" s="342" t="str">
        <f>("7640018455")</f>
        <v>7640018455</v>
      </c>
      <c r="D2735" s="340">
        <v>2030</v>
      </c>
      <c r="E2735" s="343"/>
    </row>
    <row r="2736" spans="1:5" s="335" customFormat="1" ht="48">
      <c r="A2736" s="342" t="s">
        <v>1890</v>
      </c>
      <c r="B2736" s="342" t="s">
        <v>1890</v>
      </c>
      <c r="C2736" s="342" t="str">
        <f>("7640018614")</f>
        <v>7640018614</v>
      </c>
      <c r="D2736" s="340">
        <v>200</v>
      </c>
      <c r="E2736" s="343"/>
    </row>
    <row r="2737" spans="1:5" s="335" customFormat="1" ht="48">
      <c r="A2737" s="342" t="s">
        <v>1891</v>
      </c>
      <c r="B2737" s="342" t="s">
        <v>1891</v>
      </c>
      <c r="C2737" s="342" t="str">
        <f>("7640018615")</f>
        <v>7640018615</v>
      </c>
      <c r="D2737" s="340">
        <v>570</v>
      </c>
      <c r="E2737" s="343"/>
    </row>
    <row r="2738" spans="1:5" s="335" customFormat="1" ht="48">
      <c r="A2738" s="342" t="s">
        <v>1892</v>
      </c>
      <c r="B2738" s="342" t="s">
        <v>1892</v>
      </c>
      <c r="C2738" s="342" t="str">
        <f>("7640018616")</f>
        <v>7640018616</v>
      </c>
      <c r="D2738" s="340">
        <v>900</v>
      </c>
      <c r="E2738" s="343"/>
    </row>
    <row r="2739" spans="1:5" s="335" customFormat="1" ht="12.75">
      <c r="A2739" s="403" t="s">
        <v>856</v>
      </c>
      <c r="B2739" s="403"/>
      <c r="C2739" s="403"/>
      <c r="D2739" s="403"/>
      <c r="E2739" s="343"/>
    </row>
    <row r="2740" spans="1:5" s="335" customFormat="1" ht="36">
      <c r="A2740" s="342" t="s">
        <v>1893</v>
      </c>
      <c r="B2740" s="342" t="s">
        <v>1894</v>
      </c>
      <c r="C2740" s="342" t="str">
        <f>("7640005345")</f>
        <v>7640005345</v>
      </c>
      <c r="D2740" s="340">
        <v>200</v>
      </c>
      <c r="E2740" s="343"/>
    </row>
    <row r="2741" spans="1:5" s="335" customFormat="1" ht="36">
      <c r="A2741" s="342" t="s">
        <v>1895</v>
      </c>
      <c r="B2741" s="342" t="s">
        <v>1896</v>
      </c>
      <c r="C2741" s="342" t="str">
        <f>("7640005346")</f>
        <v>7640005346</v>
      </c>
      <c r="D2741" s="340">
        <v>350</v>
      </c>
      <c r="E2741" s="343"/>
    </row>
    <row r="2742" spans="1:5" s="335" customFormat="1" ht="36">
      <c r="A2742" s="342" t="s">
        <v>1945</v>
      </c>
      <c r="B2742" s="342" t="s">
        <v>1946</v>
      </c>
      <c r="C2742" s="342" t="s">
        <v>6163</v>
      </c>
      <c r="D2742" s="340">
        <v>800</v>
      </c>
      <c r="E2742" s="343"/>
    </row>
    <row r="2743" spans="1:5" s="335" customFormat="1" ht="12.75">
      <c r="A2743" s="344"/>
      <c r="B2743" s="343"/>
      <c r="C2743" s="343"/>
      <c r="D2743" s="395"/>
      <c r="E2743" s="343"/>
    </row>
    <row r="2744" spans="1:5" s="335" customFormat="1" ht="15" customHeight="1">
      <c r="A2744" s="345"/>
      <c r="B2744" s="404" t="s">
        <v>1989</v>
      </c>
      <c r="C2744" s="404"/>
      <c r="D2744" s="404"/>
      <c r="E2744" s="404"/>
    </row>
    <row r="2745" spans="1:5" s="335" customFormat="1" ht="25.5">
      <c r="A2745" s="346" t="s">
        <v>789</v>
      </c>
      <c r="B2745" s="346" t="s">
        <v>409</v>
      </c>
      <c r="C2745" s="346" t="s">
        <v>26</v>
      </c>
      <c r="D2745" s="337" t="s">
        <v>6425</v>
      </c>
      <c r="E2745" s="343"/>
    </row>
    <row r="2746" spans="1:5" s="335" customFormat="1" ht="24">
      <c r="A2746" s="342" t="s">
        <v>1990</v>
      </c>
      <c r="B2746" s="342" t="s">
        <v>1991</v>
      </c>
      <c r="C2746" s="342" t="s">
        <v>6166</v>
      </c>
      <c r="D2746" s="340">
        <v>0</v>
      </c>
      <c r="E2746" s="343"/>
    </row>
    <row r="2747" spans="1:5" s="335" customFormat="1" ht="12.75">
      <c r="A2747" s="402" t="s">
        <v>1587</v>
      </c>
      <c r="B2747" s="402"/>
      <c r="C2747" s="402"/>
      <c r="D2747" s="402"/>
      <c r="E2747" s="343"/>
    </row>
    <row r="2748" spans="1:5" s="335" customFormat="1" ht="72">
      <c r="A2748" s="342" t="s">
        <v>1992</v>
      </c>
      <c r="B2748" s="342" t="s">
        <v>1992</v>
      </c>
      <c r="C2748" s="342" t="s">
        <v>6167</v>
      </c>
      <c r="D2748" s="340">
        <v>4073</v>
      </c>
      <c r="E2748" s="343"/>
    </row>
    <row r="2749" spans="1:5" s="335" customFormat="1" ht="72">
      <c r="A2749" s="342" t="s">
        <v>1993</v>
      </c>
      <c r="B2749" s="342" t="s">
        <v>1993</v>
      </c>
      <c r="C2749" s="342" t="s">
        <v>6168</v>
      </c>
      <c r="D2749" s="340">
        <v>4417</v>
      </c>
      <c r="E2749" s="343"/>
    </row>
    <row r="2750" spans="1:5" s="335" customFormat="1" ht="72">
      <c r="A2750" s="342" t="s">
        <v>1994</v>
      </c>
      <c r="B2750" s="342" t="s">
        <v>1994</v>
      </c>
      <c r="C2750" s="342" t="s">
        <v>6169</v>
      </c>
      <c r="D2750" s="340">
        <v>4747</v>
      </c>
      <c r="E2750" s="343"/>
    </row>
    <row r="2751" spans="1:5" s="335" customFormat="1" ht="72">
      <c r="A2751" s="342" t="s">
        <v>1995</v>
      </c>
      <c r="B2751" s="342" t="s">
        <v>1995</v>
      </c>
      <c r="C2751" s="342" t="s">
        <v>6170</v>
      </c>
      <c r="D2751" s="340">
        <v>2033</v>
      </c>
      <c r="E2751" s="343"/>
    </row>
    <row r="2752" spans="1:5" s="335" customFormat="1" ht="72">
      <c r="A2752" s="342" t="s">
        <v>1996</v>
      </c>
      <c r="B2752" s="342" t="s">
        <v>1996</v>
      </c>
      <c r="C2752" s="342" t="s">
        <v>6171</v>
      </c>
      <c r="D2752" s="340">
        <v>2205</v>
      </c>
      <c r="E2752" s="343"/>
    </row>
    <row r="2753" spans="1:5" s="335" customFormat="1" ht="72">
      <c r="A2753" s="342" t="s">
        <v>1997</v>
      </c>
      <c r="B2753" s="342" t="s">
        <v>1997</v>
      </c>
      <c r="C2753" s="342" t="s">
        <v>6172</v>
      </c>
      <c r="D2753" s="340">
        <v>2370</v>
      </c>
      <c r="E2753" s="343"/>
    </row>
    <row r="2754" spans="1:5" s="335" customFormat="1" ht="60">
      <c r="A2754" s="342" t="s">
        <v>1998</v>
      </c>
      <c r="B2754" s="342" t="s">
        <v>1998</v>
      </c>
      <c r="C2754" s="342" t="str">
        <f>("ESDL376AKL350")</f>
        <v>ESDL376AKL350</v>
      </c>
      <c r="D2754" s="340">
        <v>698</v>
      </c>
      <c r="E2754" s="343"/>
    </row>
    <row r="2755" spans="1:5" s="335" customFormat="1" ht="60">
      <c r="A2755" s="342" t="s">
        <v>1999</v>
      </c>
      <c r="B2755" s="342" t="s">
        <v>1999</v>
      </c>
      <c r="C2755" s="342" t="str">
        <f>("ESDL376AKL450")</f>
        <v>ESDL376AKL450</v>
      </c>
      <c r="D2755" s="340">
        <v>759</v>
      </c>
      <c r="E2755" s="343"/>
    </row>
    <row r="2756" spans="1:5" s="335" customFormat="1" ht="60">
      <c r="A2756" s="342" t="s">
        <v>2000</v>
      </c>
      <c r="B2756" s="342" t="s">
        <v>2000</v>
      </c>
      <c r="C2756" s="342" t="str">
        <f>("ESDL376AKL550")</f>
        <v>ESDL376AKL550</v>
      </c>
      <c r="D2756" s="340">
        <v>821</v>
      </c>
      <c r="E2756" s="343"/>
    </row>
    <row r="2757" spans="1:5" s="335" customFormat="1" ht="12.75">
      <c r="A2757" s="403" t="s">
        <v>2001</v>
      </c>
      <c r="B2757" s="403"/>
      <c r="C2757" s="403"/>
      <c r="D2757" s="403"/>
      <c r="E2757" s="343"/>
    </row>
    <row r="2758" spans="1:5" s="335" customFormat="1" ht="24">
      <c r="A2758" s="342" t="s">
        <v>2002</v>
      </c>
      <c r="B2758" s="342" t="s">
        <v>2002</v>
      </c>
      <c r="C2758" s="342" t="str">
        <f>("7640014250")</f>
        <v>7640014250</v>
      </c>
      <c r="D2758" s="340">
        <v>1081</v>
      </c>
      <c r="E2758" s="343"/>
    </row>
    <row r="2759" spans="1:5" s="335" customFormat="1" ht="24">
      <c r="A2759" s="342" t="s">
        <v>2003</v>
      </c>
      <c r="B2759" s="342" t="s">
        <v>2003</v>
      </c>
      <c r="C2759" s="342" t="str">
        <f>("7640014251")</f>
        <v>7640014251</v>
      </c>
      <c r="D2759" s="340">
        <v>1173</v>
      </c>
      <c r="E2759" s="343"/>
    </row>
    <row r="2760" spans="1:5" s="335" customFormat="1" ht="24">
      <c r="A2760" s="342" t="s">
        <v>2004</v>
      </c>
      <c r="B2760" s="342" t="s">
        <v>2004</v>
      </c>
      <c r="C2760" s="342" t="str">
        <f>("7640014252")</f>
        <v>7640014252</v>
      </c>
      <c r="D2760" s="340">
        <v>1260</v>
      </c>
      <c r="E2760" s="343"/>
    </row>
    <row r="2761" spans="1:5" s="335" customFormat="1" ht="24">
      <c r="A2761" s="342" t="s">
        <v>2005</v>
      </c>
      <c r="B2761" s="342" t="s">
        <v>2005</v>
      </c>
      <c r="C2761" s="342" t="str">
        <f>("7640014253")</f>
        <v>7640014253</v>
      </c>
      <c r="D2761" s="340">
        <v>1081</v>
      </c>
      <c r="E2761" s="343"/>
    </row>
    <row r="2762" spans="1:5" s="335" customFormat="1" ht="24">
      <c r="A2762" s="342" t="s">
        <v>2006</v>
      </c>
      <c r="B2762" s="342" t="s">
        <v>2006</v>
      </c>
      <c r="C2762" s="342" t="str">
        <f>("7640014254")</f>
        <v>7640014254</v>
      </c>
      <c r="D2762" s="340">
        <v>1173</v>
      </c>
      <c r="E2762" s="343"/>
    </row>
    <row r="2763" spans="1:5" s="335" customFormat="1" ht="24">
      <c r="A2763" s="342" t="s">
        <v>2007</v>
      </c>
      <c r="B2763" s="342" t="s">
        <v>2007</v>
      </c>
      <c r="C2763" s="342" t="str">
        <f>("7640014255")</f>
        <v>7640014255</v>
      </c>
      <c r="D2763" s="340">
        <v>1260</v>
      </c>
      <c r="E2763" s="343"/>
    </row>
    <row r="2764" spans="1:5" s="335" customFormat="1" ht="24">
      <c r="A2764" s="342" t="s">
        <v>2008</v>
      </c>
      <c r="B2764" s="342" t="s">
        <v>2008</v>
      </c>
      <c r="C2764" s="342" t="str">
        <f>("7640014256")</f>
        <v>7640014256</v>
      </c>
      <c r="D2764" s="340">
        <v>1081</v>
      </c>
      <c r="E2764" s="343"/>
    </row>
    <row r="2765" spans="1:5" s="335" customFormat="1" ht="24">
      <c r="A2765" s="342" t="s">
        <v>2009</v>
      </c>
      <c r="B2765" s="342" t="s">
        <v>2009</v>
      </c>
      <c r="C2765" s="342" t="str">
        <f>("7640014257")</f>
        <v>7640014257</v>
      </c>
      <c r="D2765" s="340">
        <v>1173</v>
      </c>
      <c r="E2765" s="343"/>
    </row>
    <row r="2766" spans="1:5" s="335" customFormat="1" ht="24">
      <c r="A2766" s="342" t="s">
        <v>2010</v>
      </c>
      <c r="B2766" s="342" t="s">
        <v>2010</v>
      </c>
      <c r="C2766" s="342" t="str">
        <f>("7640014258")</f>
        <v>7640014258</v>
      </c>
      <c r="D2766" s="340">
        <v>1260</v>
      </c>
      <c r="E2766" s="343"/>
    </row>
    <row r="2767" spans="1:5" s="335" customFormat="1" ht="24">
      <c r="A2767" s="342" t="s">
        <v>2011</v>
      </c>
      <c r="B2767" s="342" t="s">
        <v>2011</v>
      </c>
      <c r="C2767" s="342" t="str">
        <f>("7640014259")</f>
        <v>7640014259</v>
      </c>
      <c r="D2767" s="340">
        <v>1353</v>
      </c>
      <c r="E2767" s="343"/>
    </row>
    <row r="2768" spans="1:5" s="335" customFormat="1" ht="24">
      <c r="A2768" s="342" t="s">
        <v>2012</v>
      </c>
      <c r="B2768" s="342" t="s">
        <v>2012</v>
      </c>
      <c r="C2768" s="342" t="str">
        <f>("7640014260")</f>
        <v>7640014260</v>
      </c>
      <c r="D2768" s="340">
        <v>1467</v>
      </c>
      <c r="E2768" s="343"/>
    </row>
    <row r="2769" spans="1:5" s="335" customFormat="1" ht="24">
      <c r="A2769" s="342" t="s">
        <v>2013</v>
      </c>
      <c r="B2769" s="342" t="s">
        <v>2013</v>
      </c>
      <c r="C2769" s="342" t="str">
        <f>("7640014261")</f>
        <v>7640014261</v>
      </c>
      <c r="D2769" s="340">
        <v>1577</v>
      </c>
      <c r="E2769" s="343"/>
    </row>
    <row r="2770" spans="1:5" s="335" customFormat="1" ht="24">
      <c r="A2770" s="342" t="s">
        <v>2014</v>
      </c>
      <c r="B2770" s="342" t="s">
        <v>2014</v>
      </c>
      <c r="C2770" s="342" t="str">
        <f>("7640014262")</f>
        <v>7640014262</v>
      </c>
      <c r="D2770" s="340">
        <v>1081</v>
      </c>
      <c r="E2770" s="343"/>
    </row>
    <row r="2771" spans="1:5" s="335" customFormat="1" ht="24">
      <c r="A2771" s="342" t="s">
        <v>2015</v>
      </c>
      <c r="B2771" s="342" t="s">
        <v>2015</v>
      </c>
      <c r="C2771" s="342" t="str">
        <f>("7640014264")</f>
        <v>7640014264</v>
      </c>
      <c r="D2771" s="340">
        <v>1260</v>
      </c>
      <c r="E2771" s="343"/>
    </row>
    <row r="2772" spans="1:5" s="335" customFormat="1" ht="36">
      <c r="A2772" s="342" t="s">
        <v>2016</v>
      </c>
      <c r="B2772" s="342" t="s">
        <v>2016</v>
      </c>
      <c r="C2772" s="342" t="str">
        <f>("7640014265")</f>
        <v>7640014265</v>
      </c>
      <c r="D2772" s="340">
        <v>1081</v>
      </c>
      <c r="E2772" s="343"/>
    </row>
    <row r="2773" spans="1:5" s="335" customFormat="1" ht="36">
      <c r="A2773" s="342" t="s">
        <v>2017</v>
      </c>
      <c r="B2773" s="342" t="s">
        <v>2017</v>
      </c>
      <c r="C2773" s="342" t="str">
        <f>("7640014266")</f>
        <v>7640014266</v>
      </c>
      <c r="D2773" s="340">
        <v>1173</v>
      </c>
      <c r="E2773" s="343"/>
    </row>
    <row r="2774" spans="1:5" s="335" customFormat="1" ht="36">
      <c r="A2774" s="342" t="s">
        <v>2018</v>
      </c>
      <c r="B2774" s="342" t="s">
        <v>2018</v>
      </c>
      <c r="C2774" s="342" t="str">
        <f>("7640014267")</f>
        <v>7640014267</v>
      </c>
      <c r="D2774" s="340">
        <v>1260</v>
      </c>
      <c r="E2774" s="343"/>
    </row>
    <row r="2775" spans="1:5" s="335" customFormat="1" ht="36">
      <c r="A2775" s="342" t="s">
        <v>2019</v>
      </c>
      <c r="B2775" s="342" t="s">
        <v>2019</v>
      </c>
      <c r="C2775" s="342" t="str">
        <f>("7640014268")</f>
        <v>7640014268</v>
      </c>
      <c r="D2775" s="340">
        <v>1081</v>
      </c>
      <c r="E2775" s="343"/>
    </row>
    <row r="2776" spans="1:5" s="335" customFormat="1" ht="36">
      <c r="A2776" s="342" t="s">
        <v>2020</v>
      </c>
      <c r="B2776" s="342" t="s">
        <v>2020</v>
      </c>
      <c r="C2776" s="342" t="str">
        <f>("7640014270")</f>
        <v>7640014270</v>
      </c>
      <c r="D2776" s="340">
        <v>1260</v>
      </c>
      <c r="E2776" s="343"/>
    </row>
    <row r="2777" spans="1:5" s="335" customFormat="1" ht="36">
      <c r="A2777" s="342" t="s">
        <v>2021</v>
      </c>
      <c r="B2777" s="342" t="s">
        <v>2021</v>
      </c>
      <c r="C2777" s="342" t="str">
        <f>("7640014271")</f>
        <v>7640014271</v>
      </c>
      <c r="D2777" s="340">
        <v>1081</v>
      </c>
      <c r="E2777" s="343"/>
    </row>
    <row r="2778" spans="1:5" s="335" customFormat="1" ht="36">
      <c r="A2778" s="342" t="s">
        <v>2022</v>
      </c>
      <c r="B2778" s="342" t="s">
        <v>2022</v>
      </c>
      <c r="C2778" s="342" t="str">
        <f>("7640014272")</f>
        <v>7640014272</v>
      </c>
      <c r="D2778" s="340">
        <v>1173</v>
      </c>
      <c r="E2778" s="343"/>
    </row>
    <row r="2779" spans="1:5" s="335" customFormat="1" ht="36">
      <c r="A2779" s="342" t="s">
        <v>2023</v>
      </c>
      <c r="B2779" s="342" t="s">
        <v>2023</v>
      </c>
      <c r="C2779" s="342" t="str">
        <f>("7640014273")</f>
        <v>7640014273</v>
      </c>
      <c r="D2779" s="340">
        <v>1260</v>
      </c>
      <c r="E2779" s="343"/>
    </row>
    <row r="2780" spans="1:5" s="335" customFormat="1" ht="36">
      <c r="A2780" s="342" t="s">
        <v>2024</v>
      </c>
      <c r="B2780" s="342" t="s">
        <v>2024</v>
      </c>
      <c r="C2780" s="342" t="str">
        <f>("7640014274")</f>
        <v>7640014274</v>
      </c>
      <c r="D2780" s="340">
        <v>1081</v>
      </c>
      <c r="E2780" s="343"/>
    </row>
    <row r="2781" spans="1:5" s="335" customFormat="1" ht="36">
      <c r="A2781" s="342" t="s">
        <v>2025</v>
      </c>
      <c r="B2781" s="342" t="s">
        <v>2025</v>
      </c>
      <c r="C2781" s="342" t="str">
        <f>("7640014275")</f>
        <v>7640014275</v>
      </c>
      <c r="D2781" s="340">
        <v>1173</v>
      </c>
      <c r="E2781" s="343"/>
    </row>
    <row r="2782" spans="1:5" s="335" customFormat="1" ht="36">
      <c r="A2782" s="342" t="s">
        <v>2026</v>
      </c>
      <c r="B2782" s="342" t="s">
        <v>2026</v>
      </c>
      <c r="C2782" s="342" t="str">
        <f>("7640014276")</f>
        <v>7640014276</v>
      </c>
      <c r="D2782" s="340">
        <v>1260</v>
      </c>
      <c r="E2782" s="343"/>
    </row>
    <row r="2783" spans="1:5" s="335" customFormat="1" ht="24">
      <c r="A2783" s="342" t="s">
        <v>2027</v>
      </c>
      <c r="B2783" s="342" t="s">
        <v>2027</v>
      </c>
      <c r="C2783" s="342" t="str">
        <f>("7640014277")</f>
        <v>7640014277</v>
      </c>
      <c r="D2783" s="340">
        <v>1081</v>
      </c>
      <c r="E2783" s="343"/>
    </row>
    <row r="2784" spans="1:5" s="335" customFormat="1" ht="24">
      <c r="A2784" s="342" t="s">
        <v>2028</v>
      </c>
      <c r="B2784" s="342" t="s">
        <v>2028</v>
      </c>
      <c r="C2784" s="342" t="str">
        <f>("7640014278")</f>
        <v>7640014278</v>
      </c>
      <c r="D2784" s="340">
        <v>1173</v>
      </c>
      <c r="E2784" s="343"/>
    </row>
    <row r="2785" spans="1:5" s="335" customFormat="1" ht="24">
      <c r="A2785" s="342" t="s">
        <v>2029</v>
      </c>
      <c r="B2785" s="342" t="s">
        <v>2029</v>
      </c>
      <c r="C2785" s="342" t="str">
        <f>("7640014279")</f>
        <v>7640014279</v>
      </c>
      <c r="D2785" s="340">
        <v>1260</v>
      </c>
      <c r="E2785" s="343"/>
    </row>
    <row r="2786" spans="1:5" s="335" customFormat="1" ht="24">
      <c r="A2786" s="342" t="s">
        <v>2030</v>
      </c>
      <c r="B2786" s="342" t="s">
        <v>2030</v>
      </c>
      <c r="C2786" s="342" t="str">
        <f>("7640014280")</f>
        <v>7640014280</v>
      </c>
      <c r="D2786" s="340">
        <v>1081</v>
      </c>
      <c r="E2786" s="343"/>
    </row>
    <row r="2787" spans="1:5" s="335" customFormat="1" ht="24">
      <c r="A2787" s="342" t="s">
        <v>2031</v>
      </c>
      <c r="B2787" s="342" t="s">
        <v>2031</v>
      </c>
      <c r="C2787" s="342" t="str">
        <f>("7640014281")</f>
        <v>7640014281</v>
      </c>
      <c r="D2787" s="340">
        <v>1173</v>
      </c>
      <c r="E2787" s="343"/>
    </row>
    <row r="2788" spans="1:5" s="335" customFormat="1" ht="24">
      <c r="A2788" s="342" t="s">
        <v>2032</v>
      </c>
      <c r="B2788" s="342" t="s">
        <v>2032</v>
      </c>
      <c r="C2788" s="342" t="str">
        <f>("7640014282")</f>
        <v>7640014282</v>
      </c>
      <c r="D2788" s="340">
        <v>1260</v>
      </c>
      <c r="E2788" s="343"/>
    </row>
    <row r="2789" spans="1:5" s="335" customFormat="1" ht="24">
      <c r="A2789" s="342" t="s">
        <v>2033</v>
      </c>
      <c r="B2789" s="342" t="s">
        <v>2033</v>
      </c>
      <c r="C2789" s="342" t="str">
        <f>("7640015900")</f>
        <v>7640015900</v>
      </c>
      <c r="D2789" s="340">
        <v>1926</v>
      </c>
      <c r="E2789" s="343"/>
    </row>
    <row r="2790" spans="1:5" s="335" customFormat="1" ht="24">
      <c r="A2790" s="342" t="s">
        <v>2034</v>
      </c>
      <c r="B2790" s="342" t="s">
        <v>2034</v>
      </c>
      <c r="C2790" s="342" t="str">
        <f>("7640015901")</f>
        <v>7640015901</v>
      </c>
      <c r="D2790" s="340">
        <v>2096</v>
      </c>
      <c r="E2790" s="343"/>
    </row>
    <row r="2791" spans="1:5" s="335" customFormat="1" ht="24">
      <c r="A2791" s="342" t="s">
        <v>2035</v>
      </c>
      <c r="B2791" s="342" t="s">
        <v>2035</v>
      </c>
      <c r="C2791" s="342" t="str">
        <f>("7640015902")</f>
        <v>7640015902</v>
      </c>
      <c r="D2791" s="340">
        <v>2266</v>
      </c>
      <c r="E2791" s="343"/>
    </row>
    <row r="2792" spans="1:5" s="335" customFormat="1" ht="24">
      <c r="A2792" s="342" t="s">
        <v>2036</v>
      </c>
      <c r="B2792" s="342" t="s">
        <v>2036</v>
      </c>
      <c r="C2792" s="342" t="str">
        <f>("7640015903")</f>
        <v>7640015903</v>
      </c>
      <c r="D2792" s="340">
        <v>1926</v>
      </c>
      <c r="E2792" s="343"/>
    </row>
    <row r="2793" spans="1:5" s="335" customFormat="1" ht="24">
      <c r="A2793" s="342" t="s">
        <v>2037</v>
      </c>
      <c r="B2793" s="342" t="s">
        <v>2037</v>
      </c>
      <c r="C2793" s="342" t="str">
        <f>("7640015904")</f>
        <v>7640015904</v>
      </c>
      <c r="D2793" s="340">
        <v>2096</v>
      </c>
      <c r="E2793" s="343"/>
    </row>
    <row r="2794" spans="1:5" s="335" customFormat="1" ht="24">
      <c r="A2794" s="342" t="s">
        <v>2038</v>
      </c>
      <c r="B2794" s="342" t="s">
        <v>2038</v>
      </c>
      <c r="C2794" s="342" t="str">
        <f>("7640015905")</f>
        <v>7640015905</v>
      </c>
      <c r="D2794" s="340">
        <v>2266</v>
      </c>
      <c r="E2794" s="343"/>
    </row>
    <row r="2795" spans="1:5" s="335" customFormat="1" ht="24">
      <c r="A2795" s="342" t="s">
        <v>2039</v>
      </c>
      <c r="B2795" s="342" t="s">
        <v>2039</v>
      </c>
      <c r="C2795" s="342" t="str">
        <f>("7640015906")</f>
        <v>7640015906</v>
      </c>
      <c r="D2795" s="340">
        <v>1926</v>
      </c>
      <c r="E2795" s="343"/>
    </row>
    <row r="2796" spans="1:5" s="335" customFormat="1" ht="24">
      <c r="A2796" s="342" t="s">
        <v>2040</v>
      </c>
      <c r="B2796" s="342" t="s">
        <v>2040</v>
      </c>
      <c r="C2796" s="342" t="str">
        <f>("7640015907")</f>
        <v>7640015907</v>
      </c>
      <c r="D2796" s="340">
        <v>2096</v>
      </c>
      <c r="E2796" s="343"/>
    </row>
    <row r="2797" spans="1:5" s="335" customFormat="1" ht="24">
      <c r="A2797" s="342" t="s">
        <v>2041</v>
      </c>
      <c r="B2797" s="342" t="s">
        <v>2041</v>
      </c>
      <c r="C2797" s="342" t="str">
        <f>("7640015908")</f>
        <v>7640015908</v>
      </c>
      <c r="D2797" s="340">
        <v>2266</v>
      </c>
      <c r="E2797" s="343"/>
    </row>
    <row r="2798" spans="1:5" s="335" customFormat="1" ht="36">
      <c r="A2798" s="342" t="s">
        <v>2042</v>
      </c>
      <c r="B2798" s="342" t="s">
        <v>2042</v>
      </c>
      <c r="C2798" s="342" t="str">
        <f>("7640015909")</f>
        <v>7640015909</v>
      </c>
      <c r="D2798" s="340">
        <v>1564</v>
      </c>
      <c r="E2798" s="343"/>
    </row>
    <row r="2799" spans="1:5" s="335" customFormat="1" ht="36">
      <c r="A2799" s="342" t="s">
        <v>2043</v>
      </c>
      <c r="B2799" s="342" t="s">
        <v>2043</v>
      </c>
      <c r="C2799" s="342" t="str">
        <f>("7640015910")</f>
        <v>7640015910</v>
      </c>
      <c r="D2799" s="340">
        <v>1702</v>
      </c>
      <c r="E2799" s="343"/>
    </row>
    <row r="2800" spans="1:5" s="335" customFormat="1" ht="36">
      <c r="A2800" s="342" t="s">
        <v>2044</v>
      </c>
      <c r="B2800" s="342" t="s">
        <v>2044</v>
      </c>
      <c r="C2800" s="342" t="str">
        <f>("7640015911")</f>
        <v>7640015911</v>
      </c>
      <c r="D2800" s="340">
        <v>1840</v>
      </c>
      <c r="E2800" s="343"/>
    </row>
    <row r="2801" spans="1:5" s="335" customFormat="1" ht="24">
      <c r="A2801" s="342" t="s">
        <v>2045</v>
      </c>
      <c r="B2801" s="342" t="s">
        <v>2045</v>
      </c>
      <c r="C2801" s="342" t="str">
        <f>("7640015912")</f>
        <v>7640015912</v>
      </c>
      <c r="D2801" s="340">
        <v>1564</v>
      </c>
      <c r="E2801" s="343"/>
    </row>
    <row r="2802" spans="1:5" s="335" customFormat="1" ht="24">
      <c r="A2802" s="342" t="s">
        <v>2046</v>
      </c>
      <c r="B2802" s="342" t="s">
        <v>2046</v>
      </c>
      <c r="C2802" s="342" t="str">
        <f>("7640015913")</f>
        <v>7640015913</v>
      </c>
      <c r="D2802" s="340">
        <v>1702</v>
      </c>
      <c r="E2802" s="343"/>
    </row>
    <row r="2803" spans="1:5" s="335" customFormat="1" ht="24">
      <c r="A2803" s="342" t="s">
        <v>2047</v>
      </c>
      <c r="B2803" s="342" t="s">
        <v>2047</v>
      </c>
      <c r="C2803" s="342" t="str">
        <f>("7640015914")</f>
        <v>7640015914</v>
      </c>
      <c r="D2803" s="340">
        <v>1840</v>
      </c>
      <c r="E2803" s="343"/>
    </row>
    <row r="2804" spans="1:5" s="335" customFormat="1" ht="24">
      <c r="A2804" s="342" t="s">
        <v>2048</v>
      </c>
      <c r="B2804" s="342" t="s">
        <v>2048</v>
      </c>
      <c r="C2804" s="342" t="str">
        <f>("7640015915")</f>
        <v>7640015915</v>
      </c>
      <c r="D2804" s="340">
        <v>1564</v>
      </c>
      <c r="E2804" s="343"/>
    </row>
    <row r="2805" spans="1:5" s="335" customFormat="1" ht="24">
      <c r="A2805" s="342" t="s">
        <v>2049</v>
      </c>
      <c r="B2805" s="342" t="s">
        <v>2049</v>
      </c>
      <c r="C2805" s="342" t="str">
        <f>("7640015916")</f>
        <v>7640015916</v>
      </c>
      <c r="D2805" s="340">
        <v>1702</v>
      </c>
      <c r="E2805" s="343"/>
    </row>
    <row r="2806" spans="1:5" s="335" customFormat="1" ht="24">
      <c r="A2806" s="342" t="s">
        <v>2050</v>
      </c>
      <c r="B2806" s="342" t="s">
        <v>2050</v>
      </c>
      <c r="C2806" s="342" t="str">
        <f>("7640015917")</f>
        <v>7640015917</v>
      </c>
      <c r="D2806" s="340">
        <v>1840</v>
      </c>
      <c r="E2806" s="343"/>
    </row>
    <row r="2807" spans="1:5" s="335" customFormat="1" ht="24">
      <c r="A2807" s="342" t="s">
        <v>2051</v>
      </c>
      <c r="B2807" s="342" t="s">
        <v>2051</v>
      </c>
      <c r="C2807" s="342" t="str">
        <f>("ESDZ776AXL350")</f>
        <v>ESDZ776AXL350</v>
      </c>
      <c r="D2807" s="340">
        <v>985</v>
      </c>
      <c r="E2807" s="343"/>
    </row>
    <row r="2808" spans="1:5" s="335" customFormat="1" ht="24">
      <c r="A2808" s="342" t="s">
        <v>2052</v>
      </c>
      <c r="B2808" s="342" t="s">
        <v>2052</v>
      </c>
      <c r="C2808" s="342" t="str">
        <f>("ESDZ776AXL450")</f>
        <v>ESDZ776AXL450</v>
      </c>
      <c r="D2808" s="340">
        <v>1080</v>
      </c>
      <c r="E2808" s="343"/>
    </row>
    <row r="2809" spans="1:5" s="335" customFormat="1" ht="24">
      <c r="A2809" s="342" t="s">
        <v>2053</v>
      </c>
      <c r="B2809" s="342" t="s">
        <v>2053</v>
      </c>
      <c r="C2809" s="342" t="str">
        <f>("ESDZ776AXL550")</f>
        <v>ESDZ776AXL550</v>
      </c>
      <c r="D2809" s="340">
        <v>1175</v>
      </c>
      <c r="E2809" s="343"/>
    </row>
    <row r="2810" spans="1:5" s="335" customFormat="1" ht="12.75">
      <c r="A2810" s="403" t="s">
        <v>2054</v>
      </c>
      <c r="B2810" s="403"/>
      <c r="C2810" s="403"/>
      <c r="D2810" s="403"/>
      <c r="E2810" s="343"/>
    </row>
    <row r="2811" spans="1:5" s="335" customFormat="1" ht="60">
      <c r="A2811" s="342" t="s">
        <v>2055</v>
      </c>
      <c r="B2811" s="342" t="s">
        <v>2055</v>
      </c>
      <c r="C2811" s="342" t="str">
        <f>("7640014317")</f>
        <v>7640014317</v>
      </c>
      <c r="D2811" s="340">
        <v>179</v>
      </c>
      <c r="E2811" s="343"/>
    </row>
    <row r="2812" spans="1:5" s="335" customFormat="1" ht="60">
      <c r="A2812" s="342" t="s">
        <v>2056</v>
      </c>
      <c r="B2812" s="342" t="s">
        <v>2056</v>
      </c>
      <c r="C2812" s="342" t="s">
        <v>6173</v>
      </c>
      <c r="D2812" s="340">
        <v>359</v>
      </c>
      <c r="E2812" s="343"/>
    </row>
    <row r="2813" spans="1:5" s="335" customFormat="1" ht="48">
      <c r="A2813" s="342" t="s">
        <v>2057</v>
      </c>
      <c r="B2813" s="342" t="s">
        <v>2057</v>
      </c>
      <c r="C2813" s="342" t="s">
        <v>6174</v>
      </c>
      <c r="D2813" s="340">
        <v>95</v>
      </c>
      <c r="E2813" s="343"/>
    </row>
    <row r="2814" spans="1:5" s="335" customFormat="1" ht="48">
      <c r="A2814" s="342" t="s">
        <v>2058</v>
      </c>
      <c r="B2814" s="342" t="s">
        <v>2058</v>
      </c>
      <c r="C2814" s="342" t="s">
        <v>6175</v>
      </c>
      <c r="D2814" s="340">
        <v>119</v>
      </c>
      <c r="E2814" s="343"/>
    </row>
    <row r="2815" spans="1:5" s="335" customFormat="1" ht="12.75">
      <c r="A2815" s="344"/>
      <c r="B2815" s="343"/>
      <c r="C2815" s="343"/>
      <c r="D2815" s="395"/>
      <c r="E2815" s="343"/>
    </row>
    <row r="2816" spans="1:5" s="335" customFormat="1" ht="15" customHeight="1">
      <c r="A2816" s="345"/>
      <c r="B2816" s="404" t="s">
        <v>2059</v>
      </c>
      <c r="C2816" s="404"/>
      <c r="D2816" s="404"/>
      <c r="E2816" s="404"/>
    </row>
    <row r="2817" spans="1:5" s="335" customFormat="1" ht="25.5">
      <c r="A2817" s="346" t="s">
        <v>789</v>
      </c>
      <c r="B2817" s="346" t="s">
        <v>409</v>
      </c>
      <c r="C2817" s="346" t="s">
        <v>26</v>
      </c>
      <c r="D2817" s="337" t="s">
        <v>6425</v>
      </c>
      <c r="E2817" s="343"/>
    </row>
    <row r="2818" spans="1:5" s="335" customFormat="1" ht="24">
      <c r="A2818" s="342" t="s">
        <v>2060</v>
      </c>
      <c r="B2818" s="342" t="s">
        <v>2061</v>
      </c>
      <c r="C2818" s="342" t="s">
        <v>6176</v>
      </c>
      <c r="D2818" s="340">
        <v>0</v>
      </c>
      <c r="E2818" s="343"/>
    </row>
    <row r="2819" spans="1:5" s="335" customFormat="1" ht="12.75">
      <c r="A2819" s="402" t="s">
        <v>1587</v>
      </c>
      <c r="B2819" s="402"/>
      <c r="C2819" s="402"/>
      <c r="D2819" s="402"/>
      <c r="E2819" s="343"/>
    </row>
    <row r="2820" spans="1:5" s="335" customFormat="1" ht="36">
      <c r="A2820" s="342" t="s">
        <v>2062</v>
      </c>
      <c r="B2820" s="342" t="s">
        <v>2062</v>
      </c>
      <c r="C2820" s="342" t="str">
        <f>("ESDL376AXT350B")</f>
        <v>ESDL376AXT350B</v>
      </c>
      <c r="D2820" s="340">
        <v>580</v>
      </c>
      <c r="E2820" s="343"/>
    </row>
    <row r="2821" spans="1:5" s="335" customFormat="1" ht="36">
      <c r="A2821" s="342" t="s">
        <v>2063</v>
      </c>
      <c r="B2821" s="342" t="s">
        <v>2063</v>
      </c>
      <c r="C2821" s="342" t="str">
        <f>("ESDL376AXT350C")</f>
        <v>ESDL376AXT350C</v>
      </c>
      <c r="D2821" s="340">
        <v>540</v>
      </c>
      <c r="E2821" s="343"/>
    </row>
    <row r="2822" spans="1:5" s="335" customFormat="1" ht="36">
      <c r="A2822" s="342" t="s">
        <v>2064</v>
      </c>
      <c r="B2822" s="342" t="s">
        <v>2064</v>
      </c>
      <c r="C2822" s="342" t="str">
        <f>("ESDL376AXT350D")</f>
        <v>ESDL376AXT350D</v>
      </c>
      <c r="D2822" s="340">
        <v>505</v>
      </c>
      <c r="E2822" s="343"/>
    </row>
    <row r="2823" spans="1:5" s="335" customFormat="1" ht="36">
      <c r="A2823" s="342" t="s">
        <v>2065</v>
      </c>
      <c r="B2823" s="342" t="s">
        <v>2065</v>
      </c>
      <c r="C2823" s="342" t="str">
        <f>("ESDL376AXT450B")</f>
        <v>ESDL376AXT450B</v>
      </c>
      <c r="D2823" s="340">
        <v>641</v>
      </c>
      <c r="E2823" s="343"/>
    </row>
    <row r="2824" spans="1:5" s="335" customFormat="1" ht="36">
      <c r="A2824" s="342" t="s">
        <v>2066</v>
      </c>
      <c r="B2824" s="342" t="s">
        <v>2066</v>
      </c>
      <c r="C2824" s="342" t="str">
        <f>("ESDL376AXT450C")</f>
        <v>ESDL376AXT450C</v>
      </c>
      <c r="D2824" s="340">
        <v>601</v>
      </c>
      <c r="E2824" s="343"/>
    </row>
    <row r="2825" spans="1:5" s="335" customFormat="1" ht="36">
      <c r="A2825" s="342" t="s">
        <v>2067</v>
      </c>
      <c r="B2825" s="342" t="s">
        <v>2067</v>
      </c>
      <c r="C2825" s="342" t="str">
        <f>("ESDL376AXT450D")</f>
        <v>ESDL376AXT450D</v>
      </c>
      <c r="D2825" s="340">
        <v>566</v>
      </c>
      <c r="E2825" s="343"/>
    </row>
    <row r="2826" spans="1:5" s="335" customFormat="1" ht="36">
      <c r="A2826" s="342" t="s">
        <v>2068</v>
      </c>
      <c r="B2826" s="342" t="s">
        <v>2068</v>
      </c>
      <c r="C2826" s="342" t="str">
        <f>("ESDL376AXT550B")</f>
        <v>ESDL376AXT550B</v>
      </c>
      <c r="D2826" s="340">
        <v>703</v>
      </c>
      <c r="E2826" s="343"/>
    </row>
    <row r="2827" spans="1:5" s="335" customFormat="1" ht="36">
      <c r="A2827" s="342" t="s">
        <v>2069</v>
      </c>
      <c r="B2827" s="342" t="s">
        <v>2069</v>
      </c>
      <c r="C2827" s="342" t="str">
        <f>("ESDL376AXT550C")</f>
        <v>ESDL376AXT550C</v>
      </c>
      <c r="D2827" s="340">
        <v>663</v>
      </c>
      <c r="E2827" s="343"/>
    </row>
    <row r="2828" spans="1:5" s="335" customFormat="1" ht="36">
      <c r="A2828" s="342" t="s">
        <v>2070</v>
      </c>
      <c r="B2828" s="342" t="s">
        <v>2070</v>
      </c>
      <c r="C2828" s="342" t="str">
        <f>("ESDL376AXT550D")</f>
        <v>ESDL376AXT550D</v>
      </c>
      <c r="D2828" s="340">
        <v>628</v>
      </c>
      <c r="E2828" s="343"/>
    </row>
    <row r="2829" spans="1:5" s="335" customFormat="1" ht="12.75">
      <c r="A2829" s="403" t="s">
        <v>2071</v>
      </c>
      <c r="B2829" s="403"/>
      <c r="C2829" s="403"/>
      <c r="D2829" s="403"/>
      <c r="E2829" s="343"/>
    </row>
    <row r="2830" spans="1:5" s="335" customFormat="1" ht="36">
      <c r="A2830" s="342" t="s">
        <v>2072</v>
      </c>
      <c r="B2830" s="342" t="s">
        <v>2072</v>
      </c>
      <c r="C2830" s="342" t="str">
        <f>("ESDB476AXT350C")</f>
        <v>ESDB476AXT350C</v>
      </c>
      <c r="D2830" s="340">
        <v>720</v>
      </c>
      <c r="E2830" s="343"/>
    </row>
    <row r="2831" spans="1:5" s="335" customFormat="1" ht="36">
      <c r="A2831" s="342" t="s">
        <v>2073</v>
      </c>
      <c r="B2831" s="342" t="s">
        <v>2073</v>
      </c>
      <c r="C2831" s="342" t="str">
        <f>("ESDB476AXT450C")</f>
        <v>ESDB476AXT450C</v>
      </c>
      <c r="D2831" s="340">
        <v>815</v>
      </c>
      <c r="E2831" s="343"/>
    </row>
    <row r="2832" spans="1:5" s="335" customFormat="1" ht="36">
      <c r="A2832" s="342" t="s">
        <v>2074</v>
      </c>
      <c r="B2832" s="342" t="s">
        <v>2074</v>
      </c>
      <c r="C2832" s="342" t="str">
        <f>("ESDB476AXT550C")</f>
        <v>ESDB476AXT550C</v>
      </c>
      <c r="D2832" s="340">
        <v>910</v>
      </c>
      <c r="E2832" s="343"/>
    </row>
    <row r="2833" spans="1:5" s="335" customFormat="1" ht="48">
      <c r="A2833" s="342" t="s">
        <v>2075</v>
      </c>
      <c r="B2833" s="342" t="s">
        <v>2075</v>
      </c>
      <c r="C2833" s="342" t="str">
        <f>("ESDB576AXT350C")</f>
        <v>ESDB576AXT350C</v>
      </c>
      <c r="D2833" s="340">
        <v>720</v>
      </c>
      <c r="E2833" s="343"/>
    </row>
    <row r="2834" spans="1:5" s="335" customFormat="1" ht="48">
      <c r="A2834" s="342" t="s">
        <v>2076</v>
      </c>
      <c r="B2834" s="342" t="s">
        <v>2076</v>
      </c>
      <c r="C2834" s="342" t="str">
        <f>("ESDB576AXT450C")</f>
        <v>ESDB576AXT450C</v>
      </c>
      <c r="D2834" s="340">
        <v>815</v>
      </c>
      <c r="E2834" s="343"/>
    </row>
    <row r="2835" spans="1:5" s="335" customFormat="1" ht="48">
      <c r="A2835" s="342" t="s">
        <v>2077</v>
      </c>
      <c r="B2835" s="342" t="s">
        <v>2077</v>
      </c>
      <c r="C2835" s="342" t="str">
        <f>("ESDB576AXT550C")</f>
        <v>ESDB576AXT550C</v>
      </c>
      <c r="D2835" s="340">
        <v>910</v>
      </c>
      <c r="E2835" s="343"/>
    </row>
    <row r="2836" spans="1:5" s="335" customFormat="1" ht="48">
      <c r="A2836" s="342" t="s">
        <v>2078</v>
      </c>
      <c r="B2836" s="342" t="s">
        <v>2078</v>
      </c>
      <c r="C2836" s="342" t="str">
        <f>("ESDB776AXT350C")</f>
        <v>ESDB776AXT350C</v>
      </c>
      <c r="D2836" s="340">
        <v>720</v>
      </c>
      <c r="E2836" s="343"/>
    </row>
    <row r="2837" spans="1:5" s="335" customFormat="1" ht="48">
      <c r="A2837" s="342" t="s">
        <v>2079</v>
      </c>
      <c r="B2837" s="342" t="s">
        <v>2079</v>
      </c>
      <c r="C2837" s="342" t="str">
        <f>("ESDB776AXT450C")</f>
        <v>ESDB776AXT450C</v>
      </c>
      <c r="D2837" s="340">
        <v>815</v>
      </c>
      <c r="E2837" s="343"/>
    </row>
    <row r="2838" spans="1:5" s="335" customFormat="1" ht="48">
      <c r="A2838" s="342" t="s">
        <v>2080</v>
      </c>
      <c r="B2838" s="342" t="s">
        <v>2080</v>
      </c>
      <c r="C2838" s="342" t="str">
        <f>("ESDB776AXT550C")</f>
        <v>ESDB776AXT550C</v>
      </c>
      <c r="D2838" s="340">
        <v>910</v>
      </c>
      <c r="E2838" s="343"/>
    </row>
    <row r="2839" spans="1:5" s="335" customFormat="1" ht="48">
      <c r="A2839" s="342" t="s">
        <v>2081</v>
      </c>
      <c r="B2839" s="342" t="s">
        <v>2081</v>
      </c>
      <c r="C2839" s="342" t="str">
        <f>("ESDB876AXT350C")</f>
        <v>ESDB876AXT350C</v>
      </c>
      <c r="D2839" s="340">
        <v>720</v>
      </c>
      <c r="E2839" s="343"/>
    </row>
    <row r="2840" spans="1:5" s="335" customFormat="1" ht="48">
      <c r="A2840" s="342" t="s">
        <v>2082</v>
      </c>
      <c r="B2840" s="342" t="s">
        <v>2082</v>
      </c>
      <c r="C2840" s="342" t="str">
        <f>("ESDB876AXT450C")</f>
        <v>ESDB876AXT450C</v>
      </c>
      <c r="D2840" s="340">
        <v>815</v>
      </c>
      <c r="E2840" s="343"/>
    </row>
    <row r="2841" spans="1:5" s="335" customFormat="1" ht="48">
      <c r="A2841" s="342" t="s">
        <v>2083</v>
      </c>
      <c r="B2841" s="342" t="s">
        <v>2083</v>
      </c>
      <c r="C2841" s="342" t="str">
        <f>("ESDB876AXT550C")</f>
        <v>ESDB876AXT550C</v>
      </c>
      <c r="D2841" s="340">
        <v>910</v>
      </c>
      <c r="E2841" s="343"/>
    </row>
    <row r="2842" spans="1:5" s="335" customFormat="1" ht="48">
      <c r="A2842" s="342" t="s">
        <v>2084</v>
      </c>
      <c r="B2842" s="342" t="s">
        <v>2084</v>
      </c>
      <c r="C2842" s="342" t="str">
        <f>("ESDB976AXT350C")</f>
        <v>ESDB976AXT350C</v>
      </c>
      <c r="D2842" s="340">
        <v>720</v>
      </c>
      <c r="E2842" s="343"/>
    </row>
    <row r="2843" spans="1:5" s="335" customFormat="1" ht="48">
      <c r="A2843" s="342" t="s">
        <v>2085</v>
      </c>
      <c r="B2843" s="342" t="s">
        <v>2085</v>
      </c>
      <c r="C2843" s="342" t="str">
        <f>("ESDB976AXT450C")</f>
        <v>ESDB976AXT450C</v>
      </c>
      <c r="D2843" s="340">
        <v>815</v>
      </c>
      <c r="E2843" s="343"/>
    </row>
    <row r="2844" spans="1:5" s="335" customFormat="1" ht="48">
      <c r="A2844" s="342" t="s">
        <v>2086</v>
      </c>
      <c r="B2844" s="342" t="s">
        <v>2086</v>
      </c>
      <c r="C2844" s="342" t="str">
        <f>("ESDB976AXT550C")</f>
        <v>ESDB976AXT550C</v>
      </c>
      <c r="D2844" s="340">
        <v>910</v>
      </c>
      <c r="E2844" s="343"/>
    </row>
    <row r="2845" spans="1:5" s="335" customFormat="1" ht="36">
      <c r="A2845" s="342" t="s">
        <v>2087</v>
      </c>
      <c r="B2845" s="342" t="s">
        <v>2087</v>
      </c>
      <c r="C2845" s="342" t="str">
        <f>("ESDC176AXT350C")</f>
        <v>ESDC176AXT350C</v>
      </c>
      <c r="D2845" s="340">
        <v>720</v>
      </c>
      <c r="E2845" s="343"/>
    </row>
    <row r="2846" spans="1:5" s="335" customFormat="1" ht="36">
      <c r="A2846" s="342" t="s">
        <v>2088</v>
      </c>
      <c r="B2846" s="342" t="s">
        <v>2088</v>
      </c>
      <c r="C2846" s="342" t="str">
        <f>("ESDC176AXT450C")</f>
        <v>ESDC176AXT450C</v>
      </c>
      <c r="D2846" s="340">
        <v>815</v>
      </c>
      <c r="E2846" s="343"/>
    </row>
    <row r="2847" spans="1:5" s="335" customFormat="1" ht="36">
      <c r="A2847" s="342" t="s">
        <v>2089</v>
      </c>
      <c r="B2847" s="342" t="s">
        <v>2089</v>
      </c>
      <c r="C2847" s="342" t="str">
        <f>("ESDC176AXT550C")</f>
        <v>ESDC176AXT550C</v>
      </c>
      <c r="D2847" s="340">
        <v>910</v>
      </c>
      <c r="E2847" s="343"/>
    </row>
    <row r="2848" spans="1:5" s="335" customFormat="1" ht="36">
      <c r="A2848" s="342" t="s">
        <v>2090</v>
      </c>
      <c r="B2848" s="342" t="s">
        <v>2090</v>
      </c>
      <c r="C2848" s="342" t="str">
        <f>("ESDC276AXT350C")</f>
        <v>ESDC276AXT350C</v>
      </c>
      <c r="D2848" s="340">
        <v>720</v>
      </c>
      <c r="E2848" s="343"/>
    </row>
    <row r="2849" spans="1:5" s="335" customFormat="1" ht="36">
      <c r="A2849" s="342" t="s">
        <v>2091</v>
      </c>
      <c r="B2849" s="342" t="s">
        <v>2091</v>
      </c>
      <c r="C2849" s="342" t="str">
        <f>("ESDC276AXT450C")</f>
        <v>ESDC276AXT450C</v>
      </c>
      <c r="D2849" s="340">
        <v>815</v>
      </c>
      <c r="E2849" s="343"/>
    </row>
    <row r="2850" spans="1:5" s="335" customFormat="1" ht="36">
      <c r="A2850" s="342" t="s">
        <v>2092</v>
      </c>
      <c r="B2850" s="342" t="s">
        <v>2092</v>
      </c>
      <c r="C2850" s="342" t="str">
        <f>("ESDC276AXT550C")</f>
        <v>ESDC276AXT550C</v>
      </c>
      <c r="D2850" s="340">
        <v>910</v>
      </c>
      <c r="E2850" s="343"/>
    </row>
    <row r="2851" spans="1:5" s="335" customFormat="1" ht="36">
      <c r="A2851" s="342" t="s">
        <v>2093</v>
      </c>
      <c r="B2851" s="342" t="s">
        <v>2093</v>
      </c>
      <c r="C2851" s="342" t="str">
        <f>("ESDC376AXT350C")</f>
        <v>ESDC376AXT350C</v>
      </c>
      <c r="D2851" s="340">
        <v>720</v>
      </c>
      <c r="E2851" s="343"/>
    </row>
    <row r="2852" spans="1:5" s="335" customFormat="1" ht="36">
      <c r="A2852" s="342" t="s">
        <v>2094</v>
      </c>
      <c r="B2852" s="342" t="s">
        <v>2094</v>
      </c>
      <c r="C2852" s="342" t="str">
        <f>("ESDC376AXT450C")</f>
        <v>ESDC376AXT450C</v>
      </c>
      <c r="D2852" s="340">
        <v>815</v>
      </c>
      <c r="E2852" s="343"/>
    </row>
    <row r="2853" spans="1:5" s="335" customFormat="1" ht="36">
      <c r="A2853" s="342" t="s">
        <v>2095</v>
      </c>
      <c r="B2853" s="342" t="s">
        <v>2095</v>
      </c>
      <c r="C2853" s="342" t="str">
        <f>("ESDC376AXT550C")</f>
        <v>ESDC376AXT550C</v>
      </c>
      <c r="D2853" s="340">
        <v>910</v>
      </c>
      <c r="E2853" s="343"/>
    </row>
    <row r="2854" spans="1:5" s="335" customFormat="1" ht="36">
      <c r="A2854" s="342" t="s">
        <v>2096</v>
      </c>
      <c r="B2854" s="342" t="s">
        <v>2096</v>
      </c>
      <c r="C2854" s="342" t="str">
        <f>("ESDC476AXT350C")</f>
        <v>ESDC476AXT350C</v>
      </c>
      <c r="D2854" s="340">
        <v>720</v>
      </c>
      <c r="E2854" s="343"/>
    </row>
    <row r="2855" spans="1:5" s="335" customFormat="1" ht="36">
      <c r="A2855" s="342" t="s">
        <v>2097</v>
      </c>
      <c r="B2855" s="342" t="s">
        <v>2097</v>
      </c>
      <c r="C2855" s="342" t="str">
        <f>("ESDC476AXT450C")</f>
        <v>ESDC476AXT450C</v>
      </c>
      <c r="D2855" s="340">
        <v>815</v>
      </c>
      <c r="E2855" s="343"/>
    </row>
    <row r="2856" spans="1:5" s="335" customFormat="1" ht="36">
      <c r="A2856" s="342" t="s">
        <v>2098</v>
      </c>
      <c r="B2856" s="342" t="s">
        <v>2098</v>
      </c>
      <c r="C2856" s="342" t="str">
        <f>("ESDC476AXT550C")</f>
        <v>ESDC476AXT550C</v>
      </c>
      <c r="D2856" s="340">
        <v>910</v>
      </c>
      <c r="E2856" s="343"/>
    </row>
    <row r="2857" spans="1:5" s="335" customFormat="1" ht="36">
      <c r="A2857" s="342" t="s">
        <v>2099</v>
      </c>
      <c r="B2857" s="342" t="s">
        <v>2099</v>
      </c>
      <c r="C2857" s="342" t="str">
        <f>("ESDC676AXT350C")</f>
        <v>ESDC676AXT350C</v>
      </c>
      <c r="D2857" s="340">
        <v>750</v>
      </c>
      <c r="E2857" s="343"/>
    </row>
    <row r="2858" spans="1:5" s="335" customFormat="1" ht="36">
      <c r="A2858" s="342" t="s">
        <v>2100</v>
      </c>
      <c r="B2858" s="342" t="s">
        <v>2100</v>
      </c>
      <c r="C2858" s="342" t="str">
        <f>("ESDC676AXT450C")</f>
        <v>ESDC676AXT450C</v>
      </c>
      <c r="D2858" s="340">
        <v>864</v>
      </c>
      <c r="E2858" s="343"/>
    </row>
    <row r="2859" spans="1:5" s="335" customFormat="1" ht="36">
      <c r="A2859" s="342" t="s">
        <v>2101</v>
      </c>
      <c r="B2859" s="342" t="s">
        <v>2101</v>
      </c>
      <c r="C2859" s="342" t="str">
        <f>("ESDC676AXT550C")</f>
        <v>ESDC676AXT550C</v>
      </c>
      <c r="D2859" s="340">
        <v>978</v>
      </c>
      <c r="E2859" s="343"/>
    </row>
    <row r="2860" spans="1:5" s="335" customFormat="1" ht="36">
      <c r="A2860" s="342" t="s">
        <v>2102</v>
      </c>
      <c r="B2860" s="342" t="s">
        <v>2102</v>
      </c>
      <c r="C2860" s="342" t="str">
        <f>("ESDC976AXT350C")</f>
        <v>ESDC976AXT350C</v>
      </c>
      <c r="D2860" s="340">
        <v>720</v>
      </c>
      <c r="E2860" s="343"/>
    </row>
    <row r="2861" spans="1:5" s="335" customFormat="1" ht="36">
      <c r="A2861" s="342" t="s">
        <v>2103</v>
      </c>
      <c r="B2861" s="342" t="s">
        <v>2103</v>
      </c>
      <c r="C2861" s="342" t="str">
        <f>("ESDC976AXT450C")</f>
        <v>ESDC976AXT450C</v>
      </c>
      <c r="D2861" s="340">
        <v>815</v>
      </c>
      <c r="E2861" s="343"/>
    </row>
    <row r="2862" spans="1:5" s="335" customFormat="1" ht="36">
      <c r="A2862" s="342" t="s">
        <v>2104</v>
      </c>
      <c r="B2862" s="342" t="s">
        <v>2104</v>
      </c>
      <c r="C2862" s="342" t="str">
        <f>("ESDC976AXT550C")</f>
        <v>ESDC976AXT550C</v>
      </c>
      <c r="D2862" s="340">
        <v>910</v>
      </c>
      <c r="E2862" s="343"/>
    </row>
    <row r="2863" spans="1:5" s="335" customFormat="1" ht="36">
      <c r="A2863" s="342" t="s">
        <v>2105</v>
      </c>
      <c r="B2863" s="342" t="s">
        <v>2105</v>
      </c>
      <c r="C2863" s="342" t="str">
        <f>("ESDZ776AXT350C")</f>
        <v>ESDZ776AXT350C</v>
      </c>
      <c r="D2863" s="340">
        <v>720</v>
      </c>
      <c r="E2863" s="343"/>
    </row>
    <row r="2864" spans="1:5" s="335" customFormat="1" ht="36">
      <c r="A2864" s="342" t="s">
        <v>2106</v>
      </c>
      <c r="B2864" s="342" t="s">
        <v>2106</v>
      </c>
      <c r="C2864" s="342" t="str">
        <f>("ESDZ776AXT450C")</f>
        <v>ESDZ776AXT450C</v>
      </c>
      <c r="D2864" s="340">
        <v>815</v>
      </c>
      <c r="E2864" s="343"/>
    </row>
    <row r="2865" spans="1:5" s="335" customFormat="1" ht="36">
      <c r="A2865" s="342" t="s">
        <v>2107</v>
      </c>
      <c r="B2865" s="342" t="s">
        <v>2107</v>
      </c>
      <c r="C2865" s="342" t="str">
        <f>("ESDZ776AXT550C")</f>
        <v>ESDZ776AXT550C</v>
      </c>
      <c r="D2865" s="340">
        <v>910</v>
      </c>
      <c r="E2865" s="343"/>
    </row>
    <row r="2866" spans="1:5" s="335" customFormat="1" ht="12.75">
      <c r="A2866" s="403" t="s">
        <v>2108</v>
      </c>
      <c r="B2866" s="403"/>
      <c r="C2866" s="403"/>
      <c r="D2866" s="403"/>
      <c r="E2866" s="343"/>
    </row>
    <row r="2867" spans="1:5" s="335" customFormat="1" ht="36">
      <c r="A2867" s="342" t="s">
        <v>2109</v>
      </c>
      <c r="B2867" s="342" t="s">
        <v>2109</v>
      </c>
      <c r="C2867" s="342" t="str">
        <f>("ESDB476AXT350B")</f>
        <v>ESDB476AXT350B</v>
      </c>
      <c r="D2867" s="340">
        <v>760</v>
      </c>
      <c r="E2867" s="343"/>
    </row>
    <row r="2868" spans="1:5" s="335" customFormat="1" ht="36">
      <c r="A2868" s="342" t="s">
        <v>2110</v>
      </c>
      <c r="B2868" s="342" t="s">
        <v>2110</v>
      </c>
      <c r="C2868" s="342" t="str">
        <f>("ESDB476AXT450B")</f>
        <v>ESDB476AXT450B</v>
      </c>
      <c r="D2868" s="340">
        <v>855</v>
      </c>
      <c r="E2868" s="343"/>
    </row>
    <row r="2869" spans="1:5" s="335" customFormat="1" ht="36">
      <c r="A2869" s="342" t="s">
        <v>2111</v>
      </c>
      <c r="B2869" s="342" t="s">
        <v>2111</v>
      </c>
      <c r="C2869" s="342" t="str">
        <f>("ESDB476AXT550B")</f>
        <v>ESDB476AXT550B</v>
      </c>
      <c r="D2869" s="340">
        <v>950</v>
      </c>
      <c r="E2869" s="343"/>
    </row>
    <row r="2870" spans="1:5" s="335" customFormat="1" ht="48">
      <c r="A2870" s="342" t="s">
        <v>2112</v>
      </c>
      <c r="B2870" s="342" t="s">
        <v>2112</v>
      </c>
      <c r="C2870" s="342" t="str">
        <f>("ESDB576AXT350B")</f>
        <v>ESDB576AXT350B</v>
      </c>
      <c r="D2870" s="340">
        <v>760</v>
      </c>
      <c r="E2870" s="343"/>
    </row>
    <row r="2871" spans="1:5" s="335" customFormat="1" ht="48">
      <c r="A2871" s="342" t="s">
        <v>2113</v>
      </c>
      <c r="B2871" s="342" t="s">
        <v>2113</v>
      </c>
      <c r="C2871" s="342" t="str">
        <f>("ESDB576AXT450B")</f>
        <v>ESDB576AXT450B</v>
      </c>
      <c r="D2871" s="340">
        <v>855</v>
      </c>
      <c r="E2871" s="343"/>
    </row>
    <row r="2872" spans="1:5" s="335" customFormat="1" ht="48">
      <c r="A2872" s="342" t="s">
        <v>2114</v>
      </c>
      <c r="B2872" s="342" t="s">
        <v>2114</v>
      </c>
      <c r="C2872" s="342" t="str">
        <f>("ESDB576AXT550B")</f>
        <v>ESDB576AXT550B</v>
      </c>
      <c r="D2872" s="340">
        <v>950</v>
      </c>
      <c r="E2872" s="343"/>
    </row>
    <row r="2873" spans="1:5" s="335" customFormat="1" ht="48">
      <c r="A2873" s="342" t="s">
        <v>2115</v>
      </c>
      <c r="B2873" s="342" t="s">
        <v>2115</v>
      </c>
      <c r="C2873" s="342" t="str">
        <f>("ESDB776AXT350B")</f>
        <v>ESDB776AXT350B</v>
      </c>
      <c r="D2873" s="340">
        <v>760</v>
      </c>
      <c r="E2873" s="343"/>
    </row>
    <row r="2874" spans="1:5" s="335" customFormat="1" ht="48">
      <c r="A2874" s="342" t="s">
        <v>2116</v>
      </c>
      <c r="B2874" s="342" t="s">
        <v>2116</v>
      </c>
      <c r="C2874" s="342" t="str">
        <f>("ESDB776AXT450B")</f>
        <v>ESDB776AXT450B</v>
      </c>
      <c r="D2874" s="340">
        <v>855</v>
      </c>
      <c r="E2874" s="343"/>
    </row>
    <row r="2875" spans="1:5" s="335" customFormat="1" ht="48">
      <c r="A2875" s="342" t="s">
        <v>2117</v>
      </c>
      <c r="B2875" s="342" t="s">
        <v>2117</v>
      </c>
      <c r="C2875" s="342" t="str">
        <f>("ESDB776AXT550B")</f>
        <v>ESDB776AXT550B</v>
      </c>
      <c r="D2875" s="340">
        <v>950</v>
      </c>
      <c r="E2875" s="343"/>
    </row>
    <row r="2876" spans="1:5" s="335" customFormat="1" ht="48">
      <c r="A2876" s="342" t="s">
        <v>2118</v>
      </c>
      <c r="B2876" s="342" t="s">
        <v>2118</v>
      </c>
      <c r="C2876" s="342" t="str">
        <f>("ESDB876AXT350B")</f>
        <v>ESDB876AXT350B</v>
      </c>
      <c r="D2876" s="340">
        <v>760</v>
      </c>
      <c r="E2876" s="343"/>
    </row>
    <row r="2877" spans="1:5" s="335" customFormat="1" ht="48">
      <c r="A2877" s="342" t="s">
        <v>2119</v>
      </c>
      <c r="B2877" s="342" t="s">
        <v>2119</v>
      </c>
      <c r="C2877" s="342" t="str">
        <f>("ESDB876AXT450B")</f>
        <v>ESDB876AXT450B</v>
      </c>
      <c r="D2877" s="340">
        <v>855</v>
      </c>
      <c r="E2877" s="343"/>
    </row>
    <row r="2878" spans="1:5" s="335" customFormat="1" ht="48">
      <c r="A2878" s="342" t="s">
        <v>2120</v>
      </c>
      <c r="B2878" s="342" t="s">
        <v>2120</v>
      </c>
      <c r="C2878" s="342" t="str">
        <f>("ESDB876AXT550B")</f>
        <v>ESDB876AXT550B</v>
      </c>
      <c r="D2878" s="340">
        <v>950</v>
      </c>
      <c r="E2878" s="343"/>
    </row>
    <row r="2879" spans="1:5" s="335" customFormat="1" ht="48">
      <c r="A2879" s="342" t="s">
        <v>2121</v>
      </c>
      <c r="B2879" s="342" t="s">
        <v>2121</v>
      </c>
      <c r="C2879" s="342" t="str">
        <f>("ESDB976AXT350B")</f>
        <v>ESDB976AXT350B</v>
      </c>
      <c r="D2879" s="340">
        <v>760</v>
      </c>
      <c r="E2879" s="343"/>
    </row>
    <row r="2880" spans="1:5" s="335" customFormat="1" ht="48">
      <c r="A2880" s="342" t="s">
        <v>2122</v>
      </c>
      <c r="B2880" s="342" t="s">
        <v>2122</v>
      </c>
      <c r="C2880" s="342" t="str">
        <f>("ESDB976AXT450B")</f>
        <v>ESDB976AXT450B</v>
      </c>
      <c r="D2880" s="340">
        <v>855</v>
      </c>
      <c r="E2880" s="343"/>
    </row>
    <row r="2881" spans="1:5" s="335" customFormat="1" ht="48">
      <c r="A2881" s="342" t="s">
        <v>2123</v>
      </c>
      <c r="B2881" s="342" t="s">
        <v>2123</v>
      </c>
      <c r="C2881" s="342" t="str">
        <f>("ESDB976AXT550B")</f>
        <v>ESDB976AXT550B</v>
      </c>
      <c r="D2881" s="340">
        <v>950</v>
      </c>
      <c r="E2881" s="343"/>
    </row>
    <row r="2882" spans="1:5" s="335" customFormat="1" ht="36">
      <c r="A2882" s="342" t="s">
        <v>2124</v>
      </c>
      <c r="B2882" s="342" t="s">
        <v>2124</v>
      </c>
      <c r="C2882" s="342" t="str">
        <f>("ESDC176AXT350B")</f>
        <v>ESDC176AXT350B</v>
      </c>
      <c r="D2882" s="340">
        <v>760</v>
      </c>
      <c r="E2882" s="343"/>
    </row>
    <row r="2883" spans="1:5" s="335" customFormat="1" ht="36">
      <c r="A2883" s="342" t="s">
        <v>2125</v>
      </c>
      <c r="B2883" s="342" t="s">
        <v>2125</v>
      </c>
      <c r="C2883" s="342" t="str">
        <f>("ESDC176AXT450B")</f>
        <v>ESDC176AXT450B</v>
      </c>
      <c r="D2883" s="340">
        <v>855</v>
      </c>
      <c r="E2883" s="343"/>
    </row>
    <row r="2884" spans="1:5" s="335" customFormat="1" ht="36">
      <c r="A2884" s="342" t="s">
        <v>2126</v>
      </c>
      <c r="B2884" s="342" t="s">
        <v>2126</v>
      </c>
      <c r="C2884" s="342" t="str">
        <f>("ESDC176AXT550B")</f>
        <v>ESDC176AXT550B</v>
      </c>
      <c r="D2884" s="340">
        <v>950</v>
      </c>
      <c r="E2884" s="343"/>
    </row>
    <row r="2885" spans="1:5" s="335" customFormat="1" ht="36">
      <c r="A2885" s="342" t="s">
        <v>2127</v>
      </c>
      <c r="B2885" s="342" t="s">
        <v>2127</v>
      </c>
      <c r="C2885" s="342" t="str">
        <f>("ESDC276AXT350B")</f>
        <v>ESDC276AXT350B</v>
      </c>
      <c r="D2885" s="340">
        <v>760</v>
      </c>
      <c r="E2885" s="343"/>
    </row>
    <row r="2886" spans="1:5" s="335" customFormat="1" ht="36">
      <c r="A2886" s="342" t="s">
        <v>2128</v>
      </c>
      <c r="B2886" s="342" t="s">
        <v>2128</v>
      </c>
      <c r="C2886" s="342" t="str">
        <f>("ESDC276AXT450B")</f>
        <v>ESDC276AXT450B</v>
      </c>
      <c r="D2886" s="340">
        <v>855</v>
      </c>
      <c r="E2886" s="343"/>
    </row>
    <row r="2887" spans="1:5" s="335" customFormat="1" ht="36">
      <c r="A2887" s="342" t="s">
        <v>2129</v>
      </c>
      <c r="B2887" s="342" t="s">
        <v>2129</v>
      </c>
      <c r="C2887" s="342" t="str">
        <f>("ESDC276AXT550B")</f>
        <v>ESDC276AXT550B</v>
      </c>
      <c r="D2887" s="340">
        <v>950</v>
      </c>
      <c r="E2887" s="343"/>
    </row>
    <row r="2888" spans="1:5" s="335" customFormat="1" ht="36">
      <c r="A2888" s="342" t="s">
        <v>2130</v>
      </c>
      <c r="B2888" s="342" t="s">
        <v>2130</v>
      </c>
      <c r="C2888" s="342" t="str">
        <f>("ESDC376AXT350B")</f>
        <v>ESDC376AXT350B</v>
      </c>
      <c r="D2888" s="340">
        <v>760</v>
      </c>
      <c r="E2888" s="343"/>
    </row>
    <row r="2889" spans="1:5" s="335" customFormat="1" ht="36">
      <c r="A2889" s="342" t="s">
        <v>2131</v>
      </c>
      <c r="B2889" s="342" t="s">
        <v>2131</v>
      </c>
      <c r="C2889" s="342" t="str">
        <f>("ESDC376AXT450B")</f>
        <v>ESDC376AXT450B</v>
      </c>
      <c r="D2889" s="340">
        <v>855</v>
      </c>
      <c r="E2889" s="343"/>
    </row>
    <row r="2890" spans="1:5" s="335" customFormat="1" ht="36">
      <c r="A2890" s="342" t="s">
        <v>2132</v>
      </c>
      <c r="B2890" s="342" t="s">
        <v>2132</v>
      </c>
      <c r="C2890" s="342" t="str">
        <f>("ESDC376AXT550B")</f>
        <v>ESDC376AXT550B</v>
      </c>
      <c r="D2890" s="340">
        <v>950</v>
      </c>
      <c r="E2890" s="343"/>
    </row>
    <row r="2891" spans="1:5" s="335" customFormat="1" ht="36">
      <c r="A2891" s="342" t="s">
        <v>2133</v>
      </c>
      <c r="B2891" s="342" t="s">
        <v>2133</v>
      </c>
      <c r="C2891" s="342" t="str">
        <f>("ESDC476AXT350B")</f>
        <v>ESDC476AXT350B</v>
      </c>
      <c r="D2891" s="340">
        <v>760</v>
      </c>
      <c r="E2891" s="343"/>
    </row>
    <row r="2892" spans="1:5" s="335" customFormat="1" ht="36">
      <c r="A2892" s="342" t="s">
        <v>2134</v>
      </c>
      <c r="B2892" s="342" t="s">
        <v>2134</v>
      </c>
      <c r="C2892" s="342" t="str">
        <f>("ESDC476AXT450B")</f>
        <v>ESDC476AXT450B</v>
      </c>
      <c r="D2892" s="340">
        <v>855</v>
      </c>
      <c r="E2892" s="343"/>
    </row>
    <row r="2893" spans="1:5" s="335" customFormat="1" ht="36">
      <c r="A2893" s="342" t="s">
        <v>2135</v>
      </c>
      <c r="B2893" s="342" t="s">
        <v>2135</v>
      </c>
      <c r="C2893" s="342" t="str">
        <f>("ESDC476AXT550B")</f>
        <v>ESDC476AXT550B</v>
      </c>
      <c r="D2893" s="340">
        <v>950</v>
      </c>
      <c r="E2893" s="343"/>
    </row>
    <row r="2894" spans="1:5" s="335" customFormat="1" ht="36">
      <c r="A2894" s="342" t="s">
        <v>2136</v>
      </c>
      <c r="B2894" s="342" t="s">
        <v>2136</v>
      </c>
      <c r="C2894" s="342" t="str">
        <f>("ESDC676AXT350B")</f>
        <v>ESDC676AXT350B</v>
      </c>
      <c r="D2894" s="340">
        <v>912</v>
      </c>
      <c r="E2894" s="343"/>
    </row>
    <row r="2895" spans="1:5" s="335" customFormat="1" ht="36">
      <c r="A2895" s="342" t="s">
        <v>2137</v>
      </c>
      <c r="B2895" s="342" t="s">
        <v>2137</v>
      </c>
      <c r="C2895" s="342" t="str">
        <f>("ESDC676AXT450B")</f>
        <v>ESDC676AXT450B</v>
      </c>
      <c r="D2895" s="340">
        <v>1026</v>
      </c>
      <c r="E2895" s="343"/>
    </row>
    <row r="2896" spans="1:5" s="335" customFormat="1" ht="36">
      <c r="A2896" s="342" t="s">
        <v>2138</v>
      </c>
      <c r="B2896" s="342" t="s">
        <v>2138</v>
      </c>
      <c r="C2896" s="342" t="str">
        <f>("ESDC676AXT550B")</f>
        <v>ESDC676AXT550B</v>
      </c>
      <c r="D2896" s="340">
        <v>1140</v>
      </c>
      <c r="E2896" s="343"/>
    </row>
    <row r="2897" spans="1:5" s="335" customFormat="1" ht="36">
      <c r="A2897" s="342" t="s">
        <v>2139</v>
      </c>
      <c r="B2897" s="342" t="s">
        <v>2139</v>
      </c>
      <c r="C2897" s="342" t="str">
        <f>("ESDC976AXT350B")</f>
        <v>ESDC976AXT350B</v>
      </c>
      <c r="D2897" s="340">
        <v>760</v>
      </c>
      <c r="E2897" s="343"/>
    </row>
    <row r="2898" spans="1:5" s="335" customFormat="1" ht="36">
      <c r="A2898" s="342" t="s">
        <v>2140</v>
      </c>
      <c r="B2898" s="342" t="s">
        <v>2140</v>
      </c>
      <c r="C2898" s="342" t="str">
        <f>("ESDC976AXT450B")</f>
        <v>ESDC976AXT450B</v>
      </c>
      <c r="D2898" s="340">
        <v>855</v>
      </c>
      <c r="E2898" s="343"/>
    </row>
    <row r="2899" spans="1:5" s="335" customFormat="1" ht="36">
      <c r="A2899" s="342" t="s">
        <v>2141</v>
      </c>
      <c r="B2899" s="342" t="s">
        <v>2141</v>
      </c>
      <c r="C2899" s="342" t="str">
        <f>("ESDC976AXT550B")</f>
        <v>ESDC976AXT550B</v>
      </c>
      <c r="D2899" s="340">
        <v>950</v>
      </c>
      <c r="E2899" s="343"/>
    </row>
    <row r="2900" spans="1:5" s="335" customFormat="1" ht="36">
      <c r="A2900" s="342" t="s">
        <v>2142</v>
      </c>
      <c r="B2900" s="342" t="s">
        <v>2142</v>
      </c>
      <c r="C2900" s="342" t="str">
        <f>("ESDZ776AXT350B")</f>
        <v>ESDZ776AXT350B</v>
      </c>
      <c r="D2900" s="340">
        <v>760</v>
      </c>
      <c r="E2900" s="343"/>
    </row>
    <row r="2901" spans="1:5" s="335" customFormat="1" ht="36">
      <c r="A2901" s="342" t="s">
        <v>2143</v>
      </c>
      <c r="B2901" s="342" t="s">
        <v>2143</v>
      </c>
      <c r="C2901" s="342" t="str">
        <f>("ESDZ776AXT450B")</f>
        <v>ESDZ776AXT450B</v>
      </c>
      <c r="D2901" s="340">
        <v>855</v>
      </c>
      <c r="E2901" s="343"/>
    </row>
    <row r="2902" spans="1:5" s="335" customFormat="1" ht="36">
      <c r="A2902" s="342" t="s">
        <v>2144</v>
      </c>
      <c r="B2902" s="342" t="s">
        <v>2144</v>
      </c>
      <c r="C2902" s="342" t="str">
        <f>("ESDZ776AXT550B")</f>
        <v>ESDZ776AXT550B</v>
      </c>
      <c r="D2902" s="340">
        <v>950</v>
      </c>
      <c r="E2902" s="343"/>
    </row>
    <row r="2903" spans="1:5" s="335" customFormat="1" ht="12.75">
      <c r="A2903" s="403" t="s">
        <v>2145</v>
      </c>
      <c r="B2903" s="403"/>
      <c r="C2903" s="403"/>
      <c r="D2903" s="403"/>
      <c r="E2903" s="343"/>
    </row>
    <row r="2904" spans="1:5" s="335" customFormat="1" ht="36">
      <c r="A2904" s="342" t="s">
        <v>2146</v>
      </c>
      <c r="B2904" s="342" t="s">
        <v>2146</v>
      </c>
      <c r="C2904" s="342" t="str">
        <f>("ESDB476AXT350D")</f>
        <v>ESDB476AXT350D</v>
      </c>
      <c r="D2904" s="340">
        <v>585</v>
      </c>
      <c r="E2904" s="343"/>
    </row>
    <row r="2905" spans="1:5" s="335" customFormat="1" ht="36">
      <c r="A2905" s="342" t="s">
        <v>2147</v>
      </c>
      <c r="B2905" s="342" t="s">
        <v>2147</v>
      </c>
      <c r="C2905" s="342" t="str">
        <f>("ESDB476AXT450D")</f>
        <v>ESDB476AXT450D</v>
      </c>
      <c r="D2905" s="340">
        <v>680</v>
      </c>
      <c r="E2905" s="343"/>
    </row>
    <row r="2906" spans="1:5" s="335" customFormat="1" ht="36">
      <c r="A2906" s="342" t="s">
        <v>2148</v>
      </c>
      <c r="B2906" s="342" t="s">
        <v>2148</v>
      </c>
      <c r="C2906" s="342" t="str">
        <f>("ESDB476AXT550D")</f>
        <v>ESDB476AXT550D</v>
      </c>
      <c r="D2906" s="340">
        <v>775</v>
      </c>
      <c r="E2906" s="343"/>
    </row>
    <row r="2907" spans="1:5" s="335" customFormat="1" ht="48">
      <c r="A2907" s="342" t="s">
        <v>2149</v>
      </c>
      <c r="B2907" s="342" t="s">
        <v>2149</v>
      </c>
      <c r="C2907" s="342" t="str">
        <f>("ESDB576AXT350D")</f>
        <v>ESDB576AXT350D</v>
      </c>
      <c r="D2907" s="340">
        <v>585</v>
      </c>
      <c r="E2907" s="343"/>
    </row>
    <row r="2908" spans="1:5" s="335" customFormat="1" ht="48">
      <c r="A2908" s="342" t="s">
        <v>2150</v>
      </c>
      <c r="B2908" s="342" t="s">
        <v>2150</v>
      </c>
      <c r="C2908" s="342" t="str">
        <f>("ESDB576AXT450D")</f>
        <v>ESDB576AXT450D</v>
      </c>
      <c r="D2908" s="340">
        <v>680</v>
      </c>
      <c r="E2908" s="343"/>
    </row>
    <row r="2909" spans="1:5" s="335" customFormat="1" ht="48">
      <c r="A2909" s="342" t="s">
        <v>2151</v>
      </c>
      <c r="B2909" s="342" t="s">
        <v>2151</v>
      </c>
      <c r="C2909" s="342" t="str">
        <f>("ESDB576AXT550D")</f>
        <v>ESDB576AXT550D</v>
      </c>
      <c r="D2909" s="340">
        <v>775</v>
      </c>
      <c r="E2909" s="343"/>
    </row>
    <row r="2910" spans="1:5" s="335" customFormat="1" ht="48">
      <c r="A2910" s="342" t="s">
        <v>2152</v>
      </c>
      <c r="B2910" s="342" t="s">
        <v>2152</v>
      </c>
      <c r="C2910" s="342" t="str">
        <f>("ESDB776AXT350D")</f>
        <v>ESDB776AXT350D</v>
      </c>
      <c r="D2910" s="340">
        <v>585</v>
      </c>
      <c r="E2910" s="343"/>
    </row>
    <row r="2911" spans="1:5" s="335" customFormat="1" ht="48">
      <c r="A2911" s="342" t="s">
        <v>2153</v>
      </c>
      <c r="B2911" s="342" t="s">
        <v>2153</v>
      </c>
      <c r="C2911" s="342" t="str">
        <f>("ESDB776AXT450D")</f>
        <v>ESDB776AXT450D</v>
      </c>
      <c r="D2911" s="340">
        <v>680</v>
      </c>
      <c r="E2911" s="343"/>
    </row>
    <row r="2912" spans="1:5" s="335" customFormat="1" ht="48">
      <c r="A2912" s="342" t="s">
        <v>2154</v>
      </c>
      <c r="B2912" s="342" t="s">
        <v>2154</v>
      </c>
      <c r="C2912" s="342" t="str">
        <f>("ESDB776AXT550D")</f>
        <v>ESDB776AXT550D</v>
      </c>
      <c r="D2912" s="340">
        <v>775</v>
      </c>
      <c r="E2912" s="343"/>
    </row>
    <row r="2913" spans="1:5" s="335" customFormat="1" ht="48">
      <c r="A2913" s="342" t="s">
        <v>2155</v>
      </c>
      <c r="B2913" s="342" t="s">
        <v>2155</v>
      </c>
      <c r="C2913" s="342" t="str">
        <f>("ESDB876AXT350D")</f>
        <v>ESDB876AXT350D</v>
      </c>
      <c r="D2913" s="340">
        <v>585</v>
      </c>
      <c r="E2913" s="343"/>
    </row>
    <row r="2914" spans="1:5" s="335" customFormat="1" ht="48">
      <c r="A2914" s="342" t="s">
        <v>2156</v>
      </c>
      <c r="B2914" s="342" t="s">
        <v>2156</v>
      </c>
      <c r="C2914" s="342" t="str">
        <f>("ESDB876AXT450D")</f>
        <v>ESDB876AXT450D</v>
      </c>
      <c r="D2914" s="340">
        <v>680</v>
      </c>
      <c r="E2914" s="343"/>
    </row>
    <row r="2915" spans="1:5" s="335" customFormat="1" ht="48">
      <c r="A2915" s="342" t="s">
        <v>2157</v>
      </c>
      <c r="B2915" s="342" t="s">
        <v>2157</v>
      </c>
      <c r="C2915" s="342" t="str">
        <f>("ESDB876AXT550D")</f>
        <v>ESDB876AXT550D</v>
      </c>
      <c r="D2915" s="340">
        <v>775</v>
      </c>
      <c r="E2915" s="343"/>
    </row>
    <row r="2916" spans="1:5" s="335" customFormat="1" ht="48">
      <c r="A2916" s="342" t="s">
        <v>2158</v>
      </c>
      <c r="B2916" s="342" t="s">
        <v>2158</v>
      </c>
      <c r="C2916" s="342" t="str">
        <f>("ESDB976AXT350D")</f>
        <v>ESDB976AXT350D</v>
      </c>
      <c r="D2916" s="340">
        <v>585</v>
      </c>
      <c r="E2916" s="343"/>
    </row>
    <row r="2917" spans="1:5" s="335" customFormat="1" ht="48">
      <c r="A2917" s="342" t="s">
        <v>2159</v>
      </c>
      <c r="B2917" s="342" t="s">
        <v>2159</v>
      </c>
      <c r="C2917" s="342" t="str">
        <f>("ESDB976AXT450D")</f>
        <v>ESDB976AXT450D</v>
      </c>
      <c r="D2917" s="340">
        <v>680</v>
      </c>
      <c r="E2917" s="343"/>
    </row>
    <row r="2918" spans="1:5" s="335" customFormat="1" ht="48">
      <c r="A2918" s="342" t="s">
        <v>2160</v>
      </c>
      <c r="B2918" s="342" t="s">
        <v>2160</v>
      </c>
      <c r="C2918" s="342" t="str">
        <f>("ESDB976AXT550D")</f>
        <v>ESDB976AXT550D</v>
      </c>
      <c r="D2918" s="340">
        <v>775</v>
      </c>
      <c r="E2918" s="343"/>
    </row>
    <row r="2919" spans="1:5" s="335" customFormat="1" ht="36">
      <c r="A2919" s="342" t="s">
        <v>2161</v>
      </c>
      <c r="B2919" s="342" t="s">
        <v>2161</v>
      </c>
      <c r="C2919" s="342" t="str">
        <f>("ESDC176AXT350D")</f>
        <v>ESDC176AXT350D</v>
      </c>
      <c r="D2919" s="340">
        <v>585</v>
      </c>
      <c r="E2919" s="343"/>
    </row>
    <row r="2920" spans="1:5" s="335" customFormat="1" ht="36">
      <c r="A2920" s="342" t="s">
        <v>2162</v>
      </c>
      <c r="B2920" s="342" t="s">
        <v>2162</v>
      </c>
      <c r="C2920" s="342" t="str">
        <f>("ESDC176AXT450D")</f>
        <v>ESDC176AXT450D</v>
      </c>
      <c r="D2920" s="340">
        <v>680</v>
      </c>
      <c r="E2920" s="343"/>
    </row>
    <row r="2921" spans="1:5" s="335" customFormat="1" ht="36">
      <c r="A2921" s="342" t="s">
        <v>2163</v>
      </c>
      <c r="B2921" s="342" t="s">
        <v>2163</v>
      </c>
      <c r="C2921" s="342" t="str">
        <f>("ESDC176AXT550D")</f>
        <v>ESDC176AXT550D</v>
      </c>
      <c r="D2921" s="340">
        <v>775</v>
      </c>
      <c r="E2921" s="343"/>
    </row>
    <row r="2922" spans="1:5" s="335" customFormat="1" ht="36">
      <c r="A2922" s="342" t="s">
        <v>2164</v>
      </c>
      <c r="B2922" s="342" t="s">
        <v>2164</v>
      </c>
      <c r="C2922" s="342" t="str">
        <f>("ESDC276AXT350D")</f>
        <v>ESDC276AXT350D</v>
      </c>
      <c r="D2922" s="340">
        <v>585</v>
      </c>
      <c r="E2922" s="343"/>
    </row>
    <row r="2923" spans="1:5" s="335" customFormat="1" ht="36">
      <c r="A2923" s="342" t="s">
        <v>2165</v>
      </c>
      <c r="B2923" s="342" t="s">
        <v>2165</v>
      </c>
      <c r="C2923" s="342" t="str">
        <f>("ESDC276AXT450D")</f>
        <v>ESDC276AXT450D</v>
      </c>
      <c r="D2923" s="340">
        <v>680</v>
      </c>
      <c r="E2923" s="343"/>
    </row>
    <row r="2924" spans="1:5" s="335" customFormat="1" ht="36">
      <c r="A2924" s="342" t="s">
        <v>2166</v>
      </c>
      <c r="B2924" s="342" t="s">
        <v>2166</v>
      </c>
      <c r="C2924" s="342" t="str">
        <f>("ESDC276AXT550D")</f>
        <v>ESDC276AXT550D</v>
      </c>
      <c r="D2924" s="340">
        <v>775</v>
      </c>
      <c r="E2924" s="343"/>
    </row>
    <row r="2925" spans="1:5" s="335" customFormat="1" ht="36">
      <c r="A2925" s="342" t="s">
        <v>2167</v>
      </c>
      <c r="B2925" s="342" t="s">
        <v>2167</v>
      </c>
      <c r="C2925" s="342" t="str">
        <f>("ESDC376AXT350D")</f>
        <v>ESDC376AXT350D</v>
      </c>
      <c r="D2925" s="340">
        <v>585</v>
      </c>
      <c r="E2925" s="343"/>
    </row>
    <row r="2926" spans="1:5" s="335" customFormat="1" ht="36">
      <c r="A2926" s="342" t="s">
        <v>2168</v>
      </c>
      <c r="B2926" s="342" t="s">
        <v>2168</v>
      </c>
      <c r="C2926" s="342" t="str">
        <f>("ESDC376AXT450D")</f>
        <v>ESDC376AXT450D</v>
      </c>
      <c r="D2926" s="340">
        <v>680</v>
      </c>
      <c r="E2926" s="343"/>
    </row>
    <row r="2927" spans="1:5" s="335" customFormat="1" ht="36">
      <c r="A2927" s="342" t="s">
        <v>2169</v>
      </c>
      <c r="B2927" s="342" t="s">
        <v>2169</v>
      </c>
      <c r="C2927" s="342" t="str">
        <f>("ESDC376AXT550D")</f>
        <v>ESDC376AXT550D</v>
      </c>
      <c r="D2927" s="340">
        <v>775</v>
      </c>
      <c r="E2927" s="343"/>
    </row>
    <row r="2928" spans="1:5" s="335" customFormat="1" ht="36">
      <c r="A2928" s="342" t="s">
        <v>2170</v>
      </c>
      <c r="B2928" s="342" t="s">
        <v>2170</v>
      </c>
      <c r="C2928" s="342" t="str">
        <f>("ESDC476AXT350D")</f>
        <v>ESDC476AXT350D</v>
      </c>
      <c r="D2928" s="340">
        <v>585</v>
      </c>
      <c r="E2928" s="343"/>
    </row>
    <row r="2929" spans="1:5" s="335" customFormat="1" ht="36">
      <c r="A2929" s="342" t="s">
        <v>2171</v>
      </c>
      <c r="B2929" s="342" t="s">
        <v>2171</v>
      </c>
      <c r="C2929" s="342" t="str">
        <f>("ESDC476AXT450D")</f>
        <v>ESDC476AXT450D</v>
      </c>
      <c r="D2929" s="340">
        <v>680</v>
      </c>
      <c r="E2929" s="343"/>
    </row>
    <row r="2930" spans="1:5" s="335" customFormat="1" ht="36">
      <c r="A2930" s="342" t="s">
        <v>2172</v>
      </c>
      <c r="B2930" s="342" t="s">
        <v>2172</v>
      </c>
      <c r="C2930" s="342" t="str">
        <f>("ESDC476AXT550D")</f>
        <v>ESDC476AXT550D</v>
      </c>
      <c r="D2930" s="340">
        <v>775</v>
      </c>
      <c r="E2930" s="343"/>
    </row>
    <row r="2931" spans="1:5" s="335" customFormat="1" ht="36">
      <c r="A2931" s="342" t="s">
        <v>2173</v>
      </c>
      <c r="B2931" s="342" t="s">
        <v>2173</v>
      </c>
      <c r="C2931" s="342" t="str">
        <f>("ESDC676AXT350D")</f>
        <v>ESDC676AXT350D</v>
      </c>
      <c r="D2931" s="340">
        <v>588</v>
      </c>
      <c r="E2931" s="343"/>
    </row>
    <row r="2932" spans="1:5" s="335" customFormat="1" ht="36">
      <c r="A2932" s="342" t="s">
        <v>2174</v>
      </c>
      <c r="B2932" s="342" t="s">
        <v>2174</v>
      </c>
      <c r="C2932" s="342" t="str">
        <f>("ESDC676AXT450D")</f>
        <v>ESDC676AXT450D</v>
      </c>
      <c r="D2932" s="340">
        <v>702</v>
      </c>
      <c r="E2932" s="343"/>
    </row>
    <row r="2933" spans="1:5" s="335" customFormat="1" ht="36">
      <c r="A2933" s="342" t="s">
        <v>2175</v>
      </c>
      <c r="B2933" s="342" t="s">
        <v>2175</v>
      </c>
      <c r="C2933" s="342" t="str">
        <f>("ESDC676AXT550D")</f>
        <v>ESDC676AXT550D</v>
      </c>
      <c r="D2933" s="340">
        <v>816</v>
      </c>
      <c r="E2933" s="343"/>
    </row>
    <row r="2934" spans="1:5" s="335" customFormat="1" ht="36">
      <c r="A2934" s="342" t="s">
        <v>2176</v>
      </c>
      <c r="B2934" s="342" t="s">
        <v>2176</v>
      </c>
      <c r="C2934" s="342" t="str">
        <f>("ESDZ776AXT350D")</f>
        <v>ESDZ776AXT350D</v>
      </c>
      <c r="D2934" s="340">
        <v>585</v>
      </c>
      <c r="E2934" s="343"/>
    </row>
    <row r="2935" spans="1:5" s="335" customFormat="1" ht="36">
      <c r="A2935" s="342" t="s">
        <v>2177</v>
      </c>
      <c r="B2935" s="342" t="s">
        <v>2177</v>
      </c>
      <c r="C2935" s="342" t="str">
        <f>("ESDZ776AXT450D")</f>
        <v>ESDZ776AXT450D</v>
      </c>
      <c r="D2935" s="340">
        <v>680</v>
      </c>
      <c r="E2935" s="343"/>
    </row>
    <row r="2936" spans="1:5" s="335" customFormat="1" ht="36">
      <c r="A2936" s="342" t="s">
        <v>2178</v>
      </c>
      <c r="B2936" s="342" t="s">
        <v>2178</v>
      </c>
      <c r="C2936" s="342" t="str">
        <f>("ESDZ776AXT550D")</f>
        <v>ESDZ776AXT550D</v>
      </c>
      <c r="D2936" s="340">
        <v>775</v>
      </c>
      <c r="E2936" s="343"/>
    </row>
    <row r="2937" spans="1:5" s="335" customFormat="1" ht="12.75">
      <c r="A2937" s="344"/>
      <c r="B2937" s="343"/>
      <c r="C2937" s="343"/>
      <c r="D2937" s="395"/>
      <c r="E2937" s="343"/>
    </row>
    <row r="2938" spans="1:5" s="335" customFormat="1" ht="15" customHeight="1">
      <c r="A2938" s="345"/>
      <c r="B2938" s="404" t="s">
        <v>2179</v>
      </c>
      <c r="C2938" s="404"/>
      <c r="D2938" s="404"/>
      <c r="E2938" s="404"/>
    </row>
    <row r="2939" spans="1:5" s="335" customFormat="1" ht="25.5">
      <c r="A2939" s="346" t="s">
        <v>789</v>
      </c>
      <c r="B2939" s="346" t="s">
        <v>409</v>
      </c>
      <c r="C2939" s="346" t="s">
        <v>26</v>
      </c>
      <c r="D2939" s="337" t="s">
        <v>6425</v>
      </c>
      <c r="E2939" s="343"/>
    </row>
    <row r="2940" spans="1:5" s="335" customFormat="1" ht="14.25">
      <c r="A2940" s="342" t="s">
        <v>2180</v>
      </c>
      <c r="B2940" s="342" t="s">
        <v>2181</v>
      </c>
      <c r="C2940" s="342" t="s">
        <v>6177</v>
      </c>
      <c r="D2940" s="340">
        <v>0</v>
      </c>
      <c r="E2940" s="343"/>
    </row>
    <row r="2941" spans="1:5" s="335" customFormat="1" ht="12.75">
      <c r="A2941" s="402" t="s">
        <v>1587</v>
      </c>
      <c r="B2941" s="402"/>
      <c r="C2941" s="402"/>
      <c r="D2941" s="402"/>
      <c r="E2941" s="343"/>
    </row>
    <row r="2942" spans="1:5" s="335" customFormat="1" ht="48">
      <c r="A2942" s="342" t="s">
        <v>2182</v>
      </c>
      <c r="B2942" s="342" t="s">
        <v>2183</v>
      </c>
      <c r="C2942" s="342" t="str">
        <f>("7640014223")</f>
        <v>7640014223</v>
      </c>
      <c r="D2942" s="340">
        <v>1377</v>
      </c>
      <c r="E2942" s="343"/>
    </row>
    <row r="2943" spans="1:5" s="335" customFormat="1" ht="60">
      <c r="A2943" s="342" t="s">
        <v>2184</v>
      </c>
      <c r="B2943" s="342" t="s">
        <v>2183</v>
      </c>
      <c r="C2943" s="342" t="str">
        <f>("7640014224")</f>
        <v>7640014224</v>
      </c>
      <c r="D2943" s="340">
        <v>1736</v>
      </c>
      <c r="E2943" s="343"/>
    </row>
    <row r="2944" spans="1:5" s="335" customFormat="1" ht="60">
      <c r="A2944" s="342" t="s">
        <v>2185</v>
      </c>
      <c r="B2944" s="342" t="s">
        <v>2183</v>
      </c>
      <c r="C2944" s="342" t="str">
        <f>("7640014225")</f>
        <v>7640014225</v>
      </c>
      <c r="D2944" s="340">
        <v>2095</v>
      </c>
      <c r="E2944" s="343"/>
    </row>
    <row r="2945" spans="1:5" s="335" customFormat="1" ht="48">
      <c r="A2945" s="342" t="s">
        <v>2186</v>
      </c>
      <c r="B2945" s="342" t="s">
        <v>2187</v>
      </c>
      <c r="C2945" s="342" t="str">
        <f>("7640014226")</f>
        <v>7640014226</v>
      </c>
      <c r="D2945" s="340">
        <v>837</v>
      </c>
      <c r="E2945" s="343"/>
    </row>
    <row r="2946" spans="1:5" s="335" customFormat="1" ht="60">
      <c r="A2946" s="342" t="s">
        <v>2188</v>
      </c>
      <c r="B2946" s="342" t="s">
        <v>2187</v>
      </c>
      <c r="C2946" s="342" t="str">
        <f>("7640014227")</f>
        <v>7640014227</v>
      </c>
      <c r="D2946" s="340">
        <v>1016</v>
      </c>
      <c r="E2946" s="343"/>
    </row>
    <row r="2947" spans="1:5" s="335" customFormat="1" ht="60">
      <c r="A2947" s="342" t="s">
        <v>2189</v>
      </c>
      <c r="B2947" s="342" t="s">
        <v>2187</v>
      </c>
      <c r="C2947" s="342" t="str">
        <f>("7640014228")</f>
        <v>7640014228</v>
      </c>
      <c r="D2947" s="340">
        <v>1195</v>
      </c>
      <c r="E2947" s="343"/>
    </row>
    <row r="2948" spans="1:5" s="335" customFormat="1" ht="13.5" customHeight="1">
      <c r="A2948" s="344"/>
      <c r="B2948" s="343"/>
      <c r="C2948" s="343"/>
      <c r="D2948" s="395"/>
      <c r="E2948" s="343"/>
    </row>
    <row r="2949" spans="1:5" s="335" customFormat="1" ht="15" customHeight="1">
      <c r="A2949" s="345"/>
      <c r="B2949" s="404" t="s">
        <v>2190</v>
      </c>
      <c r="C2949" s="404"/>
      <c r="D2949" s="404"/>
      <c r="E2949" s="404"/>
    </row>
    <row r="2950" spans="1:5" s="335" customFormat="1" ht="25.5">
      <c r="A2950" s="346" t="s">
        <v>789</v>
      </c>
      <c r="B2950" s="346" t="s">
        <v>409</v>
      </c>
      <c r="C2950" s="346" t="s">
        <v>26</v>
      </c>
      <c r="D2950" s="337" t="s">
        <v>6425</v>
      </c>
      <c r="E2950" s="343"/>
    </row>
    <row r="2951" spans="1:5" s="335" customFormat="1" ht="14.25">
      <c r="A2951" s="342" t="s">
        <v>2191</v>
      </c>
      <c r="B2951" s="342" t="s">
        <v>2192</v>
      </c>
      <c r="C2951" s="342" t="s">
        <v>6178</v>
      </c>
      <c r="D2951" s="340">
        <v>0</v>
      </c>
      <c r="E2951" s="343"/>
    </row>
    <row r="2952" spans="1:5" s="335" customFormat="1" ht="12.75">
      <c r="A2952" s="402" t="s">
        <v>1587</v>
      </c>
      <c r="B2952" s="402"/>
      <c r="C2952" s="402"/>
      <c r="D2952" s="402"/>
      <c r="E2952" s="343"/>
    </row>
    <row r="2953" spans="1:5" s="335" customFormat="1" ht="36">
      <c r="A2953" s="342" t="s">
        <v>2193</v>
      </c>
      <c r="B2953" s="342" t="s">
        <v>2193</v>
      </c>
      <c r="C2953" s="342" t="s">
        <v>6179</v>
      </c>
      <c r="D2953" s="340">
        <v>197</v>
      </c>
      <c r="E2953" s="343"/>
    </row>
    <row r="2954" spans="1:5" s="335" customFormat="1" ht="36">
      <c r="A2954" s="342" t="s">
        <v>2194</v>
      </c>
      <c r="B2954" s="342" t="s">
        <v>2194</v>
      </c>
      <c r="C2954" s="342" t="s">
        <v>6180</v>
      </c>
      <c r="D2954" s="340">
        <v>257</v>
      </c>
      <c r="E2954" s="343"/>
    </row>
    <row r="2955" spans="1:5" s="335" customFormat="1" ht="36">
      <c r="A2955" s="342" t="s">
        <v>2195</v>
      </c>
      <c r="B2955" s="342" t="s">
        <v>2195</v>
      </c>
      <c r="C2955" s="342" t="s">
        <v>6181</v>
      </c>
      <c r="D2955" s="340">
        <v>287</v>
      </c>
      <c r="E2955" s="343"/>
    </row>
    <row r="2956" spans="1:5" s="335" customFormat="1" ht="36">
      <c r="A2956" s="342" t="s">
        <v>2196</v>
      </c>
      <c r="B2956" s="342" t="s">
        <v>2196</v>
      </c>
      <c r="C2956" s="342" t="s">
        <v>6182</v>
      </c>
      <c r="D2956" s="340">
        <v>317</v>
      </c>
      <c r="E2956" s="343"/>
    </row>
    <row r="2957" spans="1:5" s="335" customFormat="1" ht="12.75">
      <c r="A2957" s="403" t="s">
        <v>2054</v>
      </c>
      <c r="B2957" s="403"/>
      <c r="C2957" s="403"/>
      <c r="D2957" s="403"/>
      <c r="E2957" s="343"/>
    </row>
    <row r="2958" spans="1:5" s="335" customFormat="1" ht="36">
      <c r="A2958" s="342" t="s">
        <v>2197</v>
      </c>
      <c r="B2958" s="342" t="s">
        <v>2197</v>
      </c>
      <c r="C2958" s="342" t="s">
        <v>6183</v>
      </c>
      <c r="D2958" s="340">
        <v>30</v>
      </c>
      <c r="E2958" s="343"/>
    </row>
    <row r="2959" spans="1:5" s="335" customFormat="1" ht="48">
      <c r="A2959" s="342" t="s">
        <v>2198</v>
      </c>
      <c r="B2959" s="342" t="s">
        <v>2198</v>
      </c>
      <c r="C2959" s="342" t="s">
        <v>6184</v>
      </c>
      <c r="D2959" s="340">
        <v>22</v>
      </c>
      <c r="E2959" s="343"/>
    </row>
    <row r="2960" spans="1:5" s="335" customFormat="1" ht="48">
      <c r="A2960" s="342" t="s">
        <v>2199</v>
      </c>
      <c r="B2960" s="342" t="s">
        <v>2199</v>
      </c>
      <c r="C2960" s="342" t="s">
        <v>6185</v>
      </c>
      <c r="D2960" s="340">
        <v>20</v>
      </c>
      <c r="E2960" s="343"/>
    </row>
    <row r="2961" spans="1:5" s="335" customFormat="1" ht="48">
      <c r="A2961" s="342" t="s">
        <v>2200</v>
      </c>
      <c r="B2961" s="342" t="s">
        <v>2200</v>
      </c>
      <c r="C2961" s="342" t="s">
        <v>6186</v>
      </c>
      <c r="D2961" s="340">
        <v>19</v>
      </c>
      <c r="E2961" s="343"/>
    </row>
    <row r="2962" spans="1:5" s="335" customFormat="1" ht="48">
      <c r="A2962" s="342" t="s">
        <v>2201</v>
      </c>
      <c r="B2962" s="342" t="s">
        <v>2201</v>
      </c>
      <c r="C2962" s="342" t="s">
        <v>6187</v>
      </c>
      <c r="D2962" s="340">
        <v>16</v>
      </c>
      <c r="E2962" s="343"/>
    </row>
    <row r="2963" spans="1:5" s="335" customFormat="1" ht="48">
      <c r="A2963" s="342" t="s">
        <v>2202</v>
      </c>
      <c r="B2963" s="342" t="s">
        <v>2202</v>
      </c>
      <c r="C2963" s="342" t="s">
        <v>6188</v>
      </c>
      <c r="D2963" s="340">
        <v>14</v>
      </c>
      <c r="E2963" s="343"/>
    </row>
    <row r="2964" spans="1:5" s="335" customFormat="1" ht="12.75">
      <c r="A2964" s="403" t="s">
        <v>2203</v>
      </c>
      <c r="B2964" s="403"/>
      <c r="C2964" s="403"/>
      <c r="D2964" s="403"/>
      <c r="E2964" s="343"/>
    </row>
    <row r="2965" spans="1:5" s="335" customFormat="1" ht="36">
      <c r="A2965" s="342" t="s">
        <v>2204</v>
      </c>
      <c r="B2965" s="342" t="s">
        <v>2204</v>
      </c>
      <c r="C2965" s="342" t="s">
        <v>6189</v>
      </c>
      <c r="D2965" s="340">
        <v>186</v>
      </c>
      <c r="E2965" s="343"/>
    </row>
    <row r="2966" spans="1:5" s="335" customFormat="1" ht="36">
      <c r="A2966" s="342" t="s">
        <v>2205</v>
      </c>
      <c r="B2966" s="342" t="s">
        <v>2205</v>
      </c>
      <c r="C2966" s="342" t="s">
        <v>6190</v>
      </c>
      <c r="D2966" s="340">
        <v>172</v>
      </c>
      <c r="E2966" s="343"/>
    </row>
    <row r="2967" spans="1:5" s="335" customFormat="1" ht="36">
      <c r="A2967" s="342" t="s">
        <v>2206</v>
      </c>
      <c r="B2967" s="342" t="s">
        <v>2206</v>
      </c>
      <c r="C2967" s="342" t="s">
        <v>6191</v>
      </c>
      <c r="D2967" s="340">
        <v>163</v>
      </c>
      <c r="E2967" s="343"/>
    </row>
    <row r="2968" spans="1:5" s="335" customFormat="1" ht="36">
      <c r="A2968" s="342" t="s">
        <v>2207</v>
      </c>
      <c r="B2968" s="342" t="s">
        <v>2207</v>
      </c>
      <c r="C2968" s="342" t="s">
        <v>6192</v>
      </c>
      <c r="D2968" s="340">
        <v>139</v>
      </c>
      <c r="E2968" s="343"/>
    </row>
    <row r="2969" spans="1:5" s="335" customFormat="1" ht="36">
      <c r="A2969" s="342" t="s">
        <v>2208</v>
      </c>
      <c r="B2969" s="342" t="s">
        <v>2208</v>
      </c>
      <c r="C2969" s="342" t="s">
        <v>6193</v>
      </c>
      <c r="D2969" s="340">
        <v>118</v>
      </c>
      <c r="E2969" s="343"/>
    </row>
    <row r="2970" spans="1:5" s="335" customFormat="1" ht="36">
      <c r="A2970" s="342" t="s">
        <v>2209</v>
      </c>
      <c r="B2970" s="342" t="s">
        <v>2209</v>
      </c>
      <c r="C2970" s="342" t="s">
        <v>6194</v>
      </c>
      <c r="D2970" s="340">
        <v>208</v>
      </c>
      <c r="E2970" s="343"/>
    </row>
    <row r="2971" spans="1:5" s="335" customFormat="1" ht="36">
      <c r="A2971" s="342" t="s">
        <v>2210</v>
      </c>
      <c r="B2971" s="342" t="s">
        <v>2210</v>
      </c>
      <c r="C2971" s="342" t="s">
        <v>6195</v>
      </c>
      <c r="D2971" s="340">
        <v>192</v>
      </c>
      <c r="E2971" s="343"/>
    </row>
    <row r="2972" spans="1:5" s="335" customFormat="1" ht="36">
      <c r="A2972" s="342" t="s">
        <v>2211</v>
      </c>
      <c r="B2972" s="342" t="s">
        <v>2211</v>
      </c>
      <c r="C2972" s="342" t="s">
        <v>6196</v>
      </c>
      <c r="D2972" s="340">
        <v>182</v>
      </c>
      <c r="E2972" s="343"/>
    </row>
    <row r="2973" spans="1:5" s="335" customFormat="1" ht="36">
      <c r="A2973" s="342" t="s">
        <v>2212</v>
      </c>
      <c r="B2973" s="342" t="s">
        <v>2212</v>
      </c>
      <c r="C2973" s="342" t="s">
        <v>6197</v>
      </c>
      <c r="D2973" s="340">
        <v>155</v>
      </c>
      <c r="E2973" s="343"/>
    </row>
    <row r="2974" spans="1:5" s="335" customFormat="1" ht="36">
      <c r="A2974" s="342" t="s">
        <v>2213</v>
      </c>
      <c r="B2974" s="342" t="s">
        <v>2213</v>
      </c>
      <c r="C2974" s="342" t="s">
        <v>6198</v>
      </c>
      <c r="D2974" s="340">
        <v>132</v>
      </c>
      <c r="E2974" s="343"/>
    </row>
    <row r="2975" spans="1:5" s="335" customFormat="1" ht="36">
      <c r="A2975" s="342" t="s">
        <v>2214</v>
      </c>
      <c r="B2975" s="342" t="s">
        <v>2214</v>
      </c>
      <c r="C2975" s="342" t="s">
        <v>6199</v>
      </c>
      <c r="D2975" s="340">
        <v>230</v>
      </c>
      <c r="E2975" s="343"/>
    </row>
    <row r="2976" spans="1:5" s="335" customFormat="1" ht="36">
      <c r="A2976" s="342" t="s">
        <v>2215</v>
      </c>
      <c r="B2976" s="342" t="s">
        <v>2215</v>
      </c>
      <c r="C2976" s="342" t="s">
        <v>6200</v>
      </c>
      <c r="D2976" s="340">
        <v>212</v>
      </c>
      <c r="E2976" s="343"/>
    </row>
    <row r="2977" spans="1:5" s="335" customFormat="1" ht="36">
      <c r="A2977" s="342" t="s">
        <v>2216</v>
      </c>
      <c r="B2977" s="342" t="s">
        <v>2216</v>
      </c>
      <c r="C2977" s="342" t="s">
        <v>6201</v>
      </c>
      <c r="D2977" s="340">
        <v>201</v>
      </c>
      <c r="E2977" s="343"/>
    </row>
    <row r="2978" spans="1:5" s="335" customFormat="1" ht="36">
      <c r="A2978" s="342" t="s">
        <v>2217</v>
      </c>
      <c r="B2978" s="342" t="s">
        <v>2217</v>
      </c>
      <c r="C2978" s="342" t="s">
        <v>6202</v>
      </c>
      <c r="D2978" s="340">
        <v>171</v>
      </c>
      <c r="E2978" s="343"/>
    </row>
    <row r="2979" spans="1:5" s="335" customFormat="1" ht="36">
      <c r="A2979" s="342" t="s">
        <v>2218</v>
      </c>
      <c r="B2979" s="342" t="s">
        <v>2218</v>
      </c>
      <c r="C2979" s="342" t="s">
        <v>6203</v>
      </c>
      <c r="D2979" s="340">
        <v>146</v>
      </c>
      <c r="E2979" s="343"/>
    </row>
    <row r="2980" spans="1:5" s="335" customFormat="1" ht="12.75">
      <c r="A2980" s="344"/>
      <c r="B2980" s="343"/>
      <c r="C2980" s="343"/>
      <c r="D2980" s="395"/>
      <c r="E2980" s="343"/>
    </row>
    <row r="2981" spans="1:5" s="335" customFormat="1" ht="15" customHeight="1">
      <c r="A2981" s="345"/>
      <c r="B2981" s="404" t="s">
        <v>2219</v>
      </c>
      <c r="C2981" s="404"/>
      <c r="D2981" s="404"/>
      <c r="E2981" s="404"/>
    </row>
    <row r="2982" spans="1:5" s="335" customFormat="1" ht="25.5">
      <c r="A2982" s="346" t="s">
        <v>789</v>
      </c>
      <c r="B2982" s="346" t="s">
        <v>409</v>
      </c>
      <c r="C2982" s="346" t="s">
        <v>26</v>
      </c>
      <c r="D2982" s="337" t="s">
        <v>6425</v>
      </c>
      <c r="E2982" s="343"/>
    </row>
    <row r="2983" spans="1:5" s="335" customFormat="1" ht="14.25">
      <c r="A2983" s="342" t="s">
        <v>2220</v>
      </c>
      <c r="B2983" s="342" t="s">
        <v>1991</v>
      </c>
      <c r="C2983" s="342" t="s">
        <v>6204</v>
      </c>
      <c r="D2983" s="340">
        <v>0</v>
      </c>
      <c r="E2983" s="343"/>
    </row>
    <row r="2984" spans="1:5" s="335" customFormat="1" ht="12.75">
      <c r="A2984" s="402" t="s">
        <v>1587</v>
      </c>
      <c r="B2984" s="402"/>
      <c r="C2984" s="402"/>
      <c r="D2984" s="402"/>
      <c r="E2984" s="343"/>
    </row>
    <row r="2985" spans="1:5" s="335" customFormat="1" ht="36">
      <c r="A2985" s="342" t="s">
        <v>2221</v>
      </c>
      <c r="B2985" s="342" t="s">
        <v>2222</v>
      </c>
      <c r="C2985" s="342" t="s">
        <v>6205</v>
      </c>
      <c r="D2985" s="340">
        <v>5704</v>
      </c>
      <c r="E2985" s="343"/>
    </row>
    <row r="2986" spans="1:5" s="335" customFormat="1" ht="36">
      <c r="A2986" s="342" t="s">
        <v>2223</v>
      </c>
      <c r="B2986" s="342" t="s">
        <v>2224</v>
      </c>
      <c r="C2986" s="342" t="s">
        <v>6206</v>
      </c>
      <c r="D2986" s="340">
        <v>6187</v>
      </c>
      <c r="E2986" s="343"/>
    </row>
    <row r="2987" spans="1:5" s="335" customFormat="1" ht="36">
      <c r="A2987" s="342" t="s">
        <v>2225</v>
      </c>
      <c r="B2987" s="342" t="s">
        <v>2226</v>
      </c>
      <c r="C2987" s="342" t="s">
        <v>6207</v>
      </c>
      <c r="D2987" s="340">
        <v>6649</v>
      </c>
      <c r="E2987" s="343"/>
    </row>
    <row r="2988" spans="1:5" s="335" customFormat="1" ht="60">
      <c r="A2988" s="342" t="s">
        <v>2227</v>
      </c>
      <c r="B2988" s="342" t="s">
        <v>2228</v>
      </c>
      <c r="C2988" s="342" t="s">
        <v>6208</v>
      </c>
      <c r="D2988" s="340">
        <v>5704</v>
      </c>
      <c r="E2988" s="343"/>
    </row>
    <row r="2989" spans="1:5" s="335" customFormat="1" ht="60">
      <c r="A2989" s="342" t="s">
        <v>2229</v>
      </c>
      <c r="B2989" s="342" t="s">
        <v>2230</v>
      </c>
      <c r="C2989" s="342" t="s">
        <v>6209</v>
      </c>
      <c r="D2989" s="340">
        <v>6187</v>
      </c>
      <c r="E2989" s="343"/>
    </row>
    <row r="2990" spans="1:5" s="335" customFormat="1" ht="60">
      <c r="A2990" s="342" t="s">
        <v>2231</v>
      </c>
      <c r="B2990" s="342" t="s">
        <v>2232</v>
      </c>
      <c r="C2990" s="342" t="s">
        <v>6210</v>
      </c>
      <c r="D2990" s="340">
        <v>6649</v>
      </c>
      <c r="E2990" s="343"/>
    </row>
    <row r="2991" spans="1:5" s="335" customFormat="1" ht="12.75">
      <c r="A2991" s="403" t="s">
        <v>2001</v>
      </c>
      <c r="B2991" s="403"/>
      <c r="C2991" s="403"/>
      <c r="D2991" s="403"/>
      <c r="E2991" s="343"/>
    </row>
    <row r="2992" spans="1:5" s="335" customFormat="1" ht="24">
      <c r="A2992" s="342" t="s">
        <v>2002</v>
      </c>
      <c r="B2992" s="342" t="s">
        <v>2002</v>
      </c>
      <c r="C2992" s="342" t="str">
        <f>("7640014250")</f>
        <v>7640014250</v>
      </c>
      <c r="D2992" s="340">
        <v>1081</v>
      </c>
      <c r="E2992" s="343"/>
    </row>
    <row r="2993" spans="1:5" s="335" customFormat="1" ht="24">
      <c r="A2993" s="342" t="s">
        <v>2003</v>
      </c>
      <c r="B2993" s="342" t="s">
        <v>2003</v>
      </c>
      <c r="C2993" s="342" t="str">
        <f>("7640014251")</f>
        <v>7640014251</v>
      </c>
      <c r="D2993" s="340">
        <v>1173</v>
      </c>
      <c r="E2993" s="343"/>
    </row>
    <row r="2994" spans="1:5" s="335" customFormat="1" ht="24">
      <c r="A2994" s="342" t="s">
        <v>2004</v>
      </c>
      <c r="B2994" s="342" t="s">
        <v>2004</v>
      </c>
      <c r="C2994" s="342" t="str">
        <f>("7640014252")</f>
        <v>7640014252</v>
      </c>
      <c r="D2994" s="340">
        <v>1260</v>
      </c>
      <c r="E2994" s="343"/>
    </row>
    <row r="2995" spans="1:5" s="335" customFormat="1" ht="24">
      <c r="A2995" s="342" t="s">
        <v>2005</v>
      </c>
      <c r="B2995" s="342" t="s">
        <v>2005</v>
      </c>
      <c r="C2995" s="342" t="str">
        <f>("7640014253")</f>
        <v>7640014253</v>
      </c>
      <c r="D2995" s="340">
        <v>1081</v>
      </c>
      <c r="E2995" s="343"/>
    </row>
    <row r="2996" spans="1:5" s="335" customFormat="1" ht="24">
      <c r="A2996" s="342" t="s">
        <v>2006</v>
      </c>
      <c r="B2996" s="342" t="s">
        <v>2006</v>
      </c>
      <c r="C2996" s="342" t="str">
        <f>("7640014254")</f>
        <v>7640014254</v>
      </c>
      <c r="D2996" s="340">
        <v>1173</v>
      </c>
      <c r="E2996" s="343"/>
    </row>
    <row r="2997" spans="1:5" s="335" customFormat="1" ht="24">
      <c r="A2997" s="342" t="s">
        <v>2007</v>
      </c>
      <c r="B2997" s="342" t="s">
        <v>2007</v>
      </c>
      <c r="C2997" s="342" t="str">
        <f>("7640014255")</f>
        <v>7640014255</v>
      </c>
      <c r="D2997" s="340">
        <v>1260</v>
      </c>
      <c r="E2997" s="343"/>
    </row>
    <row r="2998" spans="1:5" s="335" customFormat="1" ht="24">
      <c r="A2998" s="342" t="s">
        <v>2008</v>
      </c>
      <c r="B2998" s="342" t="s">
        <v>2008</v>
      </c>
      <c r="C2998" s="342" t="str">
        <f>("7640014256")</f>
        <v>7640014256</v>
      </c>
      <c r="D2998" s="340">
        <v>1081</v>
      </c>
      <c r="E2998" s="343"/>
    </row>
    <row r="2999" spans="1:5" s="335" customFormat="1" ht="24">
      <c r="A2999" s="342" t="s">
        <v>2009</v>
      </c>
      <c r="B2999" s="342" t="s">
        <v>2009</v>
      </c>
      <c r="C2999" s="342" t="str">
        <f>("7640014257")</f>
        <v>7640014257</v>
      </c>
      <c r="D2999" s="340">
        <v>1173</v>
      </c>
      <c r="E2999" s="343"/>
    </row>
    <row r="3000" spans="1:5" s="335" customFormat="1" ht="24">
      <c r="A3000" s="342" t="s">
        <v>2010</v>
      </c>
      <c r="B3000" s="342" t="s">
        <v>2010</v>
      </c>
      <c r="C3000" s="342" t="str">
        <f>("7640014258")</f>
        <v>7640014258</v>
      </c>
      <c r="D3000" s="340">
        <v>1260</v>
      </c>
      <c r="E3000" s="343"/>
    </row>
    <row r="3001" spans="1:5" s="335" customFormat="1" ht="24">
      <c r="A3001" s="342" t="s">
        <v>2011</v>
      </c>
      <c r="B3001" s="342" t="s">
        <v>2011</v>
      </c>
      <c r="C3001" s="342" t="str">
        <f>("7640014259")</f>
        <v>7640014259</v>
      </c>
      <c r="D3001" s="340">
        <v>1353</v>
      </c>
      <c r="E3001" s="343"/>
    </row>
    <row r="3002" spans="1:5" s="335" customFormat="1" ht="24">
      <c r="A3002" s="342" t="s">
        <v>2012</v>
      </c>
      <c r="B3002" s="342" t="s">
        <v>2012</v>
      </c>
      <c r="C3002" s="342" t="str">
        <f>("7640014260")</f>
        <v>7640014260</v>
      </c>
      <c r="D3002" s="340">
        <v>1467</v>
      </c>
      <c r="E3002" s="343"/>
    </row>
    <row r="3003" spans="1:5" s="335" customFormat="1" ht="24">
      <c r="A3003" s="342" t="s">
        <v>2013</v>
      </c>
      <c r="B3003" s="342" t="s">
        <v>2013</v>
      </c>
      <c r="C3003" s="342" t="str">
        <f>("7640014261")</f>
        <v>7640014261</v>
      </c>
      <c r="D3003" s="340">
        <v>1577</v>
      </c>
      <c r="E3003" s="343"/>
    </row>
    <row r="3004" spans="1:5" s="335" customFormat="1" ht="24">
      <c r="A3004" s="342" t="s">
        <v>2014</v>
      </c>
      <c r="B3004" s="342" t="s">
        <v>2014</v>
      </c>
      <c r="C3004" s="342" t="str">
        <f>("7640014262")</f>
        <v>7640014262</v>
      </c>
      <c r="D3004" s="340">
        <v>1081</v>
      </c>
      <c r="E3004" s="343"/>
    </row>
    <row r="3005" spans="1:5" s="335" customFormat="1" ht="24">
      <c r="A3005" s="342" t="s">
        <v>2015</v>
      </c>
      <c r="B3005" s="342" t="s">
        <v>2015</v>
      </c>
      <c r="C3005" s="342" t="str">
        <f>("7640014264")</f>
        <v>7640014264</v>
      </c>
      <c r="D3005" s="340">
        <v>1260</v>
      </c>
      <c r="E3005" s="343"/>
    </row>
    <row r="3006" spans="1:5" s="335" customFormat="1" ht="36">
      <c r="A3006" s="342" t="s">
        <v>2016</v>
      </c>
      <c r="B3006" s="342" t="s">
        <v>2016</v>
      </c>
      <c r="C3006" s="342" t="str">
        <f>("7640014265")</f>
        <v>7640014265</v>
      </c>
      <c r="D3006" s="340">
        <v>1081</v>
      </c>
      <c r="E3006" s="343"/>
    </row>
    <row r="3007" spans="1:5" s="335" customFormat="1" ht="36">
      <c r="A3007" s="342" t="s">
        <v>2017</v>
      </c>
      <c r="B3007" s="342" t="s">
        <v>2017</v>
      </c>
      <c r="C3007" s="342" t="str">
        <f>("7640014266")</f>
        <v>7640014266</v>
      </c>
      <c r="D3007" s="340">
        <v>1173</v>
      </c>
      <c r="E3007" s="343"/>
    </row>
    <row r="3008" spans="1:5" s="335" customFormat="1" ht="36">
      <c r="A3008" s="342" t="s">
        <v>2018</v>
      </c>
      <c r="B3008" s="342" t="s">
        <v>2018</v>
      </c>
      <c r="C3008" s="342" t="str">
        <f>("7640014267")</f>
        <v>7640014267</v>
      </c>
      <c r="D3008" s="340">
        <v>1260</v>
      </c>
      <c r="E3008" s="343"/>
    </row>
    <row r="3009" spans="1:5" s="335" customFormat="1" ht="36">
      <c r="A3009" s="342" t="s">
        <v>2019</v>
      </c>
      <c r="B3009" s="342" t="s">
        <v>2019</v>
      </c>
      <c r="C3009" s="342" t="str">
        <f>("7640014268")</f>
        <v>7640014268</v>
      </c>
      <c r="D3009" s="340">
        <v>1081</v>
      </c>
      <c r="E3009" s="343"/>
    </row>
    <row r="3010" spans="1:5" s="335" customFormat="1" ht="36">
      <c r="A3010" s="342" t="s">
        <v>2020</v>
      </c>
      <c r="B3010" s="342" t="s">
        <v>2020</v>
      </c>
      <c r="C3010" s="342" t="str">
        <f>("7640014270")</f>
        <v>7640014270</v>
      </c>
      <c r="D3010" s="340">
        <v>1260</v>
      </c>
      <c r="E3010" s="343"/>
    </row>
    <row r="3011" spans="1:5" s="335" customFormat="1" ht="36">
      <c r="A3011" s="342" t="s">
        <v>2021</v>
      </c>
      <c r="B3011" s="342" t="s">
        <v>2021</v>
      </c>
      <c r="C3011" s="342" t="str">
        <f>("7640014271")</f>
        <v>7640014271</v>
      </c>
      <c r="D3011" s="340">
        <v>1081</v>
      </c>
      <c r="E3011" s="343"/>
    </row>
    <row r="3012" spans="1:5" s="335" customFormat="1" ht="36">
      <c r="A3012" s="342" t="s">
        <v>2022</v>
      </c>
      <c r="B3012" s="342" t="s">
        <v>2022</v>
      </c>
      <c r="C3012" s="342" t="str">
        <f>("7640014272")</f>
        <v>7640014272</v>
      </c>
      <c r="D3012" s="340">
        <v>1173</v>
      </c>
      <c r="E3012" s="343"/>
    </row>
    <row r="3013" spans="1:5" s="335" customFormat="1" ht="36">
      <c r="A3013" s="342" t="s">
        <v>2023</v>
      </c>
      <c r="B3013" s="342" t="s">
        <v>2023</v>
      </c>
      <c r="C3013" s="342" t="str">
        <f>("7640014273")</f>
        <v>7640014273</v>
      </c>
      <c r="D3013" s="340">
        <v>1260</v>
      </c>
      <c r="E3013" s="343"/>
    </row>
    <row r="3014" spans="1:5" s="335" customFormat="1" ht="36">
      <c r="A3014" s="342" t="s">
        <v>2024</v>
      </c>
      <c r="B3014" s="342" t="s">
        <v>2024</v>
      </c>
      <c r="C3014" s="342" t="str">
        <f>("7640014274")</f>
        <v>7640014274</v>
      </c>
      <c r="D3014" s="340">
        <v>1081</v>
      </c>
      <c r="E3014" s="343"/>
    </row>
    <row r="3015" spans="1:5" s="335" customFormat="1" ht="36">
      <c r="A3015" s="342" t="s">
        <v>2025</v>
      </c>
      <c r="B3015" s="342" t="s">
        <v>2025</v>
      </c>
      <c r="C3015" s="342" t="str">
        <f>("7640014275")</f>
        <v>7640014275</v>
      </c>
      <c r="D3015" s="340">
        <v>1173</v>
      </c>
      <c r="E3015" s="343"/>
    </row>
    <row r="3016" spans="1:5" s="335" customFormat="1" ht="36">
      <c r="A3016" s="342" t="s">
        <v>2026</v>
      </c>
      <c r="B3016" s="342" t="s">
        <v>2026</v>
      </c>
      <c r="C3016" s="342" t="str">
        <f>("7640014276")</f>
        <v>7640014276</v>
      </c>
      <c r="D3016" s="340">
        <v>1260</v>
      </c>
      <c r="E3016" s="343"/>
    </row>
    <row r="3017" spans="1:5" s="335" customFormat="1" ht="24">
      <c r="A3017" s="342" t="s">
        <v>2027</v>
      </c>
      <c r="B3017" s="342" t="s">
        <v>2027</v>
      </c>
      <c r="C3017" s="342" t="str">
        <f>("7640014277")</f>
        <v>7640014277</v>
      </c>
      <c r="D3017" s="340">
        <v>1081</v>
      </c>
      <c r="E3017" s="343"/>
    </row>
    <row r="3018" spans="1:5" s="335" customFormat="1" ht="24">
      <c r="A3018" s="342" t="s">
        <v>2028</v>
      </c>
      <c r="B3018" s="342" t="s">
        <v>2028</v>
      </c>
      <c r="C3018" s="342" t="str">
        <f>("7640014278")</f>
        <v>7640014278</v>
      </c>
      <c r="D3018" s="340">
        <v>1173</v>
      </c>
      <c r="E3018" s="343"/>
    </row>
    <row r="3019" spans="1:5" s="335" customFormat="1" ht="24">
      <c r="A3019" s="342" t="s">
        <v>2029</v>
      </c>
      <c r="B3019" s="342" t="s">
        <v>2029</v>
      </c>
      <c r="C3019" s="342" t="str">
        <f>("7640014279")</f>
        <v>7640014279</v>
      </c>
      <c r="D3019" s="340">
        <v>1260</v>
      </c>
      <c r="E3019" s="343"/>
    </row>
    <row r="3020" spans="1:5" s="335" customFormat="1" ht="24">
      <c r="A3020" s="342" t="s">
        <v>2030</v>
      </c>
      <c r="B3020" s="342" t="s">
        <v>2030</v>
      </c>
      <c r="C3020" s="342" t="str">
        <f>("7640014280")</f>
        <v>7640014280</v>
      </c>
      <c r="D3020" s="340">
        <v>1081</v>
      </c>
      <c r="E3020" s="343"/>
    </row>
    <row r="3021" spans="1:5" s="335" customFormat="1" ht="24">
      <c r="A3021" s="342" t="s">
        <v>2031</v>
      </c>
      <c r="B3021" s="342" t="s">
        <v>2031</v>
      </c>
      <c r="C3021" s="342" t="str">
        <f>("7640014281")</f>
        <v>7640014281</v>
      </c>
      <c r="D3021" s="340">
        <v>1173</v>
      </c>
      <c r="E3021" s="343"/>
    </row>
    <row r="3022" spans="1:5" s="335" customFormat="1" ht="24">
      <c r="A3022" s="342" t="s">
        <v>2032</v>
      </c>
      <c r="B3022" s="342" t="s">
        <v>2032</v>
      </c>
      <c r="C3022" s="342" t="str">
        <f>("7640014282")</f>
        <v>7640014282</v>
      </c>
      <c r="D3022" s="340">
        <v>1260</v>
      </c>
      <c r="E3022" s="343"/>
    </row>
    <row r="3023" spans="1:5" s="335" customFormat="1" ht="24">
      <c r="A3023" s="342" t="s">
        <v>2033</v>
      </c>
      <c r="B3023" s="342" t="s">
        <v>2033</v>
      </c>
      <c r="C3023" s="342" t="str">
        <f>("7640015900")</f>
        <v>7640015900</v>
      </c>
      <c r="D3023" s="340">
        <v>1926</v>
      </c>
      <c r="E3023" s="343"/>
    </row>
    <row r="3024" spans="1:5" s="335" customFormat="1" ht="24">
      <c r="A3024" s="342" t="s">
        <v>2034</v>
      </c>
      <c r="B3024" s="342" t="s">
        <v>2034</v>
      </c>
      <c r="C3024" s="342" t="str">
        <f>("7640015901")</f>
        <v>7640015901</v>
      </c>
      <c r="D3024" s="340">
        <v>2096</v>
      </c>
      <c r="E3024" s="343"/>
    </row>
    <row r="3025" spans="1:5" s="335" customFormat="1" ht="24">
      <c r="A3025" s="342" t="s">
        <v>2035</v>
      </c>
      <c r="B3025" s="342" t="s">
        <v>2035</v>
      </c>
      <c r="C3025" s="342" t="str">
        <f>("7640015902")</f>
        <v>7640015902</v>
      </c>
      <c r="D3025" s="340">
        <v>2266</v>
      </c>
      <c r="E3025" s="343"/>
    </row>
    <row r="3026" spans="1:5" s="335" customFormat="1" ht="24">
      <c r="A3026" s="342" t="s">
        <v>2036</v>
      </c>
      <c r="B3026" s="342" t="s">
        <v>2036</v>
      </c>
      <c r="C3026" s="342" t="str">
        <f>("7640015903")</f>
        <v>7640015903</v>
      </c>
      <c r="D3026" s="340">
        <v>1926</v>
      </c>
      <c r="E3026" s="343"/>
    </row>
    <row r="3027" spans="1:5" s="335" customFormat="1" ht="24">
      <c r="A3027" s="342" t="s">
        <v>2037</v>
      </c>
      <c r="B3027" s="342" t="s">
        <v>2037</v>
      </c>
      <c r="C3027" s="342" t="str">
        <f>("7640015904")</f>
        <v>7640015904</v>
      </c>
      <c r="D3027" s="340">
        <v>2096</v>
      </c>
      <c r="E3027" s="343"/>
    </row>
    <row r="3028" spans="1:5" s="335" customFormat="1" ht="24">
      <c r="A3028" s="342" t="s">
        <v>2038</v>
      </c>
      <c r="B3028" s="342" t="s">
        <v>2038</v>
      </c>
      <c r="C3028" s="342" t="str">
        <f>("7640015905")</f>
        <v>7640015905</v>
      </c>
      <c r="D3028" s="340">
        <v>2266</v>
      </c>
      <c r="E3028" s="343"/>
    </row>
    <row r="3029" spans="1:5" s="335" customFormat="1" ht="24">
      <c r="A3029" s="342" t="s">
        <v>2039</v>
      </c>
      <c r="B3029" s="342" t="s">
        <v>2039</v>
      </c>
      <c r="C3029" s="342" t="str">
        <f>("7640015906")</f>
        <v>7640015906</v>
      </c>
      <c r="D3029" s="340">
        <v>1926</v>
      </c>
      <c r="E3029" s="343"/>
    </row>
    <row r="3030" spans="1:5" s="335" customFormat="1" ht="24">
      <c r="A3030" s="342" t="s">
        <v>2040</v>
      </c>
      <c r="B3030" s="342" t="s">
        <v>2040</v>
      </c>
      <c r="C3030" s="342" t="str">
        <f>("7640015907")</f>
        <v>7640015907</v>
      </c>
      <c r="D3030" s="340">
        <v>2096</v>
      </c>
      <c r="E3030" s="343"/>
    </row>
    <row r="3031" spans="1:5" s="335" customFormat="1" ht="24">
      <c r="A3031" s="342" t="s">
        <v>2041</v>
      </c>
      <c r="B3031" s="342" t="s">
        <v>2041</v>
      </c>
      <c r="C3031" s="342" t="str">
        <f>("7640015908")</f>
        <v>7640015908</v>
      </c>
      <c r="D3031" s="340">
        <v>2266</v>
      </c>
      <c r="E3031" s="343"/>
    </row>
    <row r="3032" spans="1:5" s="335" customFormat="1" ht="36">
      <c r="A3032" s="342" t="s">
        <v>2042</v>
      </c>
      <c r="B3032" s="342" t="s">
        <v>2042</v>
      </c>
      <c r="C3032" s="342" t="str">
        <f>("7640015909")</f>
        <v>7640015909</v>
      </c>
      <c r="D3032" s="340">
        <v>1564</v>
      </c>
      <c r="E3032" s="343"/>
    </row>
    <row r="3033" spans="1:5" s="335" customFormat="1" ht="36">
      <c r="A3033" s="342" t="s">
        <v>2043</v>
      </c>
      <c r="B3033" s="342" t="s">
        <v>2043</v>
      </c>
      <c r="C3033" s="342" t="str">
        <f>("7640015910")</f>
        <v>7640015910</v>
      </c>
      <c r="D3033" s="340">
        <v>1702</v>
      </c>
      <c r="E3033" s="343"/>
    </row>
    <row r="3034" spans="1:5" s="335" customFormat="1" ht="36">
      <c r="A3034" s="342" t="s">
        <v>2044</v>
      </c>
      <c r="B3034" s="342" t="s">
        <v>2044</v>
      </c>
      <c r="C3034" s="342" t="str">
        <f>("7640015911")</f>
        <v>7640015911</v>
      </c>
      <c r="D3034" s="340">
        <v>1840</v>
      </c>
      <c r="E3034" s="343"/>
    </row>
    <row r="3035" spans="1:5" s="335" customFormat="1" ht="24">
      <c r="A3035" s="342" t="s">
        <v>2045</v>
      </c>
      <c r="B3035" s="342" t="s">
        <v>2045</v>
      </c>
      <c r="C3035" s="342" t="str">
        <f>("7640015912")</f>
        <v>7640015912</v>
      </c>
      <c r="D3035" s="340">
        <v>1564</v>
      </c>
      <c r="E3035" s="343"/>
    </row>
    <row r="3036" spans="1:5" s="335" customFormat="1" ht="24">
      <c r="A3036" s="342" t="s">
        <v>2046</v>
      </c>
      <c r="B3036" s="342" t="s">
        <v>2046</v>
      </c>
      <c r="C3036" s="342" t="str">
        <f>("7640015913")</f>
        <v>7640015913</v>
      </c>
      <c r="D3036" s="340">
        <v>1702</v>
      </c>
      <c r="E3036" s="343"/>
    </row>
    <row r="3037" spans="1:5" s="335" customFormat="1" ht="24">
      <c r="A3037" s="342" t="s">
        <v>2047</v>
      </c>
      <c r="B3037" s="342" t="s">
        <v>2047</v>
      </c>
      <c r="C3037" s="342" t="str">
        <f>("7640015914")</f>
        <v>7640015914</v>
      </c>
      <c r="D3037" s="340">
        <v>1840</v>
      </c>
      <c r="E3037" s="343"/>
    </row>
    <row r="3038" spans="1:5" s="335" customFormat="1" ht="24">
      <c r="A3038" s="342" t="s">
        <v>2048</v>
      </c>
      <c r="B3038" s="342" t="s">
        <v>2048</v>
      </c>
      <c r="C3038" s="342" t="str">
        <f>("7640015915")</f>
        <v>7640015915</v>
      </c>
      <c r="D3038" s="340">
        <v>1564</v>
      </c>
      <c r="E3038" s="343"/>
    </row>
    <row r="3039" spans="1:5" s="335" customFormat="1" ht="24">
      <c r="A3039" s="342" t="s">
        <v>2049</v>
      </c>
      <c r="B3039" s="342" t="s">
        <v>2049</v>
      </c>
      <c r="C3039" s="342" t="str">
        <f>("7640015916")</f>
        <v>7640015916</v>
      </c>
      <c r="D3039" s="340">
        <v>1702</v>
      </c>
      <c r="E3039" s="343"/>
    </row>
    <row r="3040" spans="1:5" s="335" customFormat="1" ht="24">
      <c r="A3040" s="342" t="s">
        <v>2050</v>
      </c>
      <c r="B3040" s="342" t="s">
        <v>2050</v>
      </c>
      <c r="C3040" s="342" t="str">
        <f>("7640015917")</f>
        <v>7640015917</v>
      </c>
      <c r="D3040" s="340">
        <v>1840</v>
      </c>
      <c r="E3040" s="343"/>
    </row>
    <row r="3041" spans="1:5" s="335" customFormat="1" ht="12.75">
      <c r="A3041" s="403" t="s">
        <v>2054</v>
      </c>
      <c r="B3041" s="403"/>
      <c r="C3041" s="403"/>
      <c r="D3041" s="403"/>
      <c r="E3041" s="343"/>
    </row>
    <row r="3042" spans="1:5" s="335" customFormat="1" ht="60">
      <c r="A3042" s="342" t="s">
        <v>2056</v>
      </c>
      <c r="B3042" s="342" t="s">
        <v>2056</v>
      </c>
      <c r="C3042" s="342" t="s">
        <v>6173</v>
      </c>
      <c r="D3042" s="340">
        <v>359</v>
      </c>
      <c r="E3042" s="343"/>
    </row>
    <row r="3043" spans="1:5" s="335" customFormat="1" ht="48">
      <c r="A3043" s="342" t="s">
        <v>2057</v>
      </c>
      <c r="B3043" s="342" t="s">
        <v>2057</v>
      </c>
      <c r="C3043" s="342" t="s">
        <v>6174</v>
      </c>
      <c r="D3043" s="340">
        <v>95</v>
      </c>
      <c r="E3043" s="343"/>
    </row>
    <row r="3044" spans="1:5" s="335" customFormat="1" ht="48">
      <c r="A3044" s="342" t="s">
        <v>2058</v>
      </c>
      <c r="B3044" s="342" t="s">
        <v>2058</v>
      </c>
      <c r="C3044" s="342" t="s">
        <v>6175</v>
      </c>
      <c r="D3044" s="340">
        <v>119</v>
      </c>
      <c r="E3044" s="343"/>
    </row>
    <row r="3045" spans="1:5" s="335" customFormat="1" ht="12.75">
      <c r="A3045" s="344"/>
      <c r="B3045" s="343"/>
      <c r="C3045" s="343"/>
      <c r="D3045" s="395"/>
      <c r="E3045" s="343"/>
    </row>
    <row r="3046" spans="1:5" s="335" customFormat="1" ht="15" customHeight="1">
      <c r="A3046" s="345"/>
      <c r="B3046" s="404" t="s">
        <v>2233</v>
      </c>
      <c r="C3046" s="404"/>
      <c r="D3046" s="404"/>
      <c r="E3046" s="404"/>
    </row>
    <row r="3047" spans="1:5" s="335" customFormat="1" ht="25.5">
      <c r="A3047" s="346" t="s">
        <v>789</v>
      </c>
      <c r="B3047" s="346" t="s">
        <v>409</v>
      </c>
      <c r="C3047" s="346" t="s">
        <v>26</v>
      </c>
      <c r="D3047" s="337" t="s">
        <v>6425</v>
      </c>
      <c r="E3047" s="343"/>
    </row>
    <row r="3048" spans="1:5" s="335" customFormat="1" ht="24">
      <c r="A3048" s="342" t="s">
        <v>2234</v>
      </c>
      <c r="B3048" s="342" t="s">
        <v>2234</v>
      </c>
      <c r="C3048" s="342" t="str">
        <f>("Equitrac Express 5")</f>
        <v>Equitrac Express 5</v>
      </c>
      <c r="D3048" s="340">
        <v>0</v>
      </c>
      <c r="E3048" s="343"/>
    </row>
    <row r="3049" spans="1:5" s="335" customFormat="1" ht="12.75">
      <c r="A3049" s="403" t="s">
        <v>2235</v>
      </c>
      <c r="B3049" s="403"/>
      <c r="C3049" s="403"/>
      <c r="D3049" s="403"/>
      <c r="E3049" s="343"/>
    </row>
    <row r="3050" spans="1:5" s="335" customFormat="1" ht="48">
      <c r="A3050" s="342" t="s">
        <v>2236</v>
      </c>
      <c r="B3050" s="342" t="s">
        <v>2236</v>
      </c>
      <c r="C3050" s="342" t="str">
        <f>("EQ5EESCU3PB")</f>
        <v>EQ5EESCU3PB</v>
      </c>
      <c r="D3050" s="340">
        <v>659</v>
      </c>
      <c r="E3050" s="343"/>
    </row>
    <row r="3051" spans="1:5" s="335" customFormat="1" ht="60">
      <c r="A3051" s="342" t="s">
        <v>2237</v>
      </c>
      <c r="B3051" s="342" t="s">
        <v>2237</v>
      </c>
      <c r="C3051" s="342" t="str">
        <f>("EQ5EESCU4PB")</f>
        <v>EQ5EESCU4PB</v>
      </c>
      <c r="D3051" s="340">
        <v>769</v>
      </c>
      <c r="E3051" s="343"/>
    </row>
    <row r="3052" spans="1:5" s="335" customFormat="1" ht="60">
      <c r="A3052" s="342" t="s">
        <v>2238</v>
      </c>
      <c r="B3052" s="342" t="s">
        <v>2238</v>
      </c>
      <c r="C3052" s="342" t="str">
        <f>("EQ5EESCU5PB")</f>
        <v>EQ5EESCU5PB</v>
      </c>
      <c r="D3052" s="340">
        <v>879</v>
      </c>
      <c r="E3052" s="343"/>
    </row>
    <row r="3053" spans="1:5" s="335" customFormat="1" ht="36">
      <c r="A3053" s="342" t="s">
        <v>2239</v>
      </c>
      <c r="B3053" s="342" t="s">
        <v>2239</v>
      </c>
      <c r="C3053" s="342" t="str">
        <f>("EQ5EESU14PB")</f>
        <v>EQ5EESU14PB</v>
      </c>
      <c r="D3053" s="340">
        <v>3906</v>
      </c>
      <c r="E3053" s="343"/>
    </row>
    <row r="3054" spans="1:5" s="335" customFormat="1" ht="36">
      <c r="A3054" s="342" t="s">
        <v>2240</v>
      </c>
      <c r="B3054" s="342" t="s">
        <v>2240</v>
      </c>
      <c r="C3054" s="342" t="str">
        <f>("EQ5EESU15PB")</f>
        <v>EQ5EESU15PB</v>
      </c>
      <c r="D3054" s="340">
        <v>4185</v>
      </c>
      <c r="E3054" s="343"/>
    </row>
    <row r="3055" spans="1:5" s="335" customFormat="1" ht="48">
      <c r="A3055" s="342" t="s">
        <v>2241</v>
      </c>
      <c r="B3055" s="342" t="s">
        <v>2241</v>
      </c>
      <c r="C3055" s="342" t="str">
        <f>("EQ5EESUU3PB")</f>
        <v>EQ5EESUU3PB</v>
      </c>
      <c r="D3055" s="340">
        <v>1674</v>
      </c>
      <c r="E3055" s="343"/>
    </row>
    <row r="3056" spans="1:5" s="335" customFormat="1" ht="48">
      <c r="A3056" s="342" t="s">
        <v>2242</v>
      </c>
      <c r="B3056" s="342" t="s">
        <v>2242</v>
      </c>
      <c r="C3056" s="342" t="str">
        <f>("EQ5EESUU4PB")</f>
        <v>EQ5EESUU4PB</v>
      </c>
      <c r="D3056" s="340">
        <v>1953</v>
      </c>
      <c r="E3056" s="343"/>
    </row>
    <row r="3057" spans="1:5" s="335" customFormat="1" ht="48">
      <c r="A3057" s="342" t="s">
        <v>2243</v>
      </c>
      <c r="B3057" s="342" t="s">
        <v>2243</v>
      </c>
      <c r="C3057" s="342" t="str">
        <f>("EQ5EESUU5PB")</f>
        <v>EQ5EESUU5PB</v>
      </c>
      <c r="D3057" s="340">
        <v>2232</v>
      </c>
      <c r="E3057" s="343"/>
    </row>
    <row r="3058" spans="1:5" s="335" customFormat="1" ht="12.75">
      <c r="A3058" s="403" t="s">
        <v>2244</v>
      </c>
      <c r="B3058" s="403"/>
      <c r="C3058" s="403"/>
      <c r="D3058" s="403"/>
      <c r="E3058" s="343"/>
    </row>
    <row r="3059" spans="1:5" s="335" customFormat="1" ht="36">
      <c r="A3059" s="342" t="s">
        <v>2245</v>
      </c>
      <c r="B3059" s="342" t="s">
        <v>2245</v>
      </c>
      <c r="C3059" s="342" t="str">
        <f>("EQ5CLS013PB")</f>
        <v>EQ5CLS013PB</v>
      </c>
      <c r="D3059" s="340">
        <v>4953</v>
      </c>
      <c r="E3059" s="343"/>
    </row>
    <row r="3060" spans="1:5" s="335" customFormat="1" ht="36">
      <c r="A3060" s="342" t="s">
        <v>2246</v>
      </c>
      <c r="B3060" s="342" t="s">
        <v>2246</v>
      </c>
      <c r="C3060" s="342" t="str">
        <f>("EQ5CLS014PB")</f>
        <v>EQ5CLS014PB</v>
      </c>
      <c r="D3060" s="340">
        <v>5334</v>
      </c>
      <c r="E3060" s="343"/>
    </row>
    <row r="3061" spans="1:5" s="335" customFormat="1" ht="36">
      <c r="A3061" s="342" t="s">
        <v>2247</v>
      </c>
      <c r="B3061" s="342" t="s">
        <v>2247</v>
      </c>
      <c r="C3061" s="342" t="str">
        <f>("EQ5CLS015PB")</f>
        <v>EQ5CLS015PB</v>
      </c>
      <c r="D3061" s="340">
        <v>5715</v>
      </c>
      <c r="E3061" s="343"/>
    </row>
    <row r="3062" spans="1:5" s="335" customFormat="1" ht="36">
      <c r="A3062" s="342" t="s">
        <v>2248</v>
      </c>
      <c r="B3062" s="342" t="s">
        <v>2248</v>
      </c>
      <c r="C3062" s="342" t="str">
        <f>("EQ5CLS0U3PB")</f>
        <v>EQ5CLS0U3PB</v>
      </c>
      <c r="D3062" s="340">
        <v>2286</v>
      </c>
      <c r="E3062" s="343"/>
    </row>
    <row r="3063" spans="1:5" s="335" customFormat="1" ht="36">
      <c r="A3063" s="342" t="s">
        <v>2249</v>
      </c>
      <c r="B3063" s="342" t="s">
        <v>2249</v>
      </c>
      <c r="C3063" s="342" t="str">
        <f>("EQ5CLS0U4PB")</f>
        <v>EQ5CLS0U4PB</v>
      </c>
      <c r="D3063" s="340">
        <v>2667</v>
      </c>
      <c r="E3063" s="343"/>
    </row>
    <row r="3064" spans="1:5" s="335" customFormat="1" ht="36">
      <c r="A3064" s="342" t="s">
        <v>2250</v>
      </c>
      <c r="B3064" s="342" t="s">
        <v>2250</v>
      </c>
      <c r="C3064" s="342" t="str">
        <f>("EQ5CLS0U5PB")</f>
        <v>EQ5CLS0U5PB</v>
      </c>
      <c r="D3064" s="340">
        <v>3048</v>
      </c>
      <c r="E3064" s="343"/>
    </row>
    <row r="3065" spans="1:5" s="335" customFormat="1" ht="48">
      <c r="A3065" s="342" t="s">
        <v>2251</v>
      </c>
      <c r="B3065" s="342" t="s">
        <v>2251</v>
      </c>
      <c r="C3065" s="342" t="str">
        <f>("EQ5PO0103PB")</f>
        <v>EQ5PO0103PB</v>
      </c>
      <c r="D3065" s="340">
        <v>5600</v>
      </c>
      <c r="E3065" s="343"/>
    </row>
    <row r="3066" spans="1:5" s="335" customFormat="1" ht="48">
      <c r="A3066" s="342" t="s">
        <v>2252</v>
      </c>
      <c r="B3066" s="342" t="s">
        <v>2252</v>
      </c>
      <c r="C3066" s="342" t="str">
        <f>("EQ5PO0104PB")</f>
        <v>EQ5PO0104PB</v>
      </c>
      <c r="D3066" s="340">
        <v>6400</v>
      </c>
      <c r="E3066" s="343"/>
    </row>
    <row r="3067" spans="1:5" s="335" customFormat="1" ht="48">
      <c r="A3067" s="342" t="s">
        <v>2253</v>
      </c>
      <c r="B3067" s="342" t="s">
        <v>2253</v>
      </c>
      <c r="C3067" s="342" t="str">
        <f>("EQ5PO0105PB")</f>
        <v>EQ5PO0105PB</v>
      </c>
      <c r="D3067" s="340">
        <v>7200</v>
      </c>
      <c r="E3067" s="343"/>
    </row>
    <row r="3068" spans="1:5" s="335" customFormat="1" ht="48">
      <c r="A3068" s="342" t="s">
        <v>2254</v>
      </c>
      <c r="B3068" s="342" t="s">
        <v>2254</v>
      </c>
      <c r="C3068" s="342" t="str">
        <f>("EQ5PO01K3PB")</f>
        <v>EQ5PO01K3PB</v>
      </c>
      <c r="D3068" s="340">
        <v>140000</v>
      </c>
      <c r="E3068" s="343"/>
    </row>
    <row r="3069" spans="1:5" s="335" customFormat="1" ht="48">
      <c r="A3069" s="342" t="s">
        <v>2255</v>
      </c>
      <c r="B3069" s="342" t="s">
        <v>2255</v>
      </c>
      <c r="C3069" s="342" t="str">
        <f>("EQ5PO01K4PB")</f>
        <v>EQ5PO01K4PB</v>
      </c>
      <c r="D3069" s="340">
        <v>160000</v>
      </c>
      <c r="E3069" s="343"/>
    </row>
    <row r="3070" spans="1:5" s="335" customFormat="1" ht="48">
      <c r="A3070" s="342" t="s">
        <v>2256</v>
      </c>
      <c r="B3070" s="342" t="s">
        <v>2256</v>
      </c>
      <c r="C3070" s="342" t="str">
        <f>("EQ5PO01K5PB")</f>
        <v>EQ5PO01K5PB</v>
      </c>
      <c r="D3070" s="340">
        <v>180000</v>
      </c>
      <c r="E3070" s="343"/>
    </row>
    <row r="3071" spans="1:5" s="335" customFormat="1" ht="48">
      <c r="A3071" s="342" t="s">
        <v>2257</v>
      </c>
      <c r="B3071" s="342" t="s">
        <v>2257</v>
      </c>
      <c r="C3071" s="342" t="str">
        <f>("EQ5PO0253PB")</f>
        <v>EQ5PO0253PB</v>
      </c>
      <c r="D3071" s="340">
        <v>10500</v>
      </c>
      <c r="E3071" s="343"/>
    </row>
    <row r="3072" spans="1:5" s="335" customFormat="1" ht="48">
      <c r="A3072" s="342" t="s">
        <v>2258</v>
      </c>
      <c r="B3072" s="342" t="s">
        <v>2258</v>
      </c>
      <c r="C3072" s="342" t="str">
        <f>("EQ5PO0254PB")</f>
        <v>EQ5PO0254PB</v>
      </c>
      <c r="D3072" s="340">
        <v>12000</v>
      </c>
      <c r="E3072" s="343"/>
    </row>
    <row r="3073" spans="1:5" s="335" customFormat="1" ht="48">
      <c r="A3073" s="342" t="s">
        <v>2259</v>
      </c>
      <c r="B3073" s="342" t="s">
        <v>2259</v>
      </c>
      <c r="C3073" s="342" t="str">
        <f>("EQ5PO0255PB")</f>
        <v>EQ5PO0255PB</v>
      </c>
      <c r="D3073" s="340">
        <v>13500</v>
      </c>
      <c r="E3073" s="343"/>
    </row>
    <row r="3074" spans="1:5" s="335" customFormat="1" ht="48">
      <c r="A3074" s="342" t="s">
        <v>2260</v>
      </c>
      <c r="B3074" s="342" t="s">
        <v>2260</v>
      </c>
      <c r="C3074" s="342" t="str">
        <f>("EQ5PO1003PB")</f>
        <v>EQ5PO1003PB</v>
      </c>
      <c r="D3074" s="340">
        <v>28000</v>
      </c>
      <c r="E3074" s="343"/>
    </row>
    <row r="3075" spans="1:5" s="335" customFormat="1" ht="48">
      <c r="A3075" s="342" t="s">
        <v>2261</v>
      </c>
      <c r="B3075" s="342" t="s">
        <v>2261</v>
      </c>
      <c r="C3075" s="342" t="str">
        <f>("EQ5PO1004PB")</f>
        <v>EQ5PO1004PB</v>
      </c>
      <c r="D3075" s="340">
        <v>32000</v>
      </c>
      <c r="E3075" s="343"/>
    </row>
    <row r="3076" spans="1:5" s="335" customFormat="1" ht="48">
      <c r="A3076" s="342" t="s">
        <v>2262</v>
      </c>
      <c r="B3076" s="342" t="s">
        <v>2262</v>
      </c>
      <c r="C3076" s="342" t="str">
        <f>("EQ5PO1005PB")</f>
        <v>EQ5PO1005PB</v>
      </c>
      <c r="D3076" s="340">
        <v>36000</v>
      </c>
      <c r="E3076" s="343"/>
    </row>
    <row r="3077" spans="1:5" s="335" customFormat="1" ht="48">
      <c r="A3077" s="342" t="s">
        <v>2263</v>
      </c>
      <c r="B3077" s="342" t="s">
        <v>2263</v>
      </c>
      <c r="C3077" s="342" t="str">
        <f>("EQ5PO5003PB")</f>
        <v>EQ5PO5003PB</v>
      </c>
      <c r="D3077" s="340">
        <v>105000</v>
      </c>
      <c r="E3077" s="343"/>
    </row>
    <row r="3078" spans="1:5" s="335" customFormat="1" ht="48">
      <c r="A3078" s="342" t="s">
        <v>2264</v>
      </c>
      <c r="B3078" s="342" t="s">
        <v>2264</v>
      </c>
      <c r="C3078" s="342" t="str">
        <f>("EQ5PO5004PB")</f>
        <v>EQ5PO5004PB</v>
      </c>
      <c r="D3078" s="340">
        <v>120000</v>
      </c>
      <c r="E3078" s="343"/>
    </row>
    <row r="3079" spans="1:5" s="335" customFormat="1" ht="48">
      <c r="A3079" s="342" t="s">
        <v>2265</v>
      </c>
      <c r="B3079" s="342" t="s">
        <v>2265</v>
      </c>
      <c r="C3079" s="342" t="str">
        <f>("EQ5PO5005PB")</f>
        <v>EQ5PO5005PB</v>
      </c>
      <c r="D3079" s="340">
        <v>135000</v>
      </c>
      <c r="E3079" s="343"/>
    </row>
    <row r="3080" spans="1:5" s="335" customFormat="1" ht="36">
      <c r="A3080" s="342" t="s">
        <v>2266</v>
      </c>
      <c r="B3080" s="342" t="s">
        <v>2266</v>
      </c>
      <c r="C3080" s="342" t="str">
        <f>("EQ5PS0013PB")</f>
        <v>EQ5PS0013PB</v>
      </c>
      <c r="D3080" s="340">
        <v>1755</v>
      </c>
      <c r="E3080" s="343"/>
    </row>
    <row r="3081" spans="1:5" s="335" customFormat="1" ht="36">
      <c r="A3081" s="342" t="s">
        <v>2267</v>
      </c>
      <c r="B3081" s="342" t="s">
        <v>2267</v>
      </c>
      <c r="C3081" s="342" t="str">
        <f>("EQ5PS0014PB")</f>
        <v>EQ5PS0014PB</v>
      </c>
      <c r="D3081" s="340">
        <v>1890</v>
      </c>
      <c r="E3081" s="343"/>
    </row>
    <row r="3082" spans="1:5" s="335" customFormat="1" ht="36">
      <c r="A3082" s="342" t="s">
        <v>2268</v>
      </c>
      <c r="B3082" s="342" t="s">
        <v>2268</v>
      </c>
      <c r="C3082" s="342" t="str">
        <f>("EQ5PS0015PB")</f>
        <v>EQ5PS0015PB</v>
      </c>
      <c r="D3082" s="340">
        <v>2025</v>
      </c>
      <c r="E3082" s="343"/>
    </row>
    <row r="3083" spans="1:5" s="335" customFormat="1" ht="36">
      <c r="A3083" s="342" t="s">
        <v>2269</v>
      </c>
      <c r="B3083" s="342" t="s">
        <v>2269</v>
      </c>
      <c r="C3083" s="342" t="str">
        <f>("EQ5PS0103PB")</f>
        <v>EQ5PS0103PB</v>
      </c>
      <c r="D3083" s="340">
        <v>14321</v>
      </c>
      <c r="E3083" s="343"/>
    </row>
    <row r="3084" spans="1:5" s="335" customFormat="1" ht="36">
      <c r="A3084" s="342" t="s">
        <v>2270</v>
      </c>
      <c r="B3084" s="342" t="s">
        <v>2270</v>
      </c>
      <c r="C3084" s="342" t="str">
        <f>("EQ5PS0104PB")</f>
        <v>EQ5PS0104PB</v>
      </c>
      <c r="D3084" s="340">
        <v>15423</v>
      </c>
      <c r="E3084" s="343"/>
    </row>
    <row r="3085" spans="1:5" s="335" customFormat="1" ht="36">
      <c r="A3085" s="342" t="s">
        <v>2271</v>
      </c>
      <c r="B3085" s="342" t="s">
        <v>2271</v>
      </c>
      <c r="C3085" s="342" t="str">
        <f>("EQ5PS0105PB")</f>
        <v>EQ5PS0105PB</v>
      </c>
      <c r="D3085" s="340">
        <v>16525</v>
      </c>
      <c r="E3085" s="343"/>
    </row>
    <row r="3086" spans="1:5" s="335" customFormat="1" ht="36">
      <c r="A3086" s="342" t="s">
        <v>2272</v>
      </c>
      <c r="B3086" s="342" t="s">
        <v>2272</v>
      </c>
      <c r="C3086" s="342" t="str">
        <f>("EQ5PS01U3PB")</f>
        <v>EQ5PS01U3PB</v>
      </c>
      <c r="D3086" s="340">
        <v>810</v>
      </c>
      <c r="E3086" s="343"/>
    </row>
    <row r="3087" spans="1:5" s="335" customFormat="1" ht="36">
      <c r="A3087" s="342" t="s">
        <v>2273</v>
      </c>
      <c r="B3087" s="342" t="s">
        <v>2273</v>
      </c>
      <c r="C3087" s="342" t="str">
        <f>("EQ5PS01U4PB")</f>
        <v>EQ5PS01U4PB</v>
      </c>
      <c r="D3087" s="340">
        <v>945</v>
      </c>
      <c r="E3087" s="343"/>
    </row>
    <row r="3088" spans="1:5" s="335" customFormat="1" ht="36">
      <c r="A3088" s="342" t="s">
        <v>2274</v>
      </c>
      <c r="B3088" s="342" t="s">
        <v>2274</v>
      </c>
      <c r="C3088" s="342" t="str">
        <f>("EQ5PS01U5PB")</f>
        <v>EQ5PS01U5PB</v>
      </c>
      <c r="D3088" s="340">
        <v>1080</v>
      </c>
      <c r="E3088" s="343"/>
    </row>
    <row r="3089" spans="1:5" s="335" customFormat="1" ht="36">
      <c r="A3089" s="342" t="s">
        <v>2275</v>
      </c>
      <c r="B3089" s="342" t="s">
        <v>2275</v>
      </c>
      <c r="C3089" s="342" t="str">
        <f>("EQ5PSU103PB")</f>
        <v>EQ5PSU103PB</v>
      </c>
      <c r="D3089" s="340">
        <v>6611</v>
      </c>
      <c r="E3089" s="343"/>
    </row>
    <row r="3090" spans="1:5" s="335" customFormat="1" ht="36">
      <c r="A3090" s="342" t="s">
        <v>2276</v>
      </c>
      <c r="B3090" s="342" t="s">
        <v>2276</v>
      </c>
      <c r="C3090" s="342" t="str">
        <f>("EQ5PSU104PB")</f>
        <v>EQ5PSU104PB</v>
      </c>
      <c r="D3090" s="340">
        <v>7713</v>
      </c>
      <c r="E3090" s="343"/>
    </row>
    <row r="3091" spans="1:5" s="335" customFormat="1" ht="36">
      <c r="A3091" s="342" t="s">
        <v>2277</v>
      </c>
      <c r="B3091" s="342" t="s">
        <v>2277</v>
      </c>
      <c r="C3091" s="342" t="str">
        <f>("EQ5PSU105PB")</f>
        <v>EQ5PSU105PB</v>
      </c>
      <c r="D3091" s="340">
        <v>8815</v>
      </c>
      <c r="E3091" s="343"/>
    </row>
    <row r="3092" spans="1:5" s="335" customFormat="1" ht="12.75">
      <c r="A3092" s="403" t="s">
        <v>2278</v>
      </c>
      <c r="B3092" s="403"/>
      <c r="C3092" s="403"/>
      <c r="D3092" s="403"/>
      <c r="E3092" s="343"/>
    </row>
    <row r="3093" spans="1:5" s="335" customFormat="1" ht="36">
      <c r="A3093" s="342" t="s">
        <v>2279</v>
      </c>
      <c r="B3093" s="342" t="s">
        <v>2279</v>
      </c>
      <c r="C3093" s="342" t="str">
        <f>("EQ5EEMED")</f>
        <v>EQ5EEMED</v>
      </c>
      <c r="D3093" s="340">
        <v>25</v>
      </c>
      <c r="E3093" s="343"/>
    </row>
    <row r="3094" spans="1:5" s="335" customFormat="1" ht="36">
      <c r="A3094" s="342" t="s">
        <v>2280</v>
      </c>
      <c r="B3094" s="342" t="s">
        <v>2280</v>
      </c>
      <c r="C3094" s="342" t="str">
        <f>("EQ5EENFR")</f>
        <v>EQ5EENFR</v>
      </c>
      <c r="D3094" s="340">
        <v>500</v>
      </c>
      <c r="E3094" s="343"/>
    </row>
    <row r="3095" spans="1:5" s="335" customFormat="1" ht="36">
      <c r="A3095" s="342" t="s">
        <v>2281</v>
      </c>
      <c r="B3095" s="342" t="s">
        <v>2281</v>
      </c>
      <c r="C3095" s="342" t="str">
        <f>("EQ5EETR1")</f>
        <v>EQ5EETR1</v>
      </c>
      <c r="D3095" s="340">
        <v>100</v>
      </c>
      <c r="E3095" s="343"/>
    </row>
    <row r="3096" spans="1:5" s="335" customFormat="1" ht="36">
      <c r="A3096" s="342" t="s">
        <v>2282</v>
      </c>
      <c r="B3096" s="342" t="s">
        <v>2282</v>
      </c>
      <c r="C3096" s="342" t="str">
        <f>("EQ5EETR2")</f>
        <v>EQ5EETR2</v>
      </c>
      <c r="D3096" s="340">
        <v>100</v>
      </c>
      <c r="E3096" s="343"/>
    </row>
    <row r="3097" spans="1:5" s="335" customFormat="1" ht="36">
      <c r="A3097" s="342" t="s">
        <v>2283</v>
      </c>
      <c r="B3097" s="342" t="s">
        <v>2283</v>
      </c>
      <c r="C3097" s="342" t="str">
        <f>("EQ5EFMED")</f>
        <v>EQ5EFMED</v>
      </c>
      <c r="D3097" s="340">
        <v>25</v>
      </c>
      <c r="E3097" s="343"/>
    </row>
    <row r="3098" spans="1:5" s="335" customFormat="1" ht="36">
      <c r="A3098" s="342" t="s">
        <v>2284</v>
      </c>
      <c r="B3098" s="342" t="s">
        <v>2284</v>
      </c>
      <c r="C3098" s="342" t="str">
        <f>("EQ5EFNFR")</f>
        <v>EQ5EFNFR</v>
      </c>
      <c r="D3098" s="340">
        <v>500</v>
      </c>
      <c r="E3098" s="343"/>
    </row>
    <row r="3099" spans="1:5" s="335" customFormat="1" ht="36">
      <c r="A3099" s="342" t="s">
        <v>2285</v>
      </c>
      <c r="B3099" s="342" t="s">
        <v>2285</v>
      </c>
      <c r="C3099" s="342" t="str">
        <f>("EQ5EFTR1")</f>
        <v>EQ5EFTR1</v>
      </c>
      <c r="D3099" s="340">
        <v>100</v>
      </c>
      <c r="E3099" s="343"/>
    </row>
    <row r="3100" spans="1:5" s="335" customFormat="1" ht="36">
      <c r="A3100" s="342" t="s">
        <v>2286</v>
      </c>
      <c r="B3100" s="342" t="s">
        <v>2286</v>
      </c>
      <c r="C3100" s="342" t="str">
        <f>("EQ5EFTR2")</f>
        <v>EQ5EFTR2</v>
      </c>
      <c r="D3100" s="340">
        <v>100</v>
      </c>
      <c r="E3100" s="343"/>
    </row>
    <row r="3101" spans="1:5" s="335" customFormat="1" ht="12.75">
      <c r="A3101" s="403" t="s">
        <v>2287</v>
      </c>
      <c r="B3101" s="403"/>
      <c r="C3101" s="403"/>
      <c r="D3101" s="403"/>
      <c r="E3101" s="343"/>
    </row>
    <row r="3102" spans="1:5" s="335" customFormat="1" ht="36">
      <c r="A3102" s="342" t="s">
        <v>2288</v>
      </c>
      <c r="B3102" s="342" t="s">
        <v>2288</v>
      </c>
      <c r="C3102" s="342" t="str">
        <f>("EQ5ED0013PB")</f>
        <v>EQ5ED0013PB</v>
      </c>
      <c r="D3102" s="340">
        <v>650</v>
      </c>
      <c r="E3102" s="343"/>
    </row>
    <row r="3103" spans="1:5" s="335" customFormat="1" ht="36">
      <c r="A3103" s="342" t="s">
        <v>2289</v>
      </c>
      <c r="B3103" s="342" t="s">
        <v>2289</v>
      </c>
      <c r="C3103" s="342" t="str">
        <f>("EQ5ED0014PB")</f>
        <v>EQ5ED0014PB</v>
      </c>
      <c r="D3103" s="340">
        <v>700</v>
      </c>
      <c r="E3103" s="343"/>
    </row>
    <row r="3104" spans="1:5" s="335" customFormat="1" ht="36">
      <c r="A3104" s="342" t="s">
        <v>2290</v>
      </c>
      <c r="B3104" s="342" t="s">
        <v>2290</v>
      </c>
      <c r="C3104" s="342" t="str">
        <f>("EQ5ED0015PB")</f>
        <v>EQ5ED0015PB</v>
      </c>
      <c r="D3104" s="340">
        <v>750</v>
      </c>
      <c r="E3104" s="343"/>
    </row>
    <row r="3105" spans="1:5" s="335" customFormat="1" ht="36">
      <c r="A3105" s="342" t="s">
        <v>2291</v>
      </c>
      <c r="B3105" s="342" t="s">
        <v>2291</v>
      </c>
      <c r="C3105" s="342" t="str">
        <f>("EQ5ED0103PB")</f>
        <v>EQ5ED0103PB</v>
      </c>
      <c r="D3105" s="340">
        <v>5590</v>
      </c>
      <c r="E3105" s="343"/>
    </row>
    <row r="3106" spans="1:5" s="335" customFormat="1" ht="36">
      <c r="A3106" s="342" t="s">
        <v>2292</v>
      </c>
      <c r="B3106" s="342" t="s">
        <v>2292</v>
      </c>
      <c r="C3106" s="342" t="str">
        <f>("EQ5ED0104PB")</f>
        <v>EQ5ED0104PB</v>
      </c>
      <c r="D3106" s="340">
        <v>6020</v>
      </c>
      <c r="E3106" s="343"/>
    </row>
    <row r="3107" spans="1:5" s="335" customFormat="1" ht="36">
      <c r="A3107" s="342" t="s">
        <v>2293</v>
      </c>
      <c r="B3107" s="342" t="s">
        <v>2293</v>
      </c>
      <c r="C3107" s="342" t="str">
        <f>("EQ5ED0105PB")</f>
        <v>EQ5ED0105PB</v>
      </c>
      <c r="D3107" s="340">
        <v>6450</v>
      </c>
      <c r="E3107" s="343"/>
    </row>
    <row r="3108" spans="1:5" s="335" customFormat="1" ht="36">
      <c r="A3108" s="342" t="s">
        <v>2294</v>
      </c>
      <c r="B3108" s="342" t="s">
        <v>2294</v>
      </c>
      <c r="C3108" s="342" t="str">
        <f>("EQ5ED01U3PB")</f>
        <v>EQ5ED01U3PB</v>
      </c>
      <c r="D3108" s="340">
        <v>300</v>
      </c>
      <c r="E3108" s="343"/>
    </row>
    <row r="3109" spans="1:5" s="335" customFormat="1" ht="36">
      <c r="A3109" s="342" t="s">
        <v>2295</v>
      </c>
      <c r="B3109" s="342" t="s">
        <v>2295</v>
      </c>
      <c r="C3109" s="342" t="str">
        <f>("EQ5ED01U4PB")</f>
        <v>EQ5ED01U4PB</v>
      </c>
      <c r="D3109" s="340">
        <v>350</v>
      </c>
      <c r="E3109" s="343"/>
    </row>
    <row r="3110" spans="1:5" s="335" customFormat="1" ht="36">
      <c r="A3110" s="342" t="s">
        <v>2296</v>
      </c>
      <c r="B3110" s="342" t="s">
        <v>2296</v>
      </c>
      <c r="C3110" s="342" t="str">
        <f>("EQ5ED01U5PB")</f>
        <v>EQ5ED01U5PB</v>
      </c>
      <c r="D3110" s="340">
        <v>400</v>
      </c>
      <c r="E3110" s="343"/>
    </row>
    <row r="3111" spans="1:5" s="335" customFormat="1" ht="48">
      <c r="A3111" s="342" t="s">
        <v>2297</v>
      </c>
      <c r="B3111" s="342" t="s">
        <v>2297</v>
      </c>
      <c r="C3111" s="342" t="str">
        <f>("EQ5ED0CU3PB")</f>
        <v>EQ5ED0CU3PB</v>
      </c>
      <c r="D3111" s="340">
        <v>20340</v>
      </c>
      <c r="E3111" s="343"/>
    </row>
    <row r="3112" spans="1:5" s="335" customFormat="1" ht="48">
      <c r="A3112" s="342" t="s">
        <v>2298</v>
      </c>
      <c r="B3112" s="342" t="s">
        <v>2298</v>
      </c>
      <c r="C3112" s="342" t="str">
        <f>("EQ5ED0CU4PB")</f>
        <v>EQ5ED0CU4PB</v>
      </c>
      <c r="D3112" s="340">
        <v>23730</v>
      </c>
      <c r="E3112" s="343"/>
    </row>
    <row r="3113" spans="1:5" s="335" customFormat="1" ht="48">
      <c r="A3113" s="342" t="s">
        <v>2299</v>
      </c>
      <c r="B3113" s="342" t="s">
        <v>2299</v>
      </c>
      <c r="C3113" s="342" t="str">
        <f>("EQ5ED0CU5PB")</f>
        <v>EQ5ED0CU5PB</v>
      </c>
      <c r="D3113" s="340">
        <v>27120</v>
      </c>
      <c r="E3113" s="343"/>
    </row>
    <row r="3114" spans="1:5" s="335" customFormat="1" ht="48">
      <c r="A3114" s="342" t="s">
        <v>2300</v>
      </c>
      <c r="B3114" s="342" t="s">
        <v>2300</v>
      </c>
      <c r="C3114" s="342" t="str">
        <f>("EQ5ED0DU3PB")</f>
        <v>EQ5ED0DU3PB</v>
      </c>
      <c r="D3114" s="340">
        <v>91524</v>
      </c>
      <c r="E3114" s="343"/>
    </row>
    <row r="3115" spans="1:5" s="335" customFormat="1" ht="48">
      <c r="A3115" s="342" t="s">
        <v>2301</v>
      </c>
      <c r="B3115" s="342" t="s">
        <v>2301</v>
      </c>
      <c r="C3115" s="342" t="str">
        <f>("EQ5ED0DU4PB")</f>
        <v>EQ5ED0DU4PB</v>
      </c>
      <c r="D3115" s="340">
        <v>106778</v>
      </c>
      <c r="E3115" s="343"/>
    </row>
    <row r="3116" spans="1:5" s="335" customFormat="1" ht="48">
      <c r="A3116" s="342" t="s">
        <v>2302</v>
      </c>
      <c r="B3116" s="342" t="s">
        <v>2302</v>
      </c>
      <c r="C3116" s="342" t="str">
        <f>("EQ5ED0DU5PB")</f>
        <v>EQ5ED0DU5PB</v>
      </c>
      <c r="D3116" s="340">
        <v>122032</v>
      </c>
      <c r="E3116" s="343"/>
    </row>
    <row r="3117" spans="1:5" s="335" customFormat="1" ht="36">
      <c r="A3117" s="342" t="s">
        <v>2303</v>
      </c>
      <c r="B3117" s="342" t="s">
        <v>2303</v>
      </c>
      <c r="C3117" s="342" t="str">
        <f>("EQ5ED1003PB")</f>
        <v>EQ5ED1003PB</v>
      </c>
      <c r="D3117" s="340">
        <v>44070</v>
      </c>
      <c r="E3117" s="343"/>
    </row>
    <row r="3118" spans="1:5" s="335" customFormat="1" ht="36">
      <c r="A3118" s="342" t="s">
        <v>2304</v>
      </c>
      <c r="B3118" s="342" t="s">
        <v>2304</v>
      </c>
      <c r="C3118" s="342" t="str">
        <f>("EQ5ED1004PB")</f>
        <v>EQ5ED1004PB</v>
      </c>
      <c r="D3118" s="340">
        <v>47460</v>
      </c>
      <c r="E3118" s="343"/>
    </row>
    <row r="3119" spans="1:5" s="335" customFormat="1" ht="36">
      <c r="A3119" s="342" t="s">
        <v>2305</v>
      </c>
      <c r="B3119" s="342" t="s">
        <v>2305</v>
      </c>
      <c r="C3119" s="342" t="str">
        <f>("EQ5ED1005PB")</f>
        <v>EQ5ED1005PB</v>
      </c>
      <c r="D3119" s="340">
        <v>50850</v>
      </c>
      <c r="E3119" s="343"/>
    </row>
    <row r="3120" spans="1:5" s="335" customFormat="1" ht="36">
      <c r="A3120" s="342" t="s">
        <v>2306</v>
      </c>
      <c r="B3120" s="342" t="s">
        <v>2306</v>
      </c>
      <c r="C3120" s="342" t="str">
        <f>("EQ5ED5003PB")</f>
        <v>EQ5ED5003PB</v>
      </c>
      <c r="D3120" s="340">
        <v>198302</v>
      </c>
      <c r="E3120" s="343"/>
    </row>
    <row r="3121" spans="1:5" s="335" customFormat="1" ht="36">
      <c r="A3121" s="342" t="s">
        <v>2307</v>
      </c>
      <c r="B3121" s="342" t="s">
        <v>2307</v>
      </c>
      <c r="C3121" s="342" t="str">
        <f>("EQ5ED5004PB")</f>
        <v>EQ5ED5004PB</v>
      </c>
      <c r="D3121" s="340">
        <v>213556</v>
      </c>
      <c r="E3121" s="343"/>
    </row>
    <row r="3122" spans="1:5" s="335" customFormat="1" ht="36">
      <c r="A3122" s="342" t="s">
        <v>2308</v>
      </c>
      <c r="B3122" s="342" t="s">
        <v>2308</v>
      </c>
      <c r="C3122" s="342" t="str">
        <f>("EQ5ED5005PB")</f>
        <v>EQ5ED5005PB</v>
      </c>
      <c r="D3122" s="340">
        <v>228810</v>
      </c>
      <c r="E3122" s="343"/>
    </row>
    <row r="3123" spans="1:5" s="335" customFormat="1" ht="48">
      <c r="A3123" s="342" t="s">
        <v>2309</v>
      </c>
      <c r="B3123" s="342" t="s">
        <v>2309</v>
      </c>
      <c r="C3123" s="342" t="str">
        <f>("EQ5EDOXU3PB")</f>
        <v>EQ5EDOXU3PB</v>
      </c>
      <c r="D3123" s="340">
        <v>2580</v>
      </c>
      <c r="E3123" s="343"/>
    </row>
    <row r="3124" spans="1:5" s="335" customFormat="1" ht="48">
      <c r="A3124" s="342" t="s">
        <v>2310</v>
      </c>
      <c r="B3124" s="342" t="s">
        <v>2310</v>
      </c>
      <c r="C3124" s="342" t="str">
        <f>("EQ5EDOXU4PB")</f>
        <v>EQ5EDOXU4PB</v>
      </c>
      <c r="D3124" s="340">
        <v>3010</v>
      </c>
      <c r="E3124" s="343"/>
    </row>
    <row r="3125" spans="1:5" s="335" customFormat="1" ht="48">
      <c r="A3125" s="342" t="s">
        <v>2311</v>
      </c>
      <c r="B3125" s="342" t="s">
        <v>2311</v>
      </c>
      <c r="C3125" s="342" t="str">
        <f>("EQ5EDOXU5PB")</f>
        <v>EQ5EDOXU5PB</v>
      </c>
      <c r="D3125" s="340">
        <v>3440</v>
      </c>
      <c r="E3125" s="343"/>
    </row>
    <row r="3126" spans="1:5" s="335" customFormat="1" ht="36">
      <c r="A3126" s="342" t="s">
        <v>2312</v>
      </c>
      <c r="B3126" s="342" t="s">
        <v>2312</v>
      </c>
      <c r="C3126" s="342" t="str">
        <f>("EQ5EL0013PB")</f>
        <v>EQ5EL0013PB</v>
      </c>
      <c r="D3126" s="340">
        <v>245</v>
      </c>
      <c r="E3126" s="343"/>
    </row>
    <row r="3127" spans="1:5" s="335" customFormat="1" ht="36">
      <c r="A3127" s="342" t="s">
        <v>2313</v>
      </c>
      <c r="B3127" s="342" t="s">
        <v>2313</v>
      </c>
      <c r="C3127" s="342" t="str">
        <f>("EQ5EL0014PB")</f>
        <v>EQ5EL0014PB</v>
      </c>
      <c r="D3127" s="340">
        <v>295</v>
      </c>
      <c r="E3127" s="343"/>
    </row>
    <row r="3128" spans="1:5" s="335" customFormat="1" ht="36">
      <c r="A3128" s="342" t="s">
        <v>2314</v>
      </c>
      <c r="B3128" s="342" t="s">
        <v>2314</v>
      </c>
      <c r="C3128" s="342" t="str">
        <f>("EQ5EL0015PB")</f>
        <v>EQ5EL0015PB</v>
      </c>
      <c r="D3128" s="340">
        <v>345</v>
      </c>
      <c r="E3128" s="343"/>
    </row>
    <row r="3129" spans="1:5" s="335" customFormat="1" ht="36">
      <c r="A3129" s="342" t="s">
        <v>2315</v>
      </c>
      <c r="B3129" s="342" t="s">
        <v>2315</v>
      </c>
      <c r="C3129" s="342" t="str">
        <f>("EQ5EL0103PB")</f>
        <v>EQ5EL0103PB</v>
      </c>
      <c r="D3129" s="340">
        <v>2240</v>
      </c>
      <c r="E3129" s="343"/>
    </row>
    <row r="3130" spans="1:5" s="335" customFormat="1" ht="36">
      <c r="A3130" s="342" t="s">
        <v>2316</v>
      </c>
      <c r="B3130" s="342" t="s">
        <v>2316</v>
      </c>
      <c r="C3130" s="342" t="str">
        <f>("EQ5EL0104PB")</f>
        <v>EQ5EL0104PB</v>
      </c>
      <c r="D3130" s="340">
        <v>2670</v>
      </c>
      <c r="E3130" s="343"/>
    </row>
    <row r="3131" spans="1:5" s="335" customFormat="1" ht="36">
      <c r="A3131" s="342" t="s">
        <v>2317</v>
      </c>
      <c r="B3131" s="342" t="s">
        <v>2317</v>
      </c>
      <c r="C3131" s="342" t="str">
        <f>("EQ5EL0105PB")</f>
        <v>EQ5EL0105PB</v>
      </c>
      <c r="D3131" s="340">
        <v>3100</v>
      </c>
      <c r="E3131" s="343"/>
    </row>
    <row r="3132" spans="1:5" s="335" customFormat="1" ht="48">
      <c r="A3132" s="342" t="s">
        <v>2318</v>
      </c>
      <c r="B3132" s="342" t="s">
        <v>2318</v>
      </c>
      <c r="C3132" s="342" t="str">
        <f>("EQ5EL01U3PB")</f>
        <v>EQ5EL01U3PB</v>
      </c>
      <c r="D3132" s="340">
        <v>179</v>
      </c>
      <c r="E3132" s="343"/>
    </row>
    <row r="3133" spans="1:5" s="335" customFormat="1" ht="48">
      <c r="A3133" s="342" t="s">
        <v>2319</v>
      </c>
      <c r="B3133" s="342" t="s">
        <v>2319</v>
      </c>
      <c r="C3133" s="342" t="str">
        <f>("EQ5EL01U4PB")</f>
        <v>EQ5EL01U4PB</v>
      </c>
      <c r="D3133" s="340">
        <v>229</v>
      </c>
      <c r="E3133" s="343"/>
    </row>
    <row r="3134" spans="1:5" s="335" customFormat="1" ht="48">
      <c r="A3134" s="342" t="s">
        <v>2320</v>
      </c>
      <c r="B3134" s="342" t="s">
        <v>2320</v>
      </c>
      <c r="C3134" s="342" t="str">
        <f>("EQ5EL01U5PB")</f>
        <v>EQ5EL01U5PB</v>
      </c>
      <c r="D3134" s="340">
        <v>279</v>
      </c>
      <c r="E3134" s="343"/>
    </row>
    <row r="3135" spans="1:5" s="335" customFormat="1" ht="60">
      <c r="A3135" s="342" t="s">
        <v>2321</v>
      </c>
      <c r="B3135" s="342" t="s">
        <v>2321</v>
      </c>
      <c r="C3135" s="342" t="str">
        <f>("EQ5EL0CU3PB")</f>
        <v>EQ5EL0CU3PB</v>
      </c>
      <c r="D3135" s="340">
        <v>13020</v>
      </c>
      <c r="E3135" s="343"/>
    </row>
    <row r="3136" spans="1:5" s="335" customFormat="1" ht="60">
      <c r="A3136" s="342" t="s">
        <v>2322</v>
      </c>
      <c r="B3136" s="342" t="s">
        <v>2322</v>
      </c>
      <c r="C3136" s="342" t="str">
        <f>("EQ5EL0CU4PB")</f>
        <v>EQ5EL0CU4PB</v>
      </c>
      <c r="D3136" s="340">
        <v>16410</v>
      </c>
      <c r="E3136" s="343"/>
    </row>
    <row r="3137" spans="1:5" s="335" customFormat="1" ht="60">
      <c r="A3137" s="342" t="s">
        <v>2323</v>
      </c>
      <c r="B3137" s="342" t="s">
        <v>2323</v>
      </c>
      <c r="C3137" s="342" t="str">
        <f>("EQ5EL0CU5PB")</f>
        <v>EQ5EL0CU5PB</v>
      </c>
      <c r="D3137" s="340">
        <v>19800</v>
      </c>
      <c r="E3137" s="343"/>
    </row>
    <row r="3138" spans="1:5" s="335" customFormat="1" ht="48">
      <c r="A3138" s="342" t="s">
        <v>2324</v>
      </c>
      <c r="B3138" s="342" t="s">
        <v>2324</v>
      </c>
      <c r="C3138" s="342" t="str">
        <f>("EQ5EL0XU3PB")</f>
        <v>EQ5EL0XU3PB</v>
      </c>
      <c r="D3138" s="340">
        <v>1575</v>
      </c>
      <c r="E3138" s="343"/>
    </row>
    <row r="3139" spans="1:5" s="335" customFormat="1" ht="48">
      <c r="A3139" s="342" t="s">
        <v>2325</v>
      </c>
      <c r="B3139" s="342" t="s">
        <v>2325</v>
      </c>
      <c r="C3139" s="342" t="str">
        <f>("EQ5EL0XU4PB")</f>
        <v>EQ5EL0XU4PB</v>
      </c>
      <c r="D3139" s="340">
        <v>2005</v>
      </c>
      <c r="E3139" s="343"/>
    </row>
    <row r="3140" spans="1:5" s="335" customFormat="1" ht="48">
      <c r="A3140" s="342" t="s">
        <v>2326</v>
      </c>
      <c r="B3140" s="342" t="s">
        <v>2326</v>
      </c>
      <c r="C3140" s="342" t="str">
        <f>("EQ5EL0XU5PB")</f>
        <v>EQ5EL0XU5PB</v>
      </c>
      <c r="D3140" s="340">
        <v>2435</v>
      </c>
      <c r="E3140" s="343"/>
    </row>
    <row r="3141" spans="1:5" s="335" customFormat="1" ht="48">
      <c r="A3141" s="342" t="s">
        <v>2327</v>
      </c>
      <c r="B3141" s="342" t="s">
        <v>2327</v>
      </c>
      <c r="C3141" s="342" t="str">
        <f>("EQ5EL1003PB")</f>
        <v>EQ5EL1003PB</v>
      </c>
      <c r="D3141" s="340">
        <v>19670</v>
      </c>
      <c r="E3141" s="343"/>
    </row>
    <row r="3142" spans="1:5" s="335" customFormat="1" ht="48">
      <c r="A3142" s="342" t="s">
        <v>2328</v>
      </c>
      <c r="B3142" s="342" t="s">
        <v>2328</v>
      </c>
      <c r="C3142" s="342" t="str">
        <f>("EQ5EL1004PB")</f>
        <v>EQ5EL1004PB</v>
      </c>
      <c r="D3142" s="340">
        <v>23060</v>
      </c>
      <c r="E3142" s="343"/>
    </row>
    <row r="3143" spans="1:5" s="335" customFormat="1" ht="48">
      <c r="A3143" s="342" t="s">
        <v>2329</v>
      </c>
      <c r="B3143" s="342" t="s">
        <v>2329</v>
      </c>
      <c r="C3143" s="342" t="str">
        <f>("EQ5EL1005PB")</f>
        <v>EQ5EL1005PB</v>
      </c>
      <c r="D3143" s="340">
        <v>26450</v>
      </c>
      <c r="E3143" s="343"/>
    </row>
    <row r="3144" spans="1:5" s="335" customFormat="1" ht="12.75">
      <c r="A3144" s="403" t="s">
        <v>2330</v>
      </c>
      <c r="B3144" s="403"/>
      <c r="C3144" s="403"/>
      <c r="D3144" s="403"/>
      <c r="E3144" s="343"/>
    </row>
    <row r="3145" spans="1:5" s="335" customFormat="1" ht="36">
      <c r="A3145" s="342" t="s">
        <v>2331</v>
      </c>
      <c r="B3145" s="342" t="s">
        <v>2332</v>
      </c>
      <c r="C3145" s="342" t="str">
        <f>("EQINS1HR")</f>
        <v>EQINS1HR</v>
      </c>
      <c r="D3145" s="340">
        <v>200</v>
      </c>
      <c r="E3145" s="343"/>
    </row>
    <row r="3146" spans="1:5" s="335" customFormat="1" ht="12.75">
      <c r="A3146" s="403" t="s">
        <v>2333</v>
      </c>
      <c r="B3146" s="403"/>
      <c r="C3146" s="403"/>
      <c r="D3146" s="403"/>
      <c r="E3146" s="343"/>
    </row>
    <row r="3147" spans="1:5" s="335" customFormat="1" ht="60">
      <c r="A3147" s="342" t="s">
        <v>2334</v>
      </c>
      <c r="B3147" s="342" t="s">
        <v>2334</v>
      </c>
      <c r="C3147" s="342" t="str">
        <f>("EQ5EECE13PB")</f>
        <v>EQ5EECE13PB</v>
      </c>
      <c r="D3147" s="340">
        <v>15.41</v>
      </c>
      <c r="E3147" s="343"/>
    </row>
    <row r="3148" spans="1:5" s="335" customFormat="1" ht="60">
      <c r="A3148" s="342" t="s">
        <v>2335</v>
      </c>
      <c r="B3148" s="342" t="s">
        <v>2335</v>
      </c>
      <c r="C3148" s="342" t="str">
        <f>("EQ5EECE14PB")</f>
        <v>EQ5EECE14PB</v>
      </c>
      <c r="D3148" s="340">
        <v>16.59</v>
      </c>
      <c r="E3148" s="343"/>
    </row>
    <row r="3149" spans="1:5" s="335" customFormat="1" ht="60">
      <c r="A3149" s="342" t="s">
        <v>2336</v>
      </c>
      <c r="B3149" s="342" t="s">
        <v>2336</v>
      </c>
      <c r="C3149" s="342" t="str">
        <f>("EQ5EECE15PB")</f>
        <v>EQ5EECE15PB</v>
      </c>
      <c r="D3149" s="340">
        <v>17.78</v>
      </c>
      <c r="E3149" s="343"/>
    </row>
    <row r="3150" spans="1:5" s="335" customFormat="1" ht="60">
      <c r="A3150" s="342" t="s">
        <v>2337</v>
      </c>
      <c r="B3150" s="342" t="s">
        <v>2337</v>
      </c>
      <c r="C3150" s="342" t="str">
        <f>("EQ5EECE23PB")</f>
        <v>EQ5EECE23PB</v>
      </c>
      <c r="D3150" s="340">
        <v>13.26</v>
      </c>
      <c r="E3150" s="343"/>
    </row>
    <row r="3151" spans="1:5" s="335" customFormat="1" ht="60">
      <c r="A3151" s="342" t="s">
        <v>2338</v>
      </c>
      <c r="B3151" s="342" t="s">
        <v>2338</v>
      </c>
      <c r="C3151" s="342" t="str">
        <f>("EQ5EECE24PB")</f>
        <v>EQ5EECE24PB</v>
      </c>
      <c r="D3151" s="340">
        <v>14.28</v>
      </c>
      <c r="E3151" s="343"/>
    </row>
    <row r="3152" spans="1:5" s="335" customFormat="1" ht="60">
      <c r="A3152" s="342" t="s">
        <v>2339</v>
      </c>
      <c r="B3152" s="342" t="s">
        <v>2339</v>
      </c>
      <c r="C3152" s="342" t="str">
        <f>("EQ5EECE25PB")</f>
        <v>EQ5EECE25PB</v>
      </c>
      <c r="D3152" s="340">
        <v>15.3</v>
      </c>
      <c r="E3152" s="343"/>
    </row>
    <row r="3153" spans="1:5" s="335" customFormat="1" ht="60">
      <c r="A3153" s="342" t="s">
        <v>2340</v>
      </c>
      <c r="B3153" s="342" t="s">
        <v>2340</v>
      </c>
      <c r="C3153" s="342" t="str">
        <f>("EQ5EECE33PB")</f>
        <v>EQ5EECE33PB</v>
      </c>
      <c r="D3153" s="340">
        <v>11.57</v>
      </c>
      <c r="E3153" s="343"/>
    </row>
    <row r="3154" spans="1:5" s="335" customFormat="1" ht="60">
      <c r="A3154" s="342" t="s">
        <v>2341</v>
      </c>
      <c r="B3154" s="342" t="s">
        <v>2341</v>
      </c>
      <c r="C3154" s="342" t="str">
        <f>("EQ5EECE34PB")</f>
        <v>EQ5EECE34PB</v>
      </c>
      <c r="D3154" s="340">
        <v>12.46</v>
      </c>
      <c r="E3154" s="343"/>
    </row>
    <row r="3155" spans="1:5" s="335" customFormat="1" ht="60">
      <c r="A3155" s="342" t="s">
        <v>2342</v>
      </c>
      <c r="B3155" s="342" t="s">
        <v>2342</v>
      </c>
      <c r="C3155" s="342" t="str">
        <f>("EQ5EECE35PB")</f>
        <v>EQ5EECE35PB</v>
      </c>
      <c r="D3155" s="340">
        <v>13.35</v>
      </c>
      <c r="E3155" s="343"/>
    </row>
    <row r="3156" spans="1:5" s="335" customFormat="1" ht="60">
      <c r="A3156" s="342" t="s">
        <v>2343</v>
      </c>
      <c r="B3156" s="342" t="s">
        <v>2343</v>
      </c>
      <c r="C3156" s="342" t="str">
        <f>("EQ5EECE43PB")</f>
        <v>EQ5EECE43PB</v>
      </c>
      <c r="D3156" s="340">
        <v>10.47</v>
      </c>
      <c r="E3156" s="343"/>
    </row>
    <row r="3157" spans="1:5" s="335" customFormat="1" ht="60">
      <c r="A3157" s="342" t="s">
        <v>2344</v>
      </c>
      <c r="B3157" s="342" t="s">
        <v>2344</v>
      </c>
      <c r="C3157" s="342" t="str">
        <f>("EQ5EECE44PB")</f>
        <v>EQ5EECE44PB</v>
      </c>
      <c r="D3157" s="340">
        <v>11.27</v>
      </c>
      <c r="E3157" s="343"/>
    </row>
    <row r="3158" spans="1:5" s="335" customFormat="1" ht="60">
      <c r="A3158" s="342" t="s">
        <v>2345</v>
      </c>
      <c r="B3158" s="342" t="s">
        <v>2345</v>
      </c>
      <c r="C3158" s="342" t="str">
        <f>("EQ5EECE45PB")</f>
        <v>EQ5EECE45PB</v>
      </c>
      <c r="D3158" s="340">
        <v>12.08</v>
      </c>
      <c r="E3158" s="343"/>
    </row>
    <row r="3159" spans="1:5" s="335" customFormat="1" ht="60">
      <c r="A3159" s="342" t="s">
        <v>2346</v>
      </c>
      <c r="B3159" s="342" t="s">
        <v>2346</v>
      </c>
      <c r="C3159" s="342" t="str">
        <f>("EQ5EECE53PB")</f>
        <v>EQ5EECE53PB</v>
      </c>
      <c r="D3159" s="340">
        <v>9.36</v>
      </c>
      <c r="E3159" s="343"/>
    </row>
    <row r="3160" spans="1:5" s="335" customFormat="1" ht="60">
      <c r="A3160" s="342" t="s">
        <v>2347</v>
      </c>
      <c r="B3160" s="342" t="s">
        <v>2347</v>
      </c>
      <c r="C3160" s="342" t="str">
        <f>("EQ5EECE54PB")</f>
        <v>EQ5EECE54PB</v>
      </c>
      <c r="D3160" s="340">
        <v>10.08</v>
      </c>
      <c r="E3160" s="343"/>
    </row>
    <row r="3161" spans="1:5" s="335" customFormat="1" ht="60">
      <c r="A3161" s="342" t="s">
        <v>2348</v>
      </c>
      <c r="B3161" s="342" t="s">
        <v>2348</v>
      </c>
      <c r="C3161" s="342" t="str">
        <f>("EQ5EECE55PB")</f>
        <v>EQ5EECE55PB</v>
      </c>
      <c r="D3161" s="340">
        <v>10.8</v>
      </c>
      <c r="E3161" s="343"/>
    </row>
    <row r="3162" spans="1:5" s="335" customFormat="1" ht="60">
      <c r="A3162" s="342" t="s">
        <v>2349</v>
      </c>
      <c r="B3162" s="342" t="s">
        <v>2349</v>
      </c>
      <c r="C3162" s="342" t="str">
        <f>("EQ5EECEK3PB")</f>
        <v>EQ5EECEK3PB</v>
      </c>
      <c r="D3162" s="340">
        <v>22.62</v>
      </c>
      <c r="E3162" s="343"/>
    </row>
    <row r="3163" spans="1:5" s="335" customFormat="1" ht="60">
      <c r="A3163" s="342" t="s">
        <v>2350</v>
      </c>
      <c r="B3163" s="342" t="s">
        <v>2350</v>
      </c>
      <c r="C3163" s="342" t="str">
        <f>("EQ5EECEK4PB")</f>
        <v>EQ5EECEK4PB</v>
      </c>
      <c r="D3163" s="340">
        <v>24.36</v>
      </c>
      <c r="E3163" s="343"/>
    </row>
    <row r="3164" spans="1:5" s="335" customFormat="1" ht="60">
      <c r="A3164" s="342" t="s">
        <v>2351</v>
      </c>
      <c r="B3164" s="342" t="s">
        <v>2351</v>
      </c>
      <c r="C3164" s="342" t="str">
        <f>("EQ5EECEK5PB")</f>
        <v>EQ5EECEK5PB</v>
      </c>
      <c r="D3164" s="340">
        <v>26.1</v>
      </c>
      <c r="E3164" s="343"/>
    </row>
    <row r="3165" spans="1:5" s="335" customFormat="1" ht="72">
      <c r="A3165" s="342" t="s">
        <v>2352</v>
      </c>
      <c r="B3165" s="342" t="s">
        <v>2352</v>
      </c>
      <c r="C3165" s="342" t="str">
        <f>("EQ5EECU13PB")</f>
        <v>EQ5EECU13PB</v>
      </c>
      <c r="D3165" s="340">
        <v>7.11</v>
      </c>
      <c r="E3165" s="343"/>
    </row>
    <row r="3166" spans="1:5" s="335" customFormat="1" ht="72">
      <c r="A3166" s="342" t="s">
        <v>2353</v>
      </c>
      <c r="B3166" s="342" t="s">
        <v>2353</v>
      </c>
      <c r="C3166" s="342" t="str">
        <f>("EQ5EECU14PB")</f>
        <v>EQ5EECU14PB</v>
      </c>
      <c r="D3166" s="340">
        <v>8.3000000000000007</v>
      </c>
      <c r="E3166" s="343"/>
    </row>
    <row r="3167" spans="1:5" s="335" customFormat="1" ht="72">
      <c r="A3167" s="342" t="s">
        <v>2354</v>
      </c>
      <c r="B3167" s="342" t="s">
        <v>2354</v>
      </c>
      <c r="C3167" s="342" t="str">
        <f>("EQ5EECU15PB")</f>
        <v>EQ5EECU15PB</v>
      </c>
      <c r="D3167" s="340">
        <v>9.48</v>
      </c>
      <c r="E3167" s="343"/>
    </row>
    <row r="3168" spans="1:5" s="335" customFormat="1" ht="72">
      <c r="A3168" s="342" t="s">
        <v>2355</v>
      </c>
      <c r="B3168" s="342" t="s">
        <v>2355</v>
      </c>
      <c r="C3168" s="342" t="str">
        <f>("EQ5EECU23PB")</f>
        <v>EQ5EECU23PB</v>
      </c>
      <c r="D3168" s="340">
        <v>6.12</v>
      </c>
      <c r="E3168" s="343"/>
    </row>
    <row r="3169" spans="1:5" s="335" customFormat="1" ht="72">
      <c r="A3169" s="342" t="s">
        <v>2356</v>
      </c>
      <c r="B3169" s="342" t="s">
        <v>2356</v>
      </c>
      <c r="C3169" s="342" t="str">
        <f>("EQ5EECU24PB")</f>
        <v>EQ5EECU24PB</v>
      </c>
      <c r="D3169" s="340">
        <v>7.14</v>
      </c>
      <c r="E3169" s="343"/>
    </row>
    <row r="3170" spans="1:5" s="335" customFormat="1" ht="72">
      <c r="A3170" s="342" t="s">
        <v>2357</v>
      </c>
      <c r="B3170" s="342" t="s">
        <v>2357</v>
      </c>
      <c r="C3170" s="342" t="str">
        <f>("EQ5EECU25PB")</f>
        <v>EQ5EECU25PB</v>
      </c>
      <c r="D3170" s="340">
        <v>8.16</v>
      </c>
      <c r="E3170" s="343"/>
    </row>
    <row r="3171" spans="1:5" s="335" customFormat="1" ht="72">
      <c r="A3171" s="342" t="s">
        <v>2358</v>
      </c>
      <c r="B3171" s="342" t="s">
        <v>2358</v>
      </c>
      <c r="C3171" s="342" t="str">
        <f>("EQ5EECU33PB")</f>
        <v>EQ5EECU33PB</v>
      </c>
      <c r="D3171" s="340">
        <v>5.34</v>
      </c>
      <c r="E3171" s="343"/>
    </row>
    <row r="3172" spans="1:5" s="335" customFormat="1" ht="72">
      <c r="A3172" s="342" t="s">
        <v>2359</v>
      </c>
      <c r="B3172" s="342" t="s">
        <v>2359</v>
      </c>
      <c r="C3172" s="342" t="str">
        <f>("EQ5EECU34PB")</f>
        <v>EQ5EECU34PB</v>
      </c>
      <c r="D3172" s="340">
        <v>6.23</v>
      </c>
      <c r="E3172" s="343"/>
    </row>
    <row r="3173" spans="1:5" s="335" customFormat="1" ht="72">
      <c r="A3173" s="342" t="s">
        <v>2360</v>
      </c>
      <c r="B3173" s="342" t="s">
        <v>2360</v>
      </c>
      <c r="C3173" s="342" t="str">
        <f>("EQ5EECU35PB")</f>
        <v>EQ5EECU35PB</v>
      </c>
      <c r="D3173" s="340">
        <v>7.12</v>
      </c>
      <c r="E3173" s="343"/>
    </row>
    <row r="3174" spans="1:5" s="335" customFormat="1" ht="72">
      <c r="A3174" s="342" t="s">
        <v>2361</v>
      </c>
      <c r="B3174" s="342" t="s">
        <v>2361</v>
      </c>
      <c r="C3174" s="342" t="str">
        <f>("EQ5EECU43PB")</f>
        <v>EQ5EECU43PB</v>
      </c>
      <c r="D3174" s="340">
        <v>4.83</v>
      </c>
      <c r="E3174" s="343"/>
    </row>
    <row r="3175" spans="1:5" s="335" customFormat="1" ht="72">
      <c r="A3175" s="342" t="s">
        <v>2362</v>
      </c>
      <c r="B3175" s="342" t="s">
        <v>2362</v>
      </c>
      <c r="C3175" s="342" t="str">
        <f>("EQ5EECU44PB")</f>
        <v>EQ5EECU44PB</v>
      </c>
      <c r="D3175" s="340">
        <v>5.64</v>
      </c>
      <c r="E3175" s="343"/>
    </row>
    <row r="3176" spans="1:5" s="335" customFormat="1" ht="72">
      <c r="A3176" s="342" t="s">
        <v>2363</v>
      </c>
      <c r="B3176" s="342" t="s">
        <v>2363</v>
      </c>
      <c r="C3176" s="342" t="str">
        <f>("EQ5EECU45PB")</f>
        <v>EQ5EECU45PB</v>
      </c>
      <c r="D3176" s="340">
        <v>6.44</v>
      </c>
      <c r="E3176" s="343"/>
    </row>
    <row r="3177" spans="1:5" s="335" customFormat="1" ht="72">
      <c r="A3177" s="342" t="s">
        <v>2364</v>
      </c>
      <c r="B3177" s="342" t="s">
        <v>2364</v>
      </c>
      <c r="C3177" s="342" t="str">
        <f>("EQ5EECU53PB")</f>
        <v>EQ5EECU53PB</v>
      </c>
      <c r="D3177" s="340">
        <v>4.32</v>
      </c>
      <c r="E3177" s="343"/>
    </row>
    <row r="3178" spans="1:5" s="335" customFormat="1" ht="72">
      <c r="A3178" s="342" t="s">
        <v>2365</v>
      </c>
      <c r="B3178" s="342" t="s">
        <v>2365</v>
      </c>
      <c r="C3178" s="342" t="str">
        <f>("EQ5EECU54PB")</f>
        <v>EQ5EECU54PB</v>
      </c>
      <c r="D3178" s="340">
        <v>5.04</v>
      </c>
      <c r="E3178" s="343"/>
    </row>
    <row r="3179" spans="1:5" s="335" customFormat="1" ht="72">
      <c r="A3179" s="342" t="s">
        <v>2366</v>
      </c>
      <c r="B3179" s="342" t="s">
        <v>2366</v>
      </c>
      <c r="C3179" s="342" t="str">
        <f>("EQ5EECU55PB")</f>
        <v>EQ5EECU55PB</v>
      </c>
      <c r="D3179" s="340">
        <v>5.76</v>
      </c>
      <c r="E3179" s="343"/>
    </row>
    <row r="3180" spans="1:5" s="335" customFormat="1" ht="72">
      <c r="A3180" s="342" t="s">
        <v>2367</v>
      </c>
      <c r="B3180" s="342" t="s">
        <v>2367</v>
      </c>
      <c r="C3180" s="342" t="str">
        <f>("EQ5EECUK3PB")</f>
        <v>EQ5EECUK3PB</v>
      </c>
      <c r="D3180" s="340">
        <v>10.44</v>
      </c>
      <c r="E3180" s="343"/>
    </row>
    <row r="3181" spans="1:5" s="335" customFormat="1" ht="72">
      <c r="A3181" s="342" t="s">
        <v>2368</v>
      </c>
      <c r="B3181" s="342" t="s">
        <v>2368</v>
      </c>
      <c r="C3181" s="342" t="str">
        <f>("EQ5EECUK4PB")</f>
        <v>EQ5EECUK4PB</v>
      </c>
      <c r="D3181" s="340">
        <v>12.18</v>
      </c>
      <c r="E3181" s="343"/>
    </row>
    <row r="3182" spans="1:5" s="335" customFormat="1" ht="72">
      <c r="A3182" s="342" t="s">
        <v>2369</v>
      </c>
      <c r="B3182" s="342" t="s">
        <v>2369</v>
      </c>
      <c r="C3182" s="342" t="str">
        <f>("EQ5EECUK5PB")</f>
        <v>EQ5EECUK5PB</v>
      </c>
      <c r="D3182" s="340">
        <v>13.92</v>
      </c>
      <c r="E3182" s="343"/>
    </row>
    <row r="3183" spans="1:5" s="335" customFormat="1" ht="60">
      <c r="A3183" s="342" t="s">
        <v>2370</v>
      </c>
      <c r="B3183" s="342" t="s">
        <v>2370</v>
      </c>
      <c r="C3183" s="342" t="str">
        <f>("EQ5EENC13PB")</f>
        <v>EQ5EENC13PB</v>
      </c>
      <c r="D3183" s="340">
        <v>9.36</v>
      </c>
      <c r="E3183" s="343"/>
    </row>
    <row r="3184" spans="1:5" s="335" customFormat="1" ht="60">
      <c r="A3184" s="342" t="s">
        <v>2371</v>
      </c>
      <c r="B3184" s="342" t="s">
        <v>2371</v>
      </c>
      <c r="C3184" s="342" t="str">
        <f>("EQ5EENC14PB")</f>
        <v>EQ5EENC14PB</v>
      </c>
      <c r="D3184" s="340">
        <v>10.08</v>
      </c>
      <c r="E3184" s="343"/>
    </row>
    <row r="3185" spans="1:5" s="335" customFormat="1" ht="60">
      <c r="A3185" s="342" t="s">
        <v>2372</v>
      </c>
      <c r="B3185" s="342" t="s">
        <v>2372</v>
      </c>
      <c r="C3185" s="342" t="str">
        <f>("EQ5EENC15PB")</f>
        <v>EQ5EENC15PB</v>
      </c>
      <c r="D3185" s="340">
        <v>10.8</v>
      </c>
      <c r="E3185" s="343"/>
    </row>
    <row r="3186" spans="1:5" s="335" customFormat="1" ht="60">
      <c r="A3186" s="342" t="s">
        <v>2373</v>
      </c>
      <c r="B3186" s="342" t="s">
        <v>2373</v>
      </c>
      <c r="C3186" s="342" t="str">
        <f>("EQ5EENC23PB")</f>
        <v>EQ5EENC23PB</v>
      </c>
      <c r="D3186" s="340">
        <v>8.26</v>
      </c>
      <c r="E3186" s="343"/>
    </row>
    <row r="3187" spans="1:5" s="335" customFormat="1" ht="60">
      <c r="A3187" s="342" t="s">
        <v>2374</v>
      </c>
      <c r="B3187" s="342" t="s">
        <v>2374</v>
      </c>
      <c r="C3187" s="342" t="str">
        <f>("EQ5EENC24PB")</f>
        <v>EQ5EENC24PB</v>
      </c>
      <c r="D3187" s="340">
        <v>8.89</v>
      </c>
      <c r="E3187" s="343"/>
    </row>
    <row r="3188" spans="1:5" s="335" customFormat="1" ht="60">
      <c r="A3188" s="342" t="s">
        <v>2375</v>
      </c>
      <c r="B3188" s="342" t="s">
        <v>2375</v>
      </c>
      <c r="C3188" s="342" t="str">
        <f>("EQ5EENC25PB")</f>
        <v>EQ5EENC25PB</v>
      </c>
      <c r="D3188" s="340">
        <v>9.5299999999999994</v>
      </c>
      <c r="E3188" s="343"/>
    </row>
    <row r="3189" spans="1:5" s="335" customFormat="1" ht="60">
      <c r="A3189" s="342" t="s">
        <v>2376</v>
      </c>
      <c r="B3189" s="342" t="s">
        <v>2376</v>
      </c>
      <c r="C3189" s="342" t="str">
        <f>("EQ5EENC33PB")</f>
        <v>EQ5EENC33PB</v>
      </c>
      <c r="D3189" s="340">
        <v>7.74</v>
      </c>
      <c r="E3189" s="343"/>
    </row>
    <row r="3190" spans="1:5" s="335" customFormat="1" ht="60">
      <c r="A3190" s="342" t="s">
        <v>2377</v>
      </c>
      <c r="B3190" s="342" t="s">
        <v>2377</v>
      </c>
      <c r="C3190" s="342" t="str">
        <f>("EQ5EENC34PB")</f>
        <v>EQ5EENC34PB</v>
      </c>
      <c r="D3190" s="340">
        <v>8.33</v>
      </c>
      <c r="E3190" s="343"/>
    </row>
    <row r="3191" spans="1:5" s="335" customFormat="1" ht="60">
      <c r="A3191" s="342" t="s">
        <v>2378</v>
      </c>
      <c r="B3191" s="342" t="s">
        <v>2378</v>
      </c>
      <c r="C3191" s="342" t="str">
        <f>("EQ5EENC35PB")</f>
        <v>EQ5EENC35PB</v>
      </c>
      <c r="D3191" s="340">
        <v>8.93</v>
      </c>
      <c r="E3191" s="343"/>
    </row>
    <row r="3192" spans="1:5" s="335" customFormat="1" ht="60">
      <c r="A3192" s="342" t="s">
        <v>2379</v>
      </c>
      <c r="B3192" s="342" t="s">
        <v>2379</v>
      </c>
      <c r="C3192" s="342" t="str">
        <f>("EQ5EENC43PB")</f>
        <v>EQ5EENC43PB</v>
      </c>
      <c r="D3192" s="340">
        <v>7.15</v>
      </c>
      <c r="E3192" s="343"/>
    </row>
    <row r="3193" spans="1:5" s="335" customFormat="1" ht="60">
      <c r="A3193" s="342" t="s">
        <v>2380</v>
      </c>
      <c r="B3193" s="342" t="s">
        <v>2380</v>
      </c>
      <c r="C3193" s="342" t="str">
        <f>("EQ5EENC44PB")</f>
        <v>EQ5EENC44PB</v>
      </c>
      <c r="D3193" s="340">
        <v>7.7</v>
      </c>
      <c r="E3193" s="343"/>
    </row>
    <row r="3194" spans="1:5" s="335" customFormat="1" ht="60">
      <c r="A3194" s="342" t="s">
        <v>2381</v>
      </c>
      <c r="B3194" s="342" t="s">
        <v>2381</v>
      </c>
      <c r="C3194" s="342" t="str">
        <f>("EQ5EENC45PB")</f>
        <v>EQ5EENC45PB</v>
      </c>
      <c r="D3194" s="340">
        <v>8.23</v>
      </c>
      <c r="E3194" s="343"/>
    </row>
    <row r="3195" spans="1:5" s="335" customFormat="1" ht="60">
      <c r="A3195" s="342" t="s">
        <v>2382</v>
      </c>
      <c r="B3195" s="342" t="s">
        <v>2382</v>
      </c>
      <c r="C3195" s="342" t="str">
        <f>("EQ5EENC53PB")</f>
        <v>EQ5EENC53PB</v>
      </c>
      <c r="D3195" s="340">
        <v>6.63</v>
      </c>
      <c r="E3195" s="343"/>
    </row>
    <row r="3196" spans="1:5" s="335" customFormat="1" ht="60">
      <c r="A3196" s="342" t="s">
        <v>2383</v>
      </c>
      <c r="B3196" s="342" t="s">
        <v>2383</v>
      </c>
      <c r="C3196" s="342" t="str">
        <f>("EQ5EENC54PB")</f>
        <v>EQ5EENC54PB</v>
      </c>
      <c r="D3196" s="340">
        <v>7.14</v>
      </c>
      <c r="E3196" s="343"/>
    </row>
    <row r="3197" spans="1:5" s="335" customFormat="1" ht="60">
      <c r="A3197" s="342" t="s">
        <v>2384</v>
      </c>
      <c r="B3197" s="342" t="s">
        <v>2384</v>
      </c>
      <c r="C3197" s="342" t="str">
        <f>("EQ5EENC55PB")</f>
        <v>EQ5EENC55PB</v>
      </c>
      <c r="D3197" s="340">
        <v>7.65</v>
      </c>
      <c r="E3197" s="343"/>
    </row>
    <row r="3198" spans="1:5" s="335" customFormat="1" ht="60">
      <c r="A3198" s="342" t="s">
        <v>2385</v>
      </c>
      <c r="B3198" s="342" t="s">
        <v>2385</v>
      </c>
      <c r="C3198" s="342" t="str">
        <f>("EQ5EENCK3PB")</f>
        <v>EQ5EENCK3PB</v>
      </c>
      <c r="D3198" s="340">
        <v>13.78</v>
      </c>
      <c r="E3198" s="343"/>
    </row>
    <row r="3199" spans="1:5" s="335" customFormat="1" ht="60">
      <c r="A3199" s="342" t="s">
        <v>2386</v>
      </c>
      <c r="B3199" s="342" t="s">
        <v>2386</v>
      </c>
      <c r="C3199" s="342" t="str">
        <f>("EQ5EENCK4PB")</f>
        <v>EQ5EENCK4PB</v>
      </c>
      <c r="D3199" s="340">
        <v>14.84</v>
      </c>
      <c r="E3199" s="343"/>
    </row>
    <row r="3200" spans="1:5" s="335" customFormat="1" ht="60">
      <c r="A3200" s="342" t="s">
        <v>2387</v>
      </c>
      <c r="B3200" s="342" t="s">
        <v>2387</v>
      </c>
      <c r="C3200" s="342" t="str">
        <f>("EQ5EENCK5PB")</f>
        <v>EQ5EENCK5PB</v>
      </c>
      <c r="D3200" s="340">
        <v>15.9</v>
      </c>
      <c r="E3200" s="343"/>
    </row>
    <row r="3201" spans="1:5" s="335" customFormat="1" ht="72">
      <c r="A3201" s="342" t="s">
        <v>2388</v>
      </c>
      <c r="B3201" s="342" t="s">
        <v>2388</v>
      </c>
      <c r="C3201" s="342" t="str">
        <f>("EQ5EENU13PB")</f>
        <v>EQ5EENU13PB</v>
      </c>
      <c r="D3201" s="340">
        <v>4.32</v>
      </c>
      <c r="E3201" s="343"/>
    </row>
    <row r="3202" spans="1:5" s="335" customFormat="1" ht="72">
      <c r="A3202" s="342" t="s">
        <v>2389</v>
      </c>
      <c r="B3202" s="342" t="s">
        <v>2389</v>
      </c>
      <c r="C3202" s="342" t="str">
        <f>("EQ5EENU14PB")</f>
        <v>EQ5EENU14PB</v>
      </c>
      <c r="D3202" s="340">
        <v>5.04</v>
      </c>
      <c r="E3202" s="343"/>
    </row>
    <row r="3203" spans="1:5" s="335" customFormat="1" ht="72">
      <c r="A3203" s="342" t="s">
        <v>2390</v>
      </c>
      <c r="B3203" s="342" t="s">
        <v>2390</v>
      </c>
      <c r="C3203" s="342" t="str">
        <f>("EQ5EENU15PB")</f>
        <v>EQ5EENU15PB</v>
      </c>
      <c r="D3203" s="340">
        <v>5.76</v>
      </c>
      <c r="E3203" s="343"/>
    </row>
    <row r="3204" spans="1:5" s="335" customFormat="1" ht="72">
      <c r="A3204" s="342" t="s">
        <v>2391</v>
      </c>
      <c r="B3204" s="342" t="s">
        <v>2391</v>
      </c>
      <c r="C3204" s="342" t="str">
        <f>("EQ5EENU23PB")</f>
        <v>EQ5EENU23PB</v>
      </c>
      <c r="D3204" s="340">
        <v>3.81</v>
      </c>
      <c r="E3204" s="343"/>
    </row>
    <row r="3205" spans="1:5" s="335" customFormat="1" ht="72">
      <c r="A3205" s="342" t="s">
        <v>2392</v>
      </c>
      <c r="B3205" s="342" t="s">
        <v>2392</v>
      </c>
      <c r="C3205" s="342" t="str">
        <f>("EQ5EENU24PB")</f>
        <v>EQ5EENU24PB</v>
      </c>
      <c r="D3205" s="340">
        <v>4.45</v>
      </c>
      <c r="E3205" s="343"/>
    </row>
    <row r="3206" spans="1:5" s="335" customFormat="1" ht="72">
      <c r="A3206" s="342" t="s">
        <v>2393</v>
      </c>
      <c r="B3206" s="342" t="s">
        <v>2393</v>
      </c>
      <c r="C3206" s="342" t="str">
        <f>("EQ5EENU25PB")</f>
        <v>EQ5EENU25PB</v>
      </c>
      <c r="D3206" s="340">
        <v>5.08</v>
      </c>
      <c r="E3206" s="343"/>
    </row>
    <row r="3207" spans="1:5" s="335" customFormat="1" ht="72">
      <c r="A3207" s="342" t="s">
        <v>2394</v>
      </c>
      <c r="B3207" s="342" t="s">
        <v>2394</v>
      </c>
      <c r="C3207" s="342" t="str">
        <f>("EQ5EENU33PB")</f>
        <v>EQ5EENU33PB</v>
      </c>
      <c r="D3207" s="340">
        <v>3.57</v>
      </c>
      <c r="E3207" s="343"/>
    </row>
    <row r="3208" spans="1:5" s="335" customFormat="1" ht="72">
      <c r="A3208" s="342" t="s">
        <v>2395</v>
      </c>
      <c r="B3208" s="342" t="s">
        <v>2395</v>
      </c>
      <c r="C3208" s="342" t="str">
        <f>("EQ5EENU34PB")</f>
        <v>EQ5EENU34PB</v>
      </c>
      <c r="D3208" s="340">
        <v>4.17</v>
      </c>
      <c r="E3208" s="343"/>
    </row>
    <row r="3209" spans="1:5" s="335" customFormat="1" ht="72">
      <c r="A3209" s="342" t="s">
        <v>2396</v>
      </c>
      <c r="B3209" s="342" t="s">
        <v>2396</v>
      </c>
      <c r="C3209" s="342" t="str">
        <f>("EQ5EENU35PB")</f>
        <v>EQ5EENU35PB</v>
      </c>
      <c r="D3209" s="340">
        <v>4.76</v>
      </c>
      <c r="E3209" s="343"/>
    </row>
    <row r="3210" spans="1:5" s="335" customFormat="1" ht="72">
      <c r="A3210" s="342" t="s">
        <v>2397</v>
      </c>
      <c r="B3210" s="342" t="s">
        <v>2397</v>
      </c>
      <c r="C3210" s="342" t="str">
        <f>("EQ5EENU43PB")</f>
        <v>EQ5EENU43PB</v>
      </c>
      <c r="D3210" s="340">
        <v>3.3</v>
      </c>
      <c r="E3210" s="343"/>
    </row>
    <row r="3211" spans="1:5" s="335" customFormat="1" ht="72">
      <c r="A3211" s="342" t="s">
        <v>2398</v>
      </c>
      <c r="B3211" s="342" t="s">
        <v>2398</v>
      </c>
      <c r="C3211" s="342" t="str">
        <f>("EQ5EENU44PB")</f>
        <v>EQ5EENU44PB</v>
      </c>
      <c r="D3211" s="340">
        <v>3.85</v>
      </c>
      <c r="E3211" s="343"/>
    </row>
    <row r="3212" spans="1:5" s="335" customFormat="1" ht="72">
      <c r="A3212" s="342" t="s">
        <v>2399</v>
      </c>
      <c r="B3212" s="342" t="s">
        <v>2399</v>
      </c>
      <c r="C3212" s="342" t="str">
        <f>("EQ5EENU45PB")</f>
        <v>EQ5EENU45PB</v>
      </c>
      <c r="D3212" s="340">
        <v>4.4000000000000004</v>
      </c>
      <c r="E3212" s="343"/>
    </row>
    <row r="3213" spans="1:5" s="335" customFormat="1" ht="72">
      <c r="A3213" s="342" t="s">
        <v>2400</v>
      </c>
      <c r="B3213" s="342" t="s">
        <v>2400</v>
      </c>
      <c r="C3213" s="342" t="str">
        <f>("EQ5EENU53PB")</f>
        <v>EQ5EENU53PB</v>
      </c>
      <c r="D3213" s="340">
        <v>3.06</v>
      </c>
      <c r="E3213" s="343"/>
    </row>
    <row r="3214" spans="1:5" s="335" customFormat="1" ht="72">
      <c r="A3214" s="342" t="s">
        <v>2401</v>
      </c>
      <c r="B3214" s="342" t="s">
        <v>2401</v>
      </c>
      <c r="C3214" s="342" t="str">
        <f>("EQ5EENU54PB")</f>
        <v>EQ5EENU54PB</v>
      </c>
      <c r="D3214" s="340">
        <v>3.57</v>
      </c>
      <c r="E3214" s="343"/>
    </row>
    <row r="3215" spans="1:5" s="335" customFormat="1" ht="72">
      <c r="A3215" s="342" t="s">
        <v>2402</v>
      </c>
      <c r="B3215" s="342" t="s">
        <v>2402</v>
      </c>
      <c r="C3215" s="342" t="str">
        <f>("EQ5EENU55PB")</f>
        <v>EQ5EENU55PB</v>
      </c>
      <c r="D3215" s="340">
        <v>4.08</v>
      </c>
      <c r="E3215" s="343"/>
    </row>
    <row r="3216" spans="1:5" s="335" customFormat="1" ht="72">
      <c r="A3216" s="342" t="s">
        <v>2403</v>
      </c>
      <c r="B3216" s="342" t="s">
        <v>2403</v>
      </c>
      <c r="C3216" s="342" t="str">
        <f>("EQ5EENUK3PB")</f>
        <v>EQ5EENUK3PB</v>
      </c>
      <c r="D3216" s="340">
        <v>6.36</v>
      </c>
      <c r="E3216" s="343"/>
    </row>
    <row r="3217" spans="1:5" s="335" customFormat="1" ht="72">
      <c r="A3217" s="342" t="s">
        <v>2404</v>
      </c>
      <c r="B3217" s="342" t="s">
        <v>2404</v>
      </c>
      <c r="C3217" s="342" t="str">
        <f>("EQ5EENUK4PB")</f>
        <v>EQ5EENUK4PB</v>
      </c>
      <c r="D3217" s="340">
        <v>7.42</v>
      </c>
      <c r="E3217" s="343"/>
    </row>
    <row r="3218" spans="1:5" s="335" customFormat="1" ht="72">
      <c r="A3218" s="342" t="s">
        <v>2405</v>
      </c>
      <c r="B3218" s="342" t="s">
        <v>2405</v>
      </c>
      <c r="C3218" s="342" t="str">
        <f>("EQ5EENUK5PB")</f>
        <v>EQ5EENUK5PB</v>
      </c>
      <c r="D3218" s="340">
        <v>8.48</v>
      </c>
      <c r="E3218" s="343"/>
    </row>
    <row r="3219" spans="1:5" s="335" customFormat="1" ht="12.75">
      <c r="A3219" s="403" t="s">
        <v>2406</v>
      </c>
      <c r="B3219" s="403"/>
      <c r="C3219" s="403"/>
      <c r="D3219" s="403"/>
      <c r="E3219" s="343"/>
    </row>
    <row r="3220" spans="1:5" s="335" customFormat="1" ht="36">
      <c r="A3220" s="342" t="s">
        <v>2407</v>
      </c>
      <c r="B3220" s="342" t="s">
        <v>2407</v>
      </c>
      <c r="C3220" s="342" t="str">
        <f>("EQ5RS0013PB")</f>
        <v>EQ5RS0013PB</v>
      </c>
      <c r="D3220" s="340">
        <v>767</v>
      </c>
      <c r="E3220" s="343"/>
    </row>
    <row r="3221" spans="1:5" s="335" customFormat="1" ht="36">
      <c r="A3221" s="342" t="s">
        <v>2408</v>
      </c>
      <c r="B3221" s="342" t="s">
        <v>2408</v>
      </c>
      <c r="C3221" s="342" t="str">
        <f>("EQ5RS0014PB")</f>
        <v>EQ5RS0014PB</v>
      </c>
      <c r="D3221" s="340">
        <v>826</v>
      </c>
      <c r="E3221" s="343"/>
    </row>
    <row r="3222" spans="1:5" s="335" customFormat="1" ht="36">
      <c r="A3222" s="342" t="s">
        <v>2409</v>
      </c>
      <c r="B3222" s="342" t="s">
        <v>2409</v>
      </c>
      <c r="C3222" s="342" t="str">
        <f>("EQ5RS0015PB")</f>
        <v>EQ5RS0015PB</v>
      </c>
      <c r="D3222" s="340">
        <v>885</v>
      </c>
      <c r="E3222" s="343"/>
    </row>
    <row r="3223" spans="1:5" s="335" customFormat="1" ht="36">
      <c r="A3223" s="342" t="s">
        <v>2410</v>
      </c>
      <c r="B3223" s="342" t="s">
        <v>2410</v>
      </c>
      <c r="C3223" s="342" t="str">
        <f>("EQ5RS0103PB")</f>
        <v>EQ5RS0103PB</v>
      </c>
      <c r="D3223" s="340">
        <v>6604</v>
      </c>
      <c r="E3223" s="343"/>
    </row>
    <row r="3224" spans="1:5" s="335" customFormat="1" ht="36">
      <c r="A3224" s="342" t="s">
        <v>2411</v>
      </c>
      <c r="B3224" s="342" t="s">
        <v>2411</v>
      </c>
      <c r="C3224" s="342" t="str">
        <f>("EQ5RS0104PB")</f>
        <v>EQ5RS0104PB</v>
      </c>
      <c r="D3224" s="340">
        <v>7112</v>
      </c>
      <c r="E3224" s="343"/>
    </row>
    <row r="3225" spans="1:5" s="335" customFormat="1" ht="36">
      <c r="A3225" s="342" t="s">
        <v>2412</v>
      </c>
      <c r="B3225" s="342" t="s">
        <v>2412</v>
      </c>
      <c r="C3225" s="342" t="str">
        <f>("EQ5RS0105PB")</f>
        <v>EQ5RS0105PB</v>
      </c>
      <c r="D3225" s="340">
        <v>7620</v>
      </c>
      <c r="E3225" s="343"/>
    </row>
    <row r="3226" spans="1:5" s="335" customFormat="1" ht="36">
      <c r="A3226" s="342" t="s">
        <v>2413</v>
      </c>
      <c r="B3226" s="342" t="s">
        <v>2413</v>
      </c>
      <c r="C3226" s="342" t="str">
        <f>("EQ5RS01U3PB")</f>
        <v>EQ5RS01U3PB</v>
      </c>
      <c r="D3226" s="340">
        <v>354</v>
      </c>
      <c r="E3226" s="343"/>
    </row>
    <row r="3227" spans="1:5" s="335" customFormat="1" ht="36">
      <c r="A3227" s="342" t="s">
        <v>2414</v>
      </c>
      <c r="B3227" s="342" t="s">
        <v>2414</v>
      </c>
      <c r="C3227" s="342" t="str">
        <f>("EQ5RS01U4PB")</f>
        <v>EQ5RS01U4PB</v>
      </c>
      <c r="D3227" s="340">
        <v>413</v>
      </c>
      <c r="E3227" s="343"/>
    </row>
    <row r="3228" spans="1:5" s="335" customFormat="1" ht="36">
      <c r="A3228" s="342" t="s">
        <v>2415</v>
      </c>
      <c r="B3228" s="342" t="s">
        <v>2415</v>
      </c>
      <c r="C3228" s="342" t="str">
        <f>("EQ5RS01U5PB")</f>
        <v>EQ5RS01U5PB</v>
      </c>
      <c r="D3228" s="340">
        <v>472</v>
      </c>
      <c r="E3228" s="343"/>
    </row>
    <row r="3229" spans="1:5" s="335" customFormat="1" ht="48">
      <c r="A3229" s="342" t="s">
        <v>2416</v>
      </c>
      <c r="B3229" s="342" t="s">
        <v>2416</v>
      </c>
      <c r="C3229" s="342" t="str">
        <f>("EQ5RSU103PB")</f>
        <v>EQ5RSU103PB</v>
      </c>
      <c r="D3229" s="340">
        <v>3048</v>
      </c>
      <c r="E3229" s="343"/>
    </row>
    <row r="3230" spans="1:5" s="335" customFormat="1" ht="48">
      <c r="A3230" s="342" t="s">
        <v>2417</v>
      </c>
      <c r="B3230" s="342" t="s">
        <v>2417</v>
      </c>
      <c r="C3230" s="342" t="str">
        <f>("EQ5RSU104PB")</f>
        <v>EQ5RSU104PB</v>
      </c>
      <c r="D3230" s="340">
        <v>3556</v>
      </c>
      <c r="E3230" s="343"/>
    </row>
    <row r="3231" spans="1:5" s="335" customFormat="1" ht="48">
      <c r="A3231" s="342" t="s">
        <v>2418</v>
      </c>
      <c r="B3231" s="342" t="s">
        <v>2418</v>
      </c>
      <c r="C3231" s="342" t="str">
        <f>("EQ5RSU105PB")</f>
        <v>EQ5RSU105PB</v>
      </c>
      <c r="D3231" s="340">
        <v>4064</v>
      </c>
      <c r="E3231" s="343"/>
    </row>
    <row r="3232" spans="1:5" s="335" customFormat="1" ht="36">
      <c r="A3232" s="342" t="s">
        <v>2419</v>
      </c>
      <c r="B3232" s="342" t="s">
        <v>2419</v>
      </c>
      <c r="C3232" s="342" t="str">
        <f>("EQ5WR0013PB")</f>
        <v>EQ5WR0013PB</v>
      </c>
      <c r="D3232" s="340">
        <v>359</v>
      </c>
      <c r="E3232" s="343"/>
    </row>
    <row r="3233" spans="1:5" s="335" customFormat="1" ht="36">
      <c r="A3233" s="342" t="s">
        <v>2420</v>
      </c>
      <c r="B3233" s="342" t="s">
        <v>2420</v>
      </c>
      <c r="C3233" s="342" t="str">
        <f>("EQ5WR0014PB")</f>
        <v>EQ5WR0014PB</v>
      </c>
      <c r="D3233" s="340">
        <v>387</v>
      </c>
      <c r="E3233" s="343"/>
    </row>
    <row r="3234" spans="1:5" s="335" customFormat="1" ht="36">
      <c r="A3234" s="342" t="s">
        <v>2421</v>
      </c>
      <c r="B3234" s="342" t="s">
        <v>2421</v>
      </c>
      <c r="C3234" s="342" t="str">
        <f>("EQ5WR0015PB")</f>
        <v>EQ5WR0015PB</v>
      </c>
      <c r="D3234" s="340">
        <v>415</v>
      </c>
      <c r="E3234" s="343"/>
    </row>
    <row r="3235" spans="1:5" s="335" customFormat="1" ht="36">
      <c r="A3235" s="342" t="s">
        <v>2422</v>
      </c>
      <c r="B3235" s="342" t="s">
        <v>2422</v>
      </c>
      <c r="C3235" s="342" t="str">
        <f>("EQ5WR0103PB")</f>
        <v>EQ5WR0103PB</v>
      </c>
      <c r="D3235" s="340">
        <v>2894</v>
      </c>
      <c r="E3235" s="343"/>
    </row>
    <row r="3236" spans="1:5" s="335" customFormat="1" ht="36">
      <c r="A3236" s="342" t="s">
        <v>2423</v>
      </c>
      <c r="B3236" s="342" t="s">
        <v>2423</v>
      </c>
      <c r="C3236" s="342" t="str">
        <f>("EQ5WR0104PB")</f>
        <v>EQ5WR0104PB</v>
      </c>
      <c r="D3236" s="340">
        <v>3117</v>
      </c>
      <c r="E3236" s="343"/>
    </row>
    <row r="3237" spans="1:5" s="335" customFormat="1" ht="36">
      <c r="A3237" s="342" t="s">
        <v>2424</v>
      </c>
      <c r="B3237" s="342" t="s">
        <v>2424</v>
      </c>
      <c r="C3237" s="342" t="str">
        <f>("EQ5WR0105PB")</f>
        <v>EQ5WR0105PB</v>
      </c>
      <c r="D3237" s="340">
        <v>3340</v>
      </c>
      <c r="E3237" s="343"/>
    </row>
    <row r="3238" spans="1:5" s="335" customFormat="1" ht="48">
      <c r="A3238" s="342" t="s">
        <v>2425</v>
      </c>
      <c r="B3238" s="342" t="s">
        <v>2425</v>
      </c>
      <c r="C3238" s="342" t="str">
        <f>("EQ5WR01U3PB")</f>
        <v>EQ5WR01U3PB</v>
      </c>
      <c r="D3238" s="340">
        <v>167</v>
      </c>
      <c r="E3238" s="343"/>
    </row>
    <row r="3239" spans="1:5" s="335" customFormat="1" ht="48">
      <c r="A3239" s="342" t="s">
        <v>2426</v>
      </c>
      <c r="B3239" s="342" t="s">
        <v>2426</v>
      </c>
      <c r="C3239" s="342" t="str">
        <f>("EQ5WR0CU3PB")</f>
        <v>EQ5WR0CU3PB</v>
      </c>
      <c r="D3239" s="340">
        <v>10170</v>
      </c>
      <c r="E3239" s="343"/>
    </row>
    <row r="3240" spans="1:5" s="335" customFormat="1" ht="48">
      <c r="A3240" s="342" t="s">
        <v>2427</v>
      </c>
      <c r="B3240" s="342" t="s">
        <v>2427</v>
      </c>
      <c r="C3240" s="342" t="str">
        <f>("EQ5WR0CU4PB")</f>
        <v>EQ5WR0CU4PB</v>
      </c>
      <c r="D3240" s="340">
        <v>11865</v>
      </c>
      <c r="E3240" s="343"/>
    </row>
    <row r="3241" spans="1:5" s="335" customFormat="1" ht="48">
      <c r="A3241" s="342" t="s">
        <v>2428</v>
      </c>
      <c r="B3241" s="342" t="s">
        <v>2428</v>
      </c>
      <c r="C3241" s="342" t="str">
        <f>("EQ5WR0DU3PB")</f>
        <v>EQ5WR0DU3PB</v>
      </c>
      <c r="D3241" s="340">
        <v>45762</v>
      </c>
      <c r="E3241" s="343"/>
    </row>
    <row r="3242" spans="1:5" s="335" customFormat="1" ht="48">
      <c r="A3242" s="342" t="s">
        <v>2429</v>
      </c>
      <c r="B3242" s="342" t="s">
        <v>2429</v>
      </c>
      <c r="C3242" s="342" t="str">
        <f>("EQ5WR0DU4PB")</f>
        <v>EQ5WR0DU4PB</v>
      </c>
      <c r="D3242" s="340">
        <v>53389</v>
      </c>
      <c r="E3242" s="343"/>
    </row>
    <row r="3243" spans="1:5" s="335" customFormat="1" ht="48">
      <c r="A3243" s="342" t="s">
        <v>2430</v>
      </c>
      <c r="B3243" s="342" t="s">
        <v>2430</v>
      </c>
      <c r="C3243" s="342" t="str">
        <f>("EQ5WR0DU5PB")</f>
        <v>EQ5WR0DU5PB</v>
      </c>
      <c r="D3243" s="340">
        <v>61016</v>
      </c>
      <c r="E3243" s="343"/>
    </row>
    <row r="3244" spans="1:5" s="335" customFormat="1" ht="48">
      <c r="A3244" s="342" t="s">
        <v>2431</v>
      </c>
      <c r="B3244" s="342" t="s">
        <v>2431</v>
      </c>
      <c r="C3244" s="342" t="str">
        <f>("EQ5WR0XU3PB")</f>
        <v>EQ5WR0XU3PB</v>
      </c>
      <c r="D3244" s="340">
        <v>1337</v>
      </c>
      <c r="E3244" s="343"/>
    </row>
    <row r="3245" spans="1:5" s="335" customFormat="1" ht="48">
      <c r="A3245" s="342" t="s">
        <v>2432</v>
      </c>
      <c r="B3245" s="342" t="s">
        <v>2432</v>
      </c>
      <c r="C3245" s="342" t="str">
        <f>("EQ5WR0XU4PB")</f>
        <v>EQ5WR0XU4PB</v>
      </c>
      <c r="D3245" s="340">
        <v>1560</v>
      </c>
      <c r="E3245" s="343"/>
    </row>
    <row r="3246" spans="1:5" s="335" customFormat="1" ht="48">
      <c r="A3246" s="342" t="s">
        <v>2433</v>
      </c>
      <c r="B3246" s="342" t="s">
        <v>2433</v>
      </c>
      <c r="C3246" s="342" t="str">
        <f>("EQ5WR0XU5PB")</f>
        <v>EQ5WR0XU5PB</v>
      </c>
      <c r="D3246" s="340">
        <v>1783</v>
      </c>
      <c r="E3246" s="343"/>
    </row>
    <row r="3247" spans="1:5" s="335" customFormat="1" ht="36">
      <c r="A3247" s="342" t="s">
        <v>2434</v>
      </c>
      <c r="B3247" s="342" t="s">
        <v>2434</v>
      </c>
      <c r="C3247" s="342" t="str">
        <f>("EQ5WR1003PB")</f>
        <v>EQ5WR1003PB</v>
      </c>
      <c r="D3247" s="340">
        <v>22035</v>
      </c>
      <c r="E3247" s="343"/>
    </row>
    <row r="3248" spans="1:5" s="335" customFormat="1" ht="36">
      <c r="A3248" s="342" t="s">
        <v>2435</v>
      </c>
      <c r="B3248" s="342" t="s">
        <v>2435</v>
      </c>
      <c r="C3248" s="342" t="str">
        <f>("EQ5WR1004PB")</f>
        <v>EQ5WR1004PB</v>
      </c>
      <c r="D3248" s="340">
        <v>23730</v>
      </c>
      <c r="E3248" s="343"/>
    </row>
    <row r="3249" spans="1:5" s="335" customFormat="1" ht="36">
      <c r="A3249" s="342" t="s">
        <v>2436</v>
      </c>
      <c r="B3249" s="342" t="s">
        <v>2436</v>
      </c>
      <c r="C3249" s="342" t="str">
        <f>("EQ5WR1005PB")</f>
        <v>EQ5WR1005PB</v>
      </c>
      <c r="D3249" s="340">
        <v>25425</v>
      </c>
      <c r="E3249" s="343"/>
    </row>
    <row r="3250" spans="1:5" s="335" customFormat="1" ht="36">
      <c r="A3250" s="342" t="s">
        <v>2437</v>
      </c>
      <c r="B3250" s="342" t="s">
        <v>2437</v>
      </c>
      <c r="C3250" s="342" t="str">
        <f>("EQ5WR5003PB")</f>
        <v>EQ5WR5003PB</v>
      </c>
      <c r="D3250" s="340">
        <v>99151</v>
      </c>
      <c r="E3250" s="343"/>
    </row>
    <row r="3251" spans="1:5" s="335" customFormat="1" ht="36">
      <c r="A3251" s="342" t="s">
        <v>2438</v>
      </c>
      <c r="B3251" s="342" t="s">
        <v>2438</v>
      </c>
      <c r="C3251" s="342" t="str">
        <f>("EQ5WR5004PB")</f>
        <v>EQ5WR5004PB</v>
      </c>
      <c r="D3251" s="340">
        <v>106778</v>
      </c>
      <c r="E3251" s="343"/>
    </row>
    <row r="3252" spans="1:5" s="335" customFormat="1" ht="36">
      <c r="A3252" s="342" t="s">
        <v>2439</v>
      </c>
      <c r="B3252" s="342" t="s">
        <v>2439</v>
      </c>
      <c r="C3252" s="342" t="str">
        <f>("EQ5WR5005PB")</f>
        <v>EQ5WR5005PB</v>
      </c>
      <c r="D3252" s="340">
        <v>114405</v>
      </c>
      <c r="E3252" s="343"/>
    </row>
    <row r="3253" spans="1:5" s="335" customFormat="1" ht="48">
      <c r="A3253" s="342" t="s">
        <v>2440</v>
      </c>
      <c r="B3253" s="342" t="s">
        <v>2440</v>
      </c>
      <c r="C3253" s="342" t="str">
        <f>("EQ5WROCU5PB")</f>
        <v>EQ5WROCU5PB</v>
      </c>
      <c r="D3253" s="340">
        <v>13560</v>
      </c>
      <c r="E3253" s="343"/>
    </row>
    <row r="3254" spans="1:5" s="335" customFormat="1" ht="12.75">
      <c r="A3254" s="403" t="s">
        <v>2441</v>
      </c>
      <c r="B3254" s="403"/>
      <c r="C3254" s="403"/>
      <c r="D3254" s="403"/>
      <c r="E3254" s="343"/>
    </row>
    <row r="3255" spans="1:5" s="335" customFormat="1" ht="36">
      <c r="A3255" s="342" t="s">
        <v>2442</v>
      </c>
      <c r="B3255" s="342" t="s">
        <v>2442</v>
      </c>
      <c r="C3255" s="342" t="str">
        <f>("EQ5WS0103PB")</f>
        <v>EQ5WS0103PB</v>
      </c>
      <c r="D3255" s="340">
        <v>658</v>
      </c>
      <c r="E3255" s="343"/>
    </row>
    <row r="3256" spans="1:5" s="335" customFormat="1" ht="36">
      <c r="A3256" s="342" t="s">
        <v>2443</v>
      </c>
      <c r="B3256" s="342" t="s">
        <v>2443</v>
      </c>
      <c r="C3256" s="342" t="str">
        <f>("EQ5WS0104PB")</f>
        <v>EQ5WS0104PB</v>
      </c>
      <c r="D3256" s="340">
        <v>709</v>
      </c>
      <c r="E3256" s="343"/>
    </row>
    <row r="3257" spans="1:5" s="335" customFormat="1" ht="36">
      <c r="A3257" s="342" t="s">
        <v>2444</v>
      </c>
      <c r="B3257" s="342" t="s">
        <v>2444</v>
      </c>
      <c r="C3257" s="342" t="str">
        <f>("EQ5WS0105PB")</f>
        <v>EQ5WS0105PB</v>
      </c>
      <c r="D3257" s="340">
        <v>760</v>
      </c>
      <c r="E3257" s="343"/>
    </row>
    <row r="3258" spans="1:5" s="335" customFormat="1" ht="36">
      <c r="A3258" s="342" t="s">
        <v>2445</v>
      </c>
      <c r="B3258" s="342" t="s">
        <v>2445</v>
      </c>
      <c r="C3258" s="342" t="str">
        <f>("EQ5WS01K3PB")</f>
        <v>EQ5WS01K3PB</v>
      </c>
      <c r="D3258" s="340">
        <v>13216</v>
      </c>
      <c r="E3258" s="343"/>
    </row>
    <row r="3259" spans="1:5" s="335" customFormat="1" ht="36">
      <c r="A3259" s="342" t="s">
        <v>2446</v>
      </c>
      <c r="B3259" s="342" t="s">
        <v>2446</v>
      </c>
      <c r="C3259" s="342" t="str">
        <f>("EQ5WS01K4PB")</f>
        <v>EQ5WS01K4PB</v>
      </c>
      <c r="D3259" s="340">
        <v>14233</v>
      </c>
      <c r="E3259" s="343"/>
    </row>
    <row r="3260" spans="1:5" s="335" customFormat="1" ht="36">
      <c r="A3260" s="342" t="s">
        <v>2447</v>
      </c>
      <c r="B3260" s="342" t="s">
        <v>2447</v>
      </c>
      <c r="C3260" s="342" t="str">
        <f>("EQ5WS01K5PB")</f>
        <v>EQ5WS01K5PB</v>
      </c>
      <c r="D3260" s="340">
        <v>15250</v>
      </c>
      <c r="E3260" s="343"/>
    </row>
    <row r="3261" spans="1:5" s="335" customFormat="1" ht="36">
      <c r="A3261" s="342" t="s">
        <v>2448</v>
      </c>
      <c r="B3261" s="342" t="s">
        <v>2448</v>
      </c>
      <c r="C3261" s="342" t="str">
        <f>("EQ5WS1003PB")</f>
        <v>EQ5WS1003PB</v>
      </c>
      <c r="D3261" s="340">
        <v>3081</v>
      </c>
      <c r="E3261" s="343"/>
    </row>
    <row r="3262" spans="1:5" s="335" customFormat="1" ht="36">
      <c r="A3262" s="342" t="s">
        <v>2449</v>
      </c>
      <c r="B3262" s="342" t="s">
        <v>2449</v>
      </c>
      <c r="C3262" s="342" t="str">
        <f>("EQ5WS1004PB")</f>
        <v>EQ5WS1004PB</v>
      </c>
      <c r="D3262" s="340">
        <v>3318</v>
      </c>
      <c r="E3262" s="343"/>
    </row>
    <row r="3263" spans="1:5" s="335" customFormat="1" ht="36">
      <c r="A3263" s="342" t="s">
        <v>2450</v>
      </c>
      <c r="B3263" s="342" t="s">
        <v>2450</v>
      </c>
      <c r="C3263" s="342" t="str">
        <f>("EQ5WS1005PB")</f>
        <v>EQ5WS1005PB</v>
      </c>
      <c r="D3263" s="340">
        <v>3555</v>
      </c>
      <c r="E3263" s="343"/>
    </row>
    <row r="3264" spans="1:5" s="335" customFormat="1" ht="48">
      <c r="A3264" s="342" t="s">
        <v>2451</v>
      </c>
      <c r="B3264" s="342" t="s">
        <v>2451</v>
      </c>
      <c r="C3264" s="342" t="str">
        <f>("EQ5WU0103PB")</f>
        <v>EQ5WU0103PB</v>
      </c>
      <c r="D3264" s="340">
        <v>305</v>
      </c>
      <c r="E3264" s="343"/>
    </row>
    <row r="3265" spans="1:5" s="335" customFormat="1" ht="48">
      <c r="A3265" s="342" t="s">
        <v>2452</v>
      </c>
      <c r="B3265" s="342" t="s">
        <v>2452</v>
      </c>
      <c r="C3265" s="342" t="str">
        <f>("EQ5WU0104PB")</f>
        <v>EQ5WU0104PB</v>
      </c>
      <c r="D3265" s="340">
        <v>356</v>
      </c>
      <c r="E3265" s="343"/>
    </row>
    <row r="3266" spans="1:5" s="335" customFormat="1" ht="48">
      <c r="A3266" s="342" t="s">
        <v>2453</v>
      </c>
      <c r="B3266" s="342" t="s">
        <v>2453</v>
      </c>
      <c r="C3266" s="342" t="str">
        <f>("EQ5WU0105PB")</f>
        <v>EQ5WU0105PB</v>
      </c>
      <c r="D3266" s="340">
        <v>407</v>
      </c>
      <c r="E3266" s="343"/>
    </row>
    <row r="3267" spans="1:5" s="335" customFormat="1" ht="48">
      <c r="A3267" s="342" t="s">
        <v>2454</v>
      </c>
      <c r="B3267" s="342" t="s">
        <v>2454</v>
      </c>
      <c r="C3267" s="342" t="str">
        <f>("EQ5WU01K3PB ")</f>
        <v xml:space="preserve">EQ5WU01K3PB </v>
      </c>
      <c r="D3267" s="340">
        <v>6101</v>
      </c>
      <c r="E3267" s="343"/>
    </row>
    <row r="3268" spans="1:5" s="335" customFormat="1" ht="48">
      <c r="A3268" s="342" t="s">
        <v>2455</v>
      </c>
      <c r="B3268" s="342" t="s">
        <v>2455</v>
      </c>
      <c r="C3268" s="342" t="str">
        <f>("EQ5WU01K4PB ")</f>
        <v xml:space="preserve">EQ5WU01K4PB </v>
      </c>
      <c r="D3268" s="340">
        <v>7118</v>
      </c>
      <c r="E3268" s="343"/>
    </row>
    <row r="3269" spans="1:5" s="335" customFormat="1" ht="48">
      <c r="A3269" s="342" t="s">
        <v>2456</v>
      </c>
      <c r="B3269" s="342" t="s">
        <v>2456</v>
      </c>
      <c r="C3269" s="342" t="str">
        <f>("EQ5WU01K5PB ")</f>
        <v xml:space="preserve">EQ5WU01K5PB </v>
      </c>
      <c r="D3269" s="340">
        <v>8135</v>
      </c>
      <c r="E3269" s="343"/>
    </row>
    <row r="3270" spans="1:5" s="335" customFormat="1" ht="48">
      <c r="A3270" s="342" t="s">
        <v>2457</v>
      </c>
      <c r="B3270" s="342" t="s">
        <v>2457</v>
      </c>
      <c r="C3270" s="342" t="str">
        <f>("EQ5WU1003PB")</f>
        <v>EQ5WU1003PB</v>
      </c>
      <c r="D3270" s="340">
        <v>1422</v>
      </c>
      <c r="E3270" s="343"/>
    </row>
    <row r="3271" spans="1:5" s="335" customFormat="1" ht="48">
      <c r="A3271" s="342" t="s">
        <v>2458</v>
      </c>
      <c r="B3271" s="342" t="s">
        <v>2458</v>
      </c>
      <c r="C3271" s="342" t="str">
        <f>("EQ5WU1004PB")</f>
        <v>EQ5WU1004PB</v>
      </c>
      <c r="D3271" s="340">
        <v>1659</v>
      </c>
      <c r="E3271" s="343"/>
    </row>
    <row r="3272" spans="1:5" s="335" customFormat="1" ht="48">
      <c r="A3272" s="342" t="s">
        <v>2459</v>
      </c>
      <c r="B3272" s="342" t="s">
        <v>2459</v>
      </c>
      <c r="C3272" s="342" t="str">
        <f>("EQ5WU1005PB")</f>
        <v>EQ5WU1005PB</v>
      </c>
      <c r="D3272" s="340">
        <v>1896</v>
      </c>
      <c r="E3272" s="343"/>
    </row>
    <row r="3273" spans="1:5" s="335" customFormat="1" ht="12.75">
      <c r="A3273" s="403" t="s">
        <v>2460</v>
      </c>
      <c r="B3273" s="403"/>
      <c r="C3273" s="403"/>
      <c r="D3273" s="403"/>
      <c r="E3273" s="343"/>
    </row>
    <row r="3274" spans="1:5" s="335" customFormat="1" ht="48">
      <c r="A3274" s="342" t="s">
        <v>2461</v>
      </c>
      <c r="B3274" s="342" t="s">
        <v>2461</v>
      </c>
      <c r="C3274" s="342" t="str">
        <f>("EPAY05023PB")</f>
        <v>EPAY05023PB</v>
      </c>
      <c r="D3274" s="340">
        <v>8987</v>
      </c>
      <c r="E3274" s="343"/>
    </row>
    <row r="3275" spans="1:5" s="335" customFormat="1" ht="48">
      <c r="A3275" s="342" t="s">
        <v>2462</v>
      </c>
      <c r="B3275" s="342" t="s">
        <v>2462</v>
      </c>
      <c r="C3275" s="342" t="str">
        <f>("EPAY05024PB")</f>
        <v>EPAY05024PB</v>
      </c>
      <c r="D3275" s="340">
        <v>9678</v>
      </c>
      <c r="E3275" s="343"/>
    </row>
    <row r="3276" spans="1:5" s="335" customFormat="1" ht="48">
      <c r="A3276" s="342" t="s">
        <v>2463</v>
      </c>
      <c r="B3276" s="342" t="s">
        <v>2463</v>
      </c>
      <c r="C3276" s="342" t="str">
        <f>("EPAY05025PB")</f>
        <v>EPAY05025PB</v>
      </c>
      <c r="D3276" s="340">
        <v>10369</v>
      </c>
      <c r="E3276" s="343"/>
    </row>
    <row r="3277" spans="1:5" s="335" customFormat="1" ht="48">
      <c r="A3277" s="342" t="s">
        <v>2464</v>
      </c>
      <c r="B3277" s="342" t="s">
        <v>2464</v>
      </c>
      <c r="C3277" s="342" t="str">
        <f>("EPAY08023PB")</f>
        <v>EPAY08023PB</v>
      </c>
      <c r="D3277" s="340">
        <v>2122</v>
      </c>
      <c r="E3277" s="343"/>
    </row>
    <row r="3278" spans="1:5" s="335" customFormat="1" ht="48">
      <c r="A3278" s="342" t="s">
        <v>2465</v>
      </c>
      <c r="B3278" s="342" t="s">
        <v>2465</v>
      </c>
      <c r="C3278" s="342" t="str">
        <f>("EPAY08024PB")</f>
        <v>EPAY08024PB</v>
      </c>
      <c r="D3278" s="340">
        <v>2285</v>
      </c>
      <c r="E3278" s="343"/>
    </row>
    <row r="3279" spans="1:5" s="335" customFormat="1" ht="48">
      <c r="A3279" s="342" t="s">
        <v>2466</v>
      </c>
      <c r="B3279" s="342" t="s">
        <v>2466</v>
      </c>
      <c r="C3279" s="342" t="str">
        <f>("EPAY08025PB")</f>
        <v>EPAY08025PB</v>
      </c>
      <c r="D3279" s="340">
        <v>2448</v>
      </c>
      <c r="E3279" s="343"/>
    </row>
    <row r="3280" spans="1:5" s="335" customFormat="1" ht="36">
      <c r="A3280" s="342" t="s">
        <v>2467</v>
      </c>
      <c r="B3280" s="342" t="s">
        <v>2467</v>
      </c>
      <c r="C3280" s="342" t="str">
        <f>("EPAY08043PB")</f>
        <v>EPAY08043PB</v>
      </c>
      <c r="D3280" s="340">
        <v>2889</v>
      </c>
      <c r="E3280" s="343"/>
    </row>
    <row r="3281" spans="1:5" s="335" customFormat="1" ht="36">
      <c r="A3281" s="342" t="s">
        <v>2468</v>
      </c>
      <c r="B3281" s="342" t="s">
        <v>2468</v>
      </c>
      <c r="C3281" s="342" t="str">
        <f>("EPAY08044PB")</f>
        <v>EPAY08044PB</v>
      </c>
      <c r="D3281" s="340">
        <v>3111</v>
      </c>
      <c r="E3281" s="343"/>
    </row>
    <row r="3282" spans="1:5" s="335" customFormat="1" ht="36">
      <c r="A3282" s="342" t="s">
        <v>2469</v>
      </c>
      <c r="B3282" s="342" t="s">
        <v>2469</v>
      </c>
      <c r="C3282" s="342" t="str">
        <f>("EPAY08045PB")</f>
        <v>EPAY08045PB</v>
      </c>
      <c r="D3282" s="340">
        <v>3333</v>
      </c>
      <c r="E3282" s="343"/>
    </row>
    <row r="3283" spans="1:5" s="335" customFormat="1" ht="60">
      <c r="A3283" s="342" t="s">
        <v>2470</v>
      </c>
      <c r="B3283" s="342" t="s">
        <v>2470</v>
      </c>
      <c r="C3283" s="342" t="str">
        <f>("EPAY08203PB")</f>
        <v>EPAY08203PB</v>
      </c>
      <c r="D3283" s="340">
        <v>5682</v>
      </c>
      <c r="E3283" s="343"/>
    </row>
    <row r="3284" spans="1:5" s="335" customFormat="1" ht="60">
      <c r="A3284" s="342" t="s">
        <v>2471</v>
      </c>
      <c r="B3284" s="342" t="s">
        <v>2471</v>
      </c>
      <c r="C3284" s="342" t="str">
        <f>("EPAY08204PB")</f>
        <v>EPAY08204PB</v>
      </c>
      <c r="D3284" s="340">
        <v>6119</v>
      </c>
      <c r="E3284" s="343"/>
    </row>
    <row r="3285" spans="1:5" s="335" customFormat="1" ht="60">
      <c r="A3285" s="342" t="s">
        <v>2472</v>
      </c>
      <c r="B3285" s="342" t="s">
        <v>2472</v>
      </c>
      <c r="C3285" s="342" t="str">
        <f>("EPAY08205PB")</f>
        <v>EPAY08205PB</v>
      </c>
      <c r="D3285" s="340">
        <v>6556</v>
      </c>
      <c r="E3285" s="343"/>
    </row>
    <row r="3286" spans="1:5" s="335" customFormat="1" ht="60">
      <c r="A3286" s="342" t="s">
        <v>2473</v>
      </c>
      <c r="B3286" s="342" t="s">
        <v>2473</v>
      </c>
      <c r="C3286" s="342" t="str">
        <f>("EPAY08213PB")</f>
        <v>EPAY08213PB</v>
      </c>
      <c r="D3286" s="340">
        <v>5682</v>
      </c>
      <c r="E3286" s="343"/>
    </row>
    <row r="3287" spans="1:5" s="335" customFormat="1" ht="60">
      <c r="A3287" s="342" t="s">
        <v>2474</v>
      </c>
      <c r="B3287" s="342" t="s">
        <v>2474</v>
      </c>
      <c r="C3287" s="342" t="str">
        <f>("EPAY08214PB")</f>
        <v>EPAY08214PB</v>
      </c>
      <c r="D3287" s="340">
        <v>6119</v>
      </c>
      <c r="E3287" s="343"/>
    </row>
    <row r="3288" spans="1:5" s="335" customFormat="1" ht="60">
      <c r="A3288" s="342" t="s">
        <v>2475</v>
      </c>
      <c r="B3288" s="342" t="s">
        <v>2475</v>
      </c>
      <c r="C3288" s="342" t="str">
        <f>("EPAY08215PB")</f>
        <v>EPAY08215PB</v>
      </c>
      <c r="D3288" s="340">
        <v>6556</v>
      </c>
      <c r="E3288" s="343"/>
    </row>
    <row r="3289" spans="1:5" s="335" customFormat="1" ht="60">
      <c r="A3289" s="342" t="s">
        <v>2476</v>
      </c>
      <c r="B3289" s="342" t="s">
        <v>2476</v>
      </c>
      <c r="C3289" s="342" t="str">
        <f>("EPAY08243PB")</f>
        <v>EPAY08243PB</v>
      </c>
      <c r="D3289" s="340">
        <v>4160</v>
      </c>
      <c r="E3289" s="343"/>
    </row>
    <row r="3290" spans="1:5" s="335" customFormat="1" ht="60">
      <c r="A3290" s="342" t="s">
        <v>2477</v>
      </c>
      <c r="B3290" s="342" t="s">
        <v>2477</v>
      </c>
      <c r="C3290" s="342" t="str">
        <f>("EPAY08244PB")</f>
        <v>EPAY08244PB</v>
      </c>
      <c r="D3290" s="340">
        <v>4480</v>
      </c>
      <c r="E3290" s="343"/>
    </row>
    <row r="3291" spans="1:5" s="335" customFormat="1" ht="60">
      <c r="A3291" s="342" t="s">
        <v>2478</v>
      </c>
      <c r="B3291" s="342" t="s">
        <v>2478</v>
      </c>
      <c r="C3291" s="342" t="str">
        <f>("EPAY08245PB")</f>
        <v>EPAY08245PB</v>
      </c>
      <c r="D3291" s="340">
        <v>4800</v>
      </c>
      <c r="E3291" s="343"/>
    </row>
    <row r="3292" spans="1:5" s="335" customFormat="1" ht="60">
      <c r="A3292" s="342" t="s">
        <v>2479</v>
      </c>
      <c r="B3292" s="342" t="s">
        <v>2479</v>
      </c>
      <c r="C3292" s="342" t="str">
        <f>("EPAY08253PB")</f>
        <v>EPAY08253PB</v>
      </c>
      <c r="D3292" s="340">
        <v>4160</v>
      </c>
      <c r="E3292" s="343"/>
    </row>
    <row r="3293" spans="1:5" s="335" customFormat="1" ht="60">
      <c r="A3293" s="342" t="s">
        <v>2480</v>
      </c>
      <c r="B3293" s="342" t="s">
        <v>2480</v>
      </c>
      <c r="C3293" s="342" t="str">
        <f>("EPAY08254PB")</f>
        <v>EPAY08254PB</v>
      </c>
      <c r="D3293" s="340">
        <v>4480</v>
      </c>
      <c r="E3293" s="343"/>
    </row>
    <row r="3294" spans="1:5" s="335" customFormat="1" ht="60">
      <c r="A3294" s="342" t="s">
        <v>2481</v>
      </c>
      <c r="B3294" s="342" t="s">
        <v>2481</v>
      </c>
      <c r="C3294" s="342" t="str">
        <f>("EPAY08255PB")</f>
        <v>EPAY08255PB</v>
      </c>
      <c r="D3294" s="340">
        <v>4800</v>
      </c>
      <c r="E3294" s="343"/>
    </row>
    <row r="3295" spans="1:5" s="335" customFormat="1" ht="60">
      <c r="A3295" s="342" t="s">
        <v>2482</v>
      </c>
      <c r="B3295" s="342" t="s">
        <v>2482</v>
      </c>
      <c r="C3295" s="342" t="str">
        <f>("EPAY08263PB")</f>
        <v>EPAY08263PB</v>
      </c>
      <c r="D3295" s="340">
        <v>2998</v>
      </c>
      <c r="E3295" s="343"/>
    </row>
    <row r="3296" spans="1:5" s="335" customFormat="1" ht="60">
      <c r="A3296" s="342" t="s">
        <v>2483</v>
      </c>
      <c r="B3296" s="342" t="s">
        <v>2483</v>
      </c>
      <c r="C3296" s="342" t="str">
        <f>("EPAY08264PB")</f>
        <v>EPAY08264PB</v>
      </c>
      <c r="D3296" s="340">
        <v>3229</v>
      </c>
      <c r="E3296" s="343"/>
    </row>
    <row r="3297" spans="1:5" s="335" customFormat="1" ht="60">
      <c r="A3297" s="342" t="s">
        <v>2484</v>
      </c>
      <c r="B3297" s="342" t="s">
        <v>2484</v>
      </c>
      <c r="C3297" s="342" t="str">
        <f>("EPAY08265PB")</f>
        <v>EPAY08265PB</v>
      </c>
      <c r="D3297" s="340">
        <v>3460</v>
      </c>
      <c r="E3297" s="343"/>
    </row>
    <row r="3298" spans="1:5" s="335" customFormat="1" ht="60">
      <c r="A3298" s="342" t="s">
        <v>2485</v>
      </c>
      <c r="B3298" s="342" t="s">
        <v>2485</v>
      </c>
      <c r="C3298" s="342" t="str">
        <f>("EPAY08273PB")</f>
        <v>EPAY08273PB</v>
      </c>
      <c r="D3298" s="340">
        <v>2998</v>
      </c>
      <c r="E3298" s="343"/>
    </row>
    <row r="3299" spans="1:5" s="335" customFormat="1" ht="60">
      <c r="A3299" s="342" t="s">
        <v>2486</v>
      </c>
      <c r="B3299" s="342" t="s">
        <v>2486</v>
      </c>
      <c r="C3299" s="342" t="str">
        <f>("EPAY08274PB")</f>
        <v>EPAY08274PB</v>
      </c>
      <c r="D3299" s="340">
        <v>3229</v>
      </c>
      <c r="E3299" s="343"/>
    </row>
    <row r="3300" spans="1:5" s="335" customFormat="1" ht="60">
      <c r="A3300" s="342" t="s">
        <v>2487</v>
      </c>
      <c r="B3300" s="342" t="s">
        <v>2487</v>
      </c>
      <c r="C3300" s="342" t="str">
        <f>("EPAY08275PB")</f>
        <v>EPAY08275PB</v>
      </c>
      <c r="D3300" s="340">
        <v>3460</v>
      </c>
      <c r="E3300" s="343"/>
    </row>
    <row r="3301" spans="1:5" s="335" customFormat="1" ht="48">
      <c r="A3301" s="342" t="s">
        <v>2488</v>
      </c>
      <c r="B3301" s="342" t="s">
        <v>2488</v>
      </c>
      <c r="C3301" s="342" t="str">
        <f>("EPAYC5023PB")</f>
        <v>EPAYC5023PB</v>
      </c>
      <c r="D3301" s="340">
        <v>11189</v>
      </c>
      <c r="E3301" s="343"/>
    </row>
    <row r="3302" spans="1:5" s="335" customFormat="1" ht="48">
      <c r="A3302" s="342" t="s">
        <v>2489</v>
      </c>
      <c r="B3302" s="342" t="s">
        <v>2489</v>
      </c>
      <c r="C3302" s="342" t="str">
        <f>("EPAYC5024PB")</f>
        <v>EPAYC5024PB</v>
      </c>
      <c r="D3302" s="340">
        <v>12050</v>
      </c>
      <c r="E3302" s="343"/>
    </row>
    <row r="3303" spans="1:5" s="335" customFormat="1" ht="48">
      <c r="A3303" s="342" t="s">
        <v>2490</v>
      </c>
      <c r="B3303" s="342" t="s">
        <v>2490</v>
      </c>
      <c r="C3303" s="342" t="str">
        <f>("EPAYC5025PB")</f>
        <v>EPAYC5025PB</v>
      </c>
      <c r="D3303" s="340">
        <v>12911</v>
      </c>
      <c r="E3303" s="343"/>
    </row>
    <row r="3304" spans="1:5" s="335" customFormat="1" ht="48">
      <c r="A3304" s="342" t="s">
        <v>2491</v>
      </c>
      <c r="B3304" s="342" t="s">
        <v>2491</v>
      </c>
      <c r="C3304" s="342" t="str">
        <f>("EPAYC8263PB")</f>
        <v>EPAYC8263PB</v>
      </c>
      <c r="D3304" s="340">
        <v>3226</v>
      </c>
      <c r="E3304" s="343"/>
    </row>
    <row r="3305" spans="1:5" s="335" customFormat="1" ht="48">
      <c r="A3305" s="342" t="s">
        <v>2492</v>
      </c>
      <c r="B3305" s="342" t="s">
        <v>2492</v>
      </c>
      <c r="C3305" s="342" t="str">
        <f>("EPAYC8264PB")</f>
        <v>EPAYC8264PB</v>
      </c>
      <c r="D3305" s="340">
        <v>3473</v>
      </c>
      <c r="E3305" s="343"/>
    </row>
    <row r="3306" spans="1:5" s="335" customFormat="1" ht="48">
      <c r="A3306" s="342" t="s">
        <v>2493</v>
      </c>
      <c r="B3306" s="342" t="s">
        <v>2493</v>
      </c>
      <c r="C3306" s="342" t="str">
        <f>("EPAYC8265PB")</f>
        <v>EPAYC8265PB</v>
      </c>
      <c r="D3306" s="340">
        <v>3722</v>
      </c>
      <c r="E3306" s="343"/>
    </row>
    <row r="3307" spans="1:5" s="335" customFormat="1" ht="48">
      <c r="A3307" s="342" t="s">
        <v>2494</v>
      </c>
      <c r="B3307" s="342" t="s">
        <v>2494</v>
      </c>
      <c r="C3307" s="342" t="str">
        <f>("EPAYC8273PB")</f>
        <v>EPAYC8273PB</v>
      </c>
      <c r="D3307" s="340">
        <v>3226</v>
      </c>
      <c r="E3307" s="343"/>
    </row>
    <row r="3308" spans="1:5" s="335" customFormat="1" ht="48">
      <c r="A3308" s="342" t="s">
        <v>2495</v>
      </c>
      <c r="B3308" s="342" t="s">
        <v>2495</v>
      </c>
      <c r="C3308" s="342" t="str">
        <f>("EPAYC8274PB")</f>
        <v>EPAYC8274PB</v>
      </c>
      <c r="D3308" s="340">
        <v>3474</v>
      </c>
      <c r="E3308" s="343"/>
    </row>
    <row r="3309" spans="1:5" s="335" customFormat="1" ht="48">
      <c r="A3309" s="342" t="s">
        <v>2496</v>
      </c>
      <c r="B3309" s="342" t="s">
        <v>2496</v>
      </c>
      <c r="C3309" s="342" t="str">
        <f>("EPAYC8275PB")</f>
        <v>EPAYC8275PB</v>
      </c>
      <c r="D3309" s="340">
        <v>3722</v>
      </c>
      <c r="E3309" s="343"/>
    </row>
    <row r="3310" spans="1:5" s="335" customFormat="1" ht="48">
      <c r="A3310" s="342" t="s">
        <v>2497</v>
      </c>
      <c r="B3310" s="342" t="s">
        <v>2497</v>
      </c>
      <c r="C3310" s="342" t="str">
        <f>("EPAYCB003PB")</f>
        <v>EPAYCB003PB</v>
      </c>
      <c r="D3310" s="340">
        <v>8752</v>
      </c>
      <c r="E3310" s="343"/>
    </row>
    <row r="3311" spans="1:5" s="335" customFormat="1" ht="48">
      <c r="A3311" s="342" t="s">
        <v>2498</v>
      </c>
      <c r="B3311" s="342" t="s">
        <v>2498</v>
      </c>
      <c r="C3311" s="342" t="str">
        <f>("EPAYCB004PB")</f>
        <v>EPAYCB004PB</v>
      </c>
      <c r="D3311" s="340">
        <v>9425</v>
      </c>
      <c r="E3311" s="343"/>
    </row>
    <row r="3312" spans="1:5" s="335" customFormat="1" ht="48">
      <c r="A3312" s="342" t="s">
        <v>2499</v>
      </c>
      <c r="B3312" s="342" t="s">
        <v>2499</v>
      </c>
      <c r="C3312" s="342" t="str">
        <f>("EPAYCB005PB")</f>
        <v>EPAYCB005PB</v>
      </c>
      <c r="D3312" s="340">
        <v>10098</v>
      </c>
      <c r="E3312" s="343"/>
    </row>
    <row r="3313" spans="1:5" s="335" customFormat="1" ht="48">
      <c r="A3313" s="342" t="s">
        <v>2500</v>
      </c>
      <c r="B3313" s="342" t="s">
        <v>2500</v>
      </c>
      <c r="C3313" s="342" t="str">
        <f>("EPAYCB0M3PB")</f>
        <v>EPAYCB0M3PB</v>
      </c>
      <c r="D3313" s="340">
        <v>7841</v>
      </c>
      <c r="E3313" s="343"/>
    </row>
    <row r="3314" spans="1:5" s="335" customFormat="1" ht="48">
      <c r="A3314" s="342" t="s">
        <v>2501</v>
      </c>
      <c r="B3314" s="342" t="s">
        <v>2501</v>
      </c>
      <c r="C3314" s="342" t="str">
        <f>("EPAYCB0M4PB")</f>
        <v>EPAYCB0M4PB</v>
      </c>
      <c r="D3314" s="340">
        <v>8444</v>
      </c>
      <c r="E3314" s="343"/>
    </row>
    <row r="3315" spans="1:5" s="335" customFormat="1" ht="48">
      <c r="A3315" s="342" t="s">
        <v>2502</v>
      </c>
      <c r="B3315" s="342" t="s">
        <v>2502</v>
      </c>
      <c r="C3315" s="342" t="str">
        <f>("EPAYCB0M5PB")</f>
        <v>EPAYCB0M5PB</v>
      </c>
      <c r="D3315" s="340">
        <v>9047</v>
      </c>
      <c r="E3315" s="343"/>
    </row>
    <row r="3316" spans="1:5" s="335" customFormat="1" ht="60">
      <c r="A3316" s="342" t="s">
        <v>2503</v>
      </c>
      <c r="B3316" s="342" t="s">
        <v>2503</v>
      </c>
      <c r="C3316" s="342" t="str">
        <f>("EPAYCBCM3PB")</f>
        <v>EPAYCBCM3PB</v>
      </c>
      <c r="D3316" s="340">
        <v>9360</v>
      </c>
      <c r="E3316" s="343"/>
    </row>
    <row r="3317" spans="1:5" s="335" customFormat="1" ht="60">
      <c r="A3317" s="342" t="s">
        <v>2504</v>
      </c>
      <c r="B3317" s="342" t="s">
        <v>2504</v>
      </c>
      <c r="C3317" s="342" t="str">
        <f>("EPAYCBCM4PB")</f>
        <v>EPAYCBCM4PB</v>
      </c>
      <c r="D3317" s="340">
        <v>10080</v>
      </c>
      <c r="E3317" s="343"/>
    </row>
    <row r="3318" spans="1:5" s="335" customFormat="1" ht="60">
      <c r="A3318" s="342" t="s">
        <v>2505</v>
      </c>
      <c r="B3318" s="342" t="s">
        <v>2505</v>
      </c>
      <c r="C3318" s="342" t="str">
        <f>("EPAYCBCM5PB")</f>
        <v>EPAYCBCM5PB</v>
      </c>
      <c r="D3318" s="340">
        <v>10800</v>
      </c>
      <c r="E3318" s="343"/>
    </row>
    <row r="3319" spans="1:5" s="335" customFormat="1" ht="48">
      <c r="A3319" s="342" t="s">
        <v>2506</v>
      </c>
      <c r="B3319" s="342" t="s">
        <v>2506</v>
      </c>
      <c r="C3319" s="342" t="str">
        <f>("EPAYUB003PB")</f>
        <v>EPAYUB003PB</v>
      </c>
      <c r="D3319" s="340">
        <v>7158</v>
      </c>
      <c r="E3319" s="343"/>
    </row>
    <row r="3320" spans="1:5" s="335" customFormat="1" ht="48">
      <c r="A3320" s="342" t="s">
        <v>2507</v>
      </c>
      <c r="B3320" s="342" t="s">
        <v>2507</v>
      </c>
      <c r="C3320" s="342" t="str">
        <f>("EPAYUB004PB")</f>
        <v>EPAYUB004PB</v>
      </c>
      <c r="D3320" s="340">
        <v>7709</v>
      </c>
      <c r="E3320" s="343"/>
    </row>
    <row r="3321" spans="1:5" s="335" customFormat="1" ht="48">
      <c r="A3321" s="342" t="s">
        <v>2508</v>
      </c>
      <c r="B3321" s="342" t="s">
        <v>2508</v>
      </c>
      <c r="C3321" s="342" t="str">
        <f>("EPAYUB005PB")</f>
        <v>EPAYUB005PB</v>
      </c>
      <c r="D3321" s="340">
        <v>8260</v>
      </c>
      <c r="E3321" s="343"/>
    </row>
    <row r="3322" spans="1:5" s="335" customFormat="1" ht="48">
      <c r="A3322" s="342" t="s">
        <v>2509</v>
      </c>
      <c r="B3322" s="342" t="s">
        <v>2509</v>
      </c>
      <c r="C3322" s="342" t="str">
        <f>("EPAYUB0M3PB")</f>
        <v>EPAYUB0M3PB</v>
      </c>
      <c r="D3322" s="340">
        <v>7540</v>
      </c>
      <c r="E3322" s="343"/>
    </row>
    <row r="3323" spans="1:5" s="335" customFormat="1" ht="48">
      <c r="A3323" s="342" t="s">
        <v>2510</v>
      </c>
      <c r="B3323" s="342" t="s">
        <v>2510</v>
      </c>
      <c r="C3323" s="342" t="str">
        <f>("EPAYUB0M4PB")</f>
        <v>EPAYUB0M4PB</v>
      </c>
      <c r="D3323" s="340">
        <v>8120</v>
      </c>
      <c r="E3323" s="343"/>
    </row>
    <row r="3324" spans="1:5" s="335" customFormat="1" ht="48">
      <c r="A3324" s="342" t="s">
        <v>2511</v>
      </c>
      <c r="B3324" s="342" t="s">
        <v>2511</v>
      </c>
      <c r="C3324" s="342" t="str">
        <f>("EPAYUB0M5PB")</f>
        <v>EPAYUB0M5PB</v>
      </c>
      <c r="D3324" s="340">
        <v>8700</v>
      </c>
      <c r="E3324" s="343"/>
    </row>
    <row r="3325" spans="1:5" s="335" customFormat="1" ht="60">
      <c r="A3325" s="342" t="s">
        <v>2512</v>
      </c>
      <c r="B3325" s="342" t="s">
        <v>2512</v>
      </c>
      <c r="C3325" s="342" t="str">
        <f>("EPAYUBCM3PB")</f>
        <v>EPAYUBCM3PB</v>
      </c>
      <c r="D3325" s="340">
        <v>9360</v>
      </c>
      <c r="E3325" s="343"/>
    </row>
    <row r="3326" spans="1:5" s="335" customFormat="1" ht="60">
      <c r="A3326" s="342" t="s">
        <v>2513</v>
      </c>
      <c r="B3326" s="342" t="s">
        <v>2513</v>
      </c>
      <c r="C3326" s="342" t="str">
        <f>("EPAYUBCM4PB")</f>
        <v>EPAYUBCM4PB</v>
      </c>
      <c r="D3326" s="340">
        <v>10080</v>
      </c>
      <c r="E3326" s="343"/>
    </row>
    <row r="3327" spans="1:5" s="335" customFormat="1" ht="60">
      <c r="A3327" s="342" t="s">
        <v>2514</v>
      </c>
      <c r="B3327" s="342" t="s">
        <v>2514</v>
      </c>
      <c r="C3327" s="342" t="str">
        <f>("EPAYUBCM5PB")</f>
        <v>EPAYUBCM5PB</v>
      </c>
      <c r="D3327" s="340">
        <v>10800</v>
      </c>
      <c r="E3327" s="343"/>
    </row>
    <row r="3328" spans="1:5" s="335" customFormat="1" ht="60">
      <c r="A3328" s="342" t="s">
        <v>2515</v>
      </c>
      <c r="B3328" s="342" t="s">
        <v>2515</v>
      </c>
      <c r="C3328" s="342" t="str">
        <f>("EPAYUBMD3PB")</f>
        <v>EPAYUBMD3PB</v>
      </c>
      <c r="D3328" s="340">
        <v>9490</v>
      </c>
      <c r="E3328" s="343"/>
    </row>
    <row r="3329" spans="1:5" s="335" customFormat="1" ht="60">
      <c r="A3329" s="342" t="s">
        <v>2516</v>
      </c>
      <c r="B3329" s="342" t="s">
        <v>2516</v>
      </c>
      <c r="C3329" s="342" t="str">
        <f>("EPAYUBMD4PB")</f>
        <v>EPAYUBMD4PB</v>
      </c>
      <c r="D3329" s="340">
        <v>10220</v>
      </c>
      <c r="E3329" s="343"/>
    </row>
    <row r="3330" spans="1:5" s="335" customFormat="1" ht="60">
      <c r="A3330" s="342" t="s">
        <v>2517</v>
      </c>
      <c r="B3330" s="342" t="s">
        <v>2517</v>
      </c>
      <c r="C3330" s="342" t="str">
        <f>("EPAYUBMD5PB")</f>
        <v>EPAYUBMD5PB</v>
      </c>
      <c r="D3330" s="340">
        <v>10950</v>
      </c>
      <c r="E3330" s="343"/>
    </row>
    <row r="3331" spans="1:5" s="335" customFormat="1" ht="12.75">
      <c r="A3331" s="403" t="s">
        <v>2518</v>
      </c>
      <c r="B3331" s="403"/>
      <c r="C3331" s="403"/>
      <c r="D3331" s="403"/>
      <c r="E3331" s="343"/>
    </row>
    <row r="3332" spans="1:5" s="335" customFormat="1" ht="24">
      <c r="A3332" s="342" t="s">
        <v>2519</v>
      </c>
      <c r="B3332" s="342" t="s">
        <v>2519</v>
      </c>
      <c r="C3332" s="342" t="str">
        <f>("CABX0094")</f>
        <v>CABX0094</v>
      </c>
      <c r="D3332" s="340">
        <v>95</v>
      </c>
      <c r="E3332" s="343"/>
    </row>
    <row r="3333" spans="1:5" s="335" customFormat="1" ht="24">
      <c r="A3333" s="342" t="s">
        <v>2520</v>
      </c>
      <c r="B3333" s="342" t="s">
        <v>2520</v>
      </c>
      <c r="C3333" s="342" t="str">
        <f>("CABX0813")</f>
        <v>CABX0813</v>
      </c>
      <c r="D3333" s="340">
        <v>95</v>
      </c>
      <c r="E3333" s="343"/>
    </row>
    <row r="3334" spans="1:5" s="335" customFormat="1" ht="24">
      <c r="A3334" s="342" t="s">
        <v>2521</v>
      </c>
      <c r="B3334" s="342" t="s">
        <v>2521</v>
      </c>
      <c r="C3334" s="342" t="str">
        <f>("COPCABLE")</f>
        <v>COPCABLE</v>
      </c>
      <c r="D3334" s="340">
        <v>95</v>
      </c>
      <c r="E3334" s="343"/>
    </row>
    <row r="3335" spans="1:5" s="335" customFormat="1" ht="48">
      <c r="A3335" s="342" t="s">
        <v>2522</v>
      </c>
      <c r="B3335" s="342" t="s">
        <v>2522</v>
      </c>
      <c r="C3335" s="342" t="str">
        <f>("EPAY0551")</f>
        <v>EPAY0551</v>
      </c>
      <c r="D3335" s="340">
        <v>950</v>
      </c>
      <c r="E3335" s="343"/>
    </row>
    <row r="3336" spans="1:5" s="335" customFormat="1" ht="48">
      <c r="A3336" s="342" t="s">
        <v>2523</v>
      </c>
      <c r="B3336" s="342" t="s">
        <v>2523</v>
      </c>
      <c r="C3336" s="342" t="str">
        <f>("EPAY0801")</f>
        <v>EPAY0801</v>
      </c>
      <c r="D3336" s="340">
        <v>186</v>
      </c>
      <c r="E3336" s="343"/>
    </row>
    <row r="3337" spans="1:5" s="335" customFormat="1" ht="36">
      <c r="A3337" s="342" t="s">
        <v>2524</v>
      </c>
      <c r="B3337" s="342" t="s">
        <v>2524</v>
      </c>
      <c r="C3337" s="342" t="str">
        <f>("EPAY1002")</f>
        <v>EPAY1002</v>
      </c>
      <c r="D3337" s="340">
        <v>1</v>
      </c>
      <c r="E3337" s="343"/>
    </row>
    <row r="3338" spans="1:5" s="335" customFormat="1" ht="36">
      <c r="A3338" s="342" t="s">
        <v>2525</v>
      </c>
      <c r="B3338" s="342" t="s">
        <v>2525</v>
      </c>
      <c r="C3338" s="342" t="str">
        <f>("EPAY1012")</f>
        <v>EPAY1012</v>
      </c>
      <c r="D3338" s="340">
        <v>1.1000000000000001</v>
      </c>
      <c r="E3338" s="343"/>
    </row>
    <row r="3339" spans="1:5" s="335" customFormat="1" ht="36">
      <c r="A3339" s="342" t="s">
        <v>2526</v>
      </c>
      <c r="B3339" s="342" t="s">
        <v>2526</v>
      </c>
      <c r="C3339" s="342" t="str">
        <f>("EPAY1013")</f>
        <v>EPAY1013</v>
      </c>
      <c r="D3339" s="340">
        <v>2</v>
      </c>
      <c r="E3339" s="343"/>
    </row>
    <row r="3340" spans="1:5" s="335" customFormat="1" ht="36">
      <c r="A3340" s="342" t="s">
        <v>2527</v>
      </c>
      <c r="B3340" s="342" t="s">
        <v>2527</v>
      </c>
      <c r="C3340" s="342" t="str">
        <f>("EPAY1020")</f>
        <v>EPAY1020</v>
      </c>
      <c r="D3340" s="340">
        <v>75</v>
      </c>
      <c r="E3340" s="343"/>
    </row>
    <row r="3341" spans="1:5" s="335" customFormat="1" ht="60">
      <c r="A3341" s="342" t="s">
        <v>2528</v>
      </c>
      <c r="B3341" s="342" t="s">
        <v>2528</v>
      </c>
      <c r="C3341" s="342" t="str">
        <f>("EPAYCB06")</f>
        <v>EPAYCB06</v>
      </c>
      <c r="D3341" s="340">
        <v>95</v>
      </c>
      <c r="E3341" s="343"/>
    </row>
    <row r="3342" spans="1:5" s="335" customFormat="1" ht="24">
      <c r="A3342" s="342" t="s">
        <v>2529</v>
      </c>
      <c r="B3342" s="342" t="s">
        <v>2529</v>
      </c>
      <c r="C3342" s="342" t="str">
        <f>("EPAYRBSH")</f>
        <v>EPAYRBSH</v>
      </c>
      <c r="D3342" s="340">
        <v>815</v>
      </c>
      <c r="E3342" s="343"/>
    </row>
    <row r="3343" spans="1:5" s="335" customFormat="1" ht="36">
      <c r="A3343" s="342" t="s">
        <v>2530</v>
      </c>
      <c r="B3343" s="342" t="s">
        <v>2530</v>
      </c>
      <c r="C3343" s="342" t="str">
        <f>("MSCCRDPR")</f>
        <v>MSCCRDPR</v>
      </c>
      <c r="D3343" s="340">
        <v>1</v>
      </c>
      <c r="E3343" s="343"/>
    </row>
    <row r="3344" spans="1:5" s="335" customFormat="1" ht="12.75">
      <c r="A3344" s="403" t="s">
        <v>2531</v>
      </c>
      <c r="B3344" s="403"/>
      <c r="C3344" s="403"/>
      <c r="D3344" s="403"/>
      <c r="E3344" s="343"/>
    </row>
    <row r="3345" spans="1:5" s="335" customFormat="1" ht="36">
      <c r="A3345" s="342" t="s">
        <v>2532</v>
      </c>
      <c r="B3345" s="342" t="s">
        <v>2532</v>
      </c>
      <c r="C3345" s="342" t="str">
        <f>("EQ5CC0013PB")</f>
        <v>EQ5CC0013PB</v>
      </c>
      <c r="D3345" s="340">
        <v>5507</v>
      </c>
      <c r="E3345" s="343"/>
    </row>
    <row r="3346" spans="1:5" s="335" customFormat="1" ht="36">
      <c r="A3346" s="342" t="s">
        <v>2533</v>
      </c>
      <c r="B3346" s="342" t="s">
        <v>2533</v>
      </c>
      <c r="C3346" s="342" t="str">
        <f>("EQ5CC0014PB")</f>
        <v>EQ5CC0014PB</v>
      </c>
      <c r="D3346" s="340">
        <v>5931</v>
      </c>
      <c r="E3346" s="343"/>
    </row>
    <row r="3347" spans="1:5" s="335" customFormat="1" ht="36">
      <c r="A3347" s="342" t="s">
        <v>2534</v>
      </c>
      <c r="B3347" s="342" t="s">
        <v>2534</v>
      </c>
      <c r="C3347" s="342" t="str">
        <f>("EQ5CC0015PB")</f>
        <v>EQ5CC0015PB</v>
      </c>
      <c r="D3347" s="340">
        <v>6355</v>
      </c>
      <c r="E3347" s="343"/>
    </row>
    <row r="3348" spans="1:5" s="335" customFormat="1" ht="48">
      <c r="A3348" s="342" t="s">
        <v>2535</v>
      </c>
      <c r="B3348" s="342" t="s">
        <v>2535</v>
      </c>
      <c r="C3348" s="342" t="str">
        <f>("EQ5CC01U3PB")</f>
        <v>EQ5CC01U3PB</v>
      </c>
      <c r="D3348" s="340">
        <v>2543</v>
      </c>
      <c r="E3348" s="343"/>
    </row>
    <row r="3349" spans="1:5" s="335" customFormat="1" ht="48">
      <c r="A3349" s="342" t="s">
        <v>2536</v>
      </c>
      <c r="B3349" s="342" t="s">
        <v>2536</v>
      </c>
      <c r="C3349" s="342" t="str">
        <f>("EQ5CC01U4PB")</f>
        <v>EQ5CC01U4PB</v>
      </c>
      <c r="D3349" s="340">
        <v>2967</v>
      </c>
      <c r="E3349" s="343"/>
    </row>
    <row r="3350" spans="1:5" s="335" customFormat="1" ht="48">
      <c r="A3350" s="342" t="s">
        <v>2537</v>
      </c>
      <c r="B3350" s="342" t="s">
        <v>2537</v>
      </c>
      <c r="C3350" s="342" t="str">
        <f>("EQ5CC01U5PB")</f>
        <v>EQ5CC01U5PB</v>
      </c>
      <c r="D3350" s="340">
        <v>3391</v>
      </c>
      <c r="E3350" s="343"/>
    </row>
    <row r="3351" spans="1:5" s="335" customFormat="1" ht="36">
      <c r="A3351" s="342" t="s">
        <v>2538</v>
      </c>
      <c r="B3351" s="342" t="s">
        <v>2538</v>
      </c>
      <c r="C3351" s="342" t="str">
        <f>("EQ5DC0013PB")</f>
        <v>EQ5DC0013PB</v>
      </c>
      <c r="D3351" s="340">
        <v>767</v>
      </c>
      <c r="E3351" s="343"/>
    </row>
    <row r="3352" spans="1:5" s="335" customFormat="1" ht="36">
      <c r="A3352" s="342" t="s">
        <v>2539</v>
      </c>
      <c r="B3352" s="342" t="s">
        <v>2539</v>
      </c>
      <c r="C3352" s="342" t="str">
        <f>("EQ5DC0014PB")</f>
        <v>EQ5DC0014PB</v>
      </c>
      <c r="D3352" s="340">
        <v>826</v>
      </c>
      <c r="E3352" s="343"/>
    </row>
    <row r="3353" spans="1:5" s="335" customFormat="1" ht="36">
      <c r="A3353" s="342" t="s">
        <v>2540</v>
      </c>
      <c r="B3353" s="342" t="s">
        <v>2540</v>
      </c>
      <c r="C3353" s="342" t="str">
        <f>("EQ5DC0015PB")</f>
        <v>EQ5DC0015PB</v>
      </c>
      <c r="D3353" s="340">
        <v>885</v>
      </c>
      <c r="E3353" s="343"/>
    </row>
    <row r="3354" spans="1:5" s="335" customFormat="1" ht="48">
      <c r="A3354" s="342" t="s">
        <v>2541</v>
      </c>
      <c r="B3354" s="342" t="s">
        <v>2541</v>
      </c>
      <c r="C3354" s="342" t="str">
        <f>("EQ5DC01U3PB")</f>
        <v>EQ5DC01U3PB</v>
      </c>
      <c r="D3354" s="340">
        <v>354</v>
      </c>
      <c r="E3354" s="343"/>
    </row>
    <row r="3355" spans="1:5" s="335" customFormat="1" ht="48">
      <c r="A3355" s="342" t="s">
        <v>2542</v>
      </c>
      <c r="B3355" s="342" t="s">
        <v>2542</v>
      </c>
      <c r="C3355" s="342" t="str">
        <f>("EQ5DC01U4PB")</f>
        <v>EQ5DC01U4PB</v>
      </c>
      <c r="D3355" s="340">
        <v>413</v>
      </c>
      <c r="E3355" s="343"/>
    </row>
    <row r="3356" spans="1:5" s="335" customFormat="1" ht="48">
      <c r="A3356" s="342" t="s">
        <v>2543</v>
      </c>
      <c r="B3356" s="342" t="s">
        <v>2543</v>
      </c>
      <c r="C3356" s="342" t="str">
        <f>("EQ5DC01U5PB")</f>
        <v>EQ5DC01U5PB</v>
      </c>
      <c r="D3356" s="340">
        <v>472</v>
      </c>
      <c r="E3356" s="343"/>
    </row>
    <row r="3357" spans="1:5" s="335" customFormat="1" ht="36">
      <c r="A3357" s="342" t="s">
        <v>2544</v>
      </c>
      <c r="B3357" s="342" t="s">
        <v>2544</v>
      </c>
      <c r="C3357" s="342" t="str">
        <f>("PC1CFE003PB")</f>
        <v>PC1CFE003PB</v>
      </c>
      <c r="D3357" s="340">
        <v>910</v>
      </c>
      <c r="E3357" s="343"/>
    </row>
    <row r="3358" spans="1:5" s="335" customFormat="1" ht="36">
      <c r="A3358" s="342" t="s">
        <v>2545</v>
      </c>
      <c r="B3358" s="342" t="s">
        <v>2545</v>
      </c>
      <c r="C3358" s="342" t="str">
        <f>("PC1CFE004PB")</f>
        <v>PC1CFE004PB</v>
      </c>
      <c r="D3358" s="340">
        <v>980</v>
      </c>
      <c r="E3358" s="343"/>
    </row>
    <row r="3359" spans="1:5" s="335" customFormat="1" ht="36">
      <c r="A3359" s="342" t="s">
        <v>2546</v>
      </c>
      <c r="B3359" s="342" t="s">
        <v>2546</v>
      </c>
      <c r="C3359" s="342" t="str">
        <f>("PC1CFE005PB")</f>
        <v>PC1CFE005PB</v>
      </c>
      <c r="D3359" s="340">
        <v>1050</v>
      </c>
      <c r="E3359" s="343"/>
    </row>
    <row r="3360" spans="1:5" s="335" customFormat="1" ht="36">
      <c r="A3360" s="342" t="s">
        <v>2547</v>
      </c>
      <c r="B3360" s="342" t="s">
        <v>2547</v>
      </c>
      <c r="C3360" s="342" t="str">
        <f>("PC1CFME03PB")</f>
        <v>PC1CFME03PB</v>
      </c>
      <c r="D3360" s="340">
        <v>1040</v>
      </c>
      <c r="E3360" s="343"/>
    </row>
    <row r="3361" spans="1:5" s="335" customFormat="1" ht="36">
      <c r="A3361" s="342" t="s">
        <v>2548</v>
      </c>
      <c r="B3361" s="342" t="s">
        <v>2548</v>
      </c>
      <c r="C3361" s="342" t="str">
        <f>("PC1CFME04PB")</f>
        <v>PC1CFME04PB</v>
      </c>
      <c r="D3361" s="340">
        <v>1120</v>
      </c>
      <c r="E3361" s="343"/>
    </row>
    <row r="3362" spans="1:5" s="335" customFormat="1" ht="36">
      <c r="A3362" s="342" t="s">
        <v>2549</v>
      </c>
      <c r="B3362" s="342" t="s">
        <v>2549</v>
      </c>
      <c r="C3362" s="342" t="str">
        <f>("PC1CFME05PB")</f>
        <v>PC1CFME05PB</v>
      </c>
      <c r="D3362" s="340">
        <v>1200</v>
      </c>
      <c r="E3362" s="343"/>
    </row>
    <row r="3363" spans="1:5" s="335" customFormat="1" ht="36">
      <c r="A3363" s="342" t="s">
        <v>2550</v>
      </c>
      <c r="B3363" s="342" t="s">
        <v>2550</v>
      </c>
      <c r="C3363" s="342" t="str">
        <f>("PC1CFX003PB")</f>
        <v>PC1CFX003PB</v>
      </c>
      <c r="D3363" s="340">
        <v>1235</v>
      </c>
      <c r="E3363" s="343"/>
    </row>
    <row r="3364" spans="1:5" s="335" customFormat="1" ht="36">
      <c r="A3364" s="342" t="s">
        <v>2551</v>
      </c>
      <c r="B3364" s="342" t="s">
        <v>2551</v>
      </c>
      <c r="C3364" s="342" t="str">
        <f>("PC1CFX004PB")</f>
        <v>PC1CFX004PB</v>
      </c>
      <c r="D3364" s="340">
        <v>1330</v>
      </c>
      <c r="E3364" s="343"/>
    </row>
    <row r="3365" spans="1:5" s="335" customFormat="1" ht="36">
      <c r="A3365" s="342" t="s">
        <v>2552</v>
      </c>
      <c r="B3365" s="342" t="s">
        <v>2552</v>
      </c>
      <c r="C3365" s="342" t="str">
        <f>("PC1CFX005PB")</f>
        <v>PC1CFX005PB</v>
      </c>
      <c r="D3365" s="340">
        <v>1425</v>
      </c>
      <c r="E3365" s="343"/>
    </row>
    <row r="3366" spans="1:5" s="335" customFormat="1" ht="36">
      <c r="A3366" s="342" t="s">
        <v>2553</v>
      </c>
      <c r="B3366" s="342" t="s">
        <v>2553</v>
      </c>
      <c r="C3366" s="342" t="str">
        <f>("PC1CFY003PB")</f>
        <v>PC1CFY003PB</v>
      </c>
      <c r="D3366" s="340">
        <v>1365</v>
      </c>
      <c r="E3366" s="343"/>
    </row>
    <row r="3367" spans="1:5" s="335" customFormat="1" ht="36">
      <c r="A3367" s="342" t="s">
        <v>2554</v>
      </c>
      <c r="B3367" s="342" t="s">
        <v>2554</v>
      </c>
      <c r="C3367" s="342" t="str">
        <f>("PC1CFY004PB")</f>
        <v>PC1CFY004PB</v>
      </c>
      <c r="D3367" s="340">
        <v>1470</v>
      </c>
      <c r="E3367" s="343"/>
    </row>
    <row r="3368" spans="1:5" s="335" customFormat="1" ht="36">
      <c r="A3368" s="342" t="s">
        <v>2555</v>
      </c>
      <c r="B3368" s="342" t="s">
        <v>2555</v>
      </c>
      <c r="C3368" s="342" t="str">
        <f>("PC1CFY005PB")</f>
        <v>PC1CFY005PB</v>
      </c>
      <c r="D3368" s="340">
        <v>1575</v>
      </c>
      <c r="E3368" s="343"/>
    </row>
    <row r="3369" spans="1:5" s="335" customFormat="1" ht="36">
      <c r="A3369" s="342" t="s">
        <v>2556</v>
      </c>
      <c r="B3369" s="342" t="s">
        <v>2556</v>
      </c>
      <c r="C3369" s="342" t="str">
        <f>("PC1CFZ003PB")</f>
        <v>PC1CFZ003PB</v>
      </c>
      <c r="D3369" s="340">
        <v>1300</v>
      </c>
      <c r="E3369" s="343"/>
    </row>
    <row r="3370" spans="1:5" s="335" customFormat="1" ht="36">
      <c r="A3370" s="342" t="s">
        <v>2557</v>
      </c>
      <c r="B3370" s="342" t="s">
        <v>2557</v>
      </c>
      <c r="C3370" s="342" t="str">
        <f>("PC1CFZ004PB")</f>
        <v>PC1CFZ004PB</v>
      </c>
      <c r="D3370" s="340">
        <v>1400</v>
      </c>
      <c r="E3370" s="343"/>
    </row>
    <row r="3371" spans="1:5" s="335" customFormat="1" ht="36">
      <c r="A3371" s="342" t="s">
        <v>2558</v>
      </c>
      <c r="B3371" s="342" t="s">
        <v>2558</v>
      </c>
      <c r="C3371" s="342" t="str">
        <f>("PC1CFZ005PB")</f>
        <v>PC1CFZ005PB</v>
      </c>
      <c r="D3371" s="340">
        <v>1500</v>
      </c>
      <c r="E3371" s="343"/>
    </row>
    <row r="3372" spans="1:5" s="335" customFormat="1" ht="36">
      <c r="A3372" s="342" t="s">
        <v>2559</v>
      </c>
      <c r="B3372" s="342" t="s">
        <v>2559</v>
      </c>
      <c r="C3372" s="342" t="str">
        <f>("PC3CFE003PB")</f>
        <v>PC3CFE003PB</v>
      </c>
      <c r="D3372" s="340">
        <v>1235</v>
      </c>
      <c r="E3372" s="343"/>
    </row>
    <row r="3373" spans="1:5" s="335" customFormat="1" ht="36">
      <c r="A3373" s="342" t="s">
        <v>2560</v>
      </c>
      <c r="B3373" s="342" t="s">
        <v>2560</v>
      </c>
      <c r="C3373" s="342" t="str">
        <f>("PC3CFE004PB")</f>
        <v>PC3CFE004PB</v>
      </c>
      <c r="D3373" s="340">
        <v>1330</v>
      </c>
      <c r="E3373" s="343"/>
    </row>
    <row r="3374" spans="1:5" s="335" customFormat="1" ht="36">
      <c r="A3374" s="342" t="s">
        <v>2561</v>
      </c>
      <c r="B3374" s="342" t="s">
        <v>2561</v>
      </c>
      <c r="C3374" s="342" t="str">
        <f>("PC3CFE005PB")</f>
        <v>PC3CFE005PB</v>
      </c>
      <c r="D3374" s="340">
        <v>1425</v>
      </c>
      <c r="E3374" s="343"/>
    </row>
    <row r="3375" spans="1:5" s="335" customFormat="1" ht="48">
      <c r="A3375" s="342" t="s">
        <v>2562</v>
      </c>
      <c r="B3375" s="342" t="s">
        <v>2562</v>
      </c>
      <c r="C3375" s="342" t="str">
        <f>("PC3CFME03PB")</f>
        <v>PC3CFME03PB</v>
      </c>
      <c r="D3375" s="340">
        <v>1300</v>
      </c>
      <c r="E3375" s="343"/>
    </row>
    <row r="3376" spans="1:5" s="335" customFormat="1" ht="48">
      <c r="A3376" s="342" t="s">
        <v>2563</v>
      </c>
      <c r="B3376" s="342" t="s">
        <v>2563</v>
      </c>
      <c r="C3376" s="342" t="str">
        <f>("PC3CFME04PB")</f>
        <v>PC3CFME04PB</v>
      </c>
      <c r="D3376" s="340">
        <v>1400</v>
      </c>
      <c r="E3376" s="343"/>
    </row>
    <row r="3377" spans="1:5" s="335" customFormat="1" ht="48">
      <c r="A3377" s="342" t="s">
        <v>2564</v>
      </c>
      <c r="B3377" s="342" t="s">
        <v>2564</v>
      </c>
      <c r="C3377" s="342" t="str">
        <f>("PC3CFME05PB")</f>
        <v>PC3CFME05PB</v>
      </c>
      <c r="D3377" s="340">
        <v>1500</v>
      </c>
      <c r="E3377" s="343"/>
    </row>
    <row r="3378" spans="1:5" s="335" customFormat="1" ht="48">
      <c r="A3378" s="342" t="s">
        <v>2565</v>
      </c>
      <c r="B3378" s="342" t="s">
        <v>2565</v>
      </c>
      <c r="C3378" s="342" t="str">
        <f>("PC3CFX003PB")</f>
        <v>PC3CFX003PB</v>
      </c>
      <c r="D3378" s="340">
        <v>1560</v>
      </c>
      <c r="E3378" s="343"/>
    </row>
    <row r="3379" spans="1:5" s="335" customFormat="1" ht="48">
      <c r="A3379" s="342" t="s">
        <v>2566</v>
      </c>
      <c r="B3379" s="342" t="s">
        <v>2566</v>
      </c>
      <c r="C3379" s="342" t="str">
        <f>("PC3CFX004PB")</f>
        <v>PC3CFX004PB</v>
      </c>
      <c r="D3379" s="340">
        <v>1680</v>
      </c>
      <c r="E3379" s="343"/>
    </row>
    <row r="3380" spans="1:5" s="335" customFormat="1" ht="48">
      <c r="A3380" s="342" t="s">
        <v>2567</v>
      </c>
      <c r="B3380" s="342" t="s">
        <v>2567</v>
      </c>
      <c r="C3380" s="342" t="str">
        <f>("PC3CFX005PB")</f>
        <v>PC3CFX005PB</v>
      </c>
      <c r="D3380" s="340">
        <v>1800</v>
      </c>
      <c r="E3380" s="343"/>
    </row>
    <row r="3381" spans="1:5" s="335" customFormat="1" ht="36">
      <c r="A3381" s="342" t="s">
        <v>2568</v>
      </c>
      <c r="B3381" s="342" t="s">
        <v>2568</v>
      </c>
      <c r="C3381" s="342" t="str">
        <f>("PC3CFY003PB")</f>
        <v>PC3CFY003PB</v>
      </c>
      <c r="D3381" s="340">
        <v>1755</v>
      </c>
      <c r="E3381" s="343"/>
    </row>
    <row r="3382" spans="1:5" s="335" customFormat="1" ht="36">
      <c r="A3382" s="342" t="s">
        <v>2569</v>
      </c>
      <c r="B3382" s="342" t="s">
        <v>2569</v>
      </c>
      <c r="C3382" s="342" t="str">
        <f>("PC3CFY004PB")</f>
        <v>PC3CFY004PB</v>
      </c>
      <c r="D3382" s="340">
        <v>1890</v>
      </c>
      <c r="E3382" s="343"/>
    </row>
    <row r="3383" spans="1:5" s="335" customFormat="1" ht="36">
      <c r="A3383" s="342" t="s">
        <v>2570</v>
      </c>
      <c r="B3383" s="342" t="s">
        <v>2570</v>
      </c>
      <c r="C3383" s="342" t="str">
        <f>("PC3CFY005PB")</f>
        <v>PC3CFY005PB</v>
      </c>
      <c r="D3383" s="340">
        <v>2025</v>
      </c>
      <c r="E3383" s="343"/>
    </row>
    <row r="3384" spans="1:5" s="335" customFormat="1" ht="36">
      <c r="A3384" s="342" t="s">
        <v>2571</v>
      </c>
      <c r="B3384" s="342" t="s">
        <v>2571</v>
      </c>
      <c r="C3384" s="342" t="str">
        <f>("PC3CFZ003PB")</f>
        <v>PC3CFZ003PB</v>
      </c>
      <c r="D3384" s="340">
        <v>1560</v>
      </c>
      <c r="E3384" s="343"/>
    </row>
    <row r="3385" spans="1:5" s="335" customFormat="1" ht="36">
      <c r="A3385" s="342" t="s">
        <v>2572</v>
      </c>
      <c r="B3385" s="342" t="s">
        <v>2572</v>
      </c>
      <c r="C3385" s="342" t="str">
        <f>("PC3CFZ004PB")</f>
        <v>PC3CFZ004PB</v>
      </c>
      <c r="D3385" s="340">
        <v>1680</v>
      </c>
      <c r="E3385" s="343"/>
    </row>
    <row r="3386" spans="1:5" s="335" customFormat="1" ht="36">
      <c r="A3386" s="342" t="s">
        <v>2573</v>
      </c>
      <c r="B3386" s="342" t="s">
        <v>2573</v>
      </c>
      <c r="C3386" s="342" t="str">
        <f>("PC3CFZ005PB")</f>
        <v>PC3CFZ005PB</v>
      </c>
      <c r="D3386" s="340">
        <v>1800</v>
      </c>
      <c r="E3386" s="343"/>
    </row>
    <row r="3387" spans="1:5" s="335" customFormat="1" ht="12.75">
      <c r="A3387" s="403" t="s">
        <v>856</v>
      </c>
      <c r="B3387" s="403"/>
      <c r="C3387" s="403"/>
      <c r="D3387" s="403"/>
      <c r="E3387" s="343"/>
    </row>
    <row r="3388" spans="1:5" s="335" customFormat="1" ht="36">
      <c r="A3388" s="342" t="s">
        <v>2574</v>
      </c>
      <c r="B3388" s="342" t="s">
        <v>2574</v>
      </c>
      <c r="C3388" s="342" t="str">
        <f>("EQIN1DAY")</f>
        <v>EQIN1DAY</v>
      </c>
      <c r="D3388" s="340">
        <v>1600</v>
      </c>
      <c r="E3388" s="343"/>
    </row>
    <row r="3389" spans="1:5" s="335" customFormat="1" ht="36">
      <c r="A3389" s="342" t="s">
        <v>2575</v>
      </c>
      <c r="B3389" s="342" t="s">
        <v>2575</v>
      </c>
      <c r="C3389" s="342" t="str">
        <f>("EQINS4HR")</f>
        <v>EQINS4HR</v>
      </c>
      <c r="D3389" s="340">
        <v>800</v>
      </c>
      <c r="E3389" s="343"/>
    </row>
    <row r="3390" spans="1:5" s="335" customFormat="1" ht="36">
      <c r="A3390" s="342" t="s">
        <v>2576</v>
      </c>
      <c r="B3390" s="342" t="s">
        <v>2576</v>
      </c>
      <c r="C3390" s="342" t="str">
        <f>("EQPD1AIR")</f>
        <v>EQPD1AIR</v>
      </c>
      <c r="D3390" s="340">
        <v>1000</v>
      </c>
      <c r="E3390" s="343"/>
    </row>
    <row r="3391" spans="1:5" s="335" customFormat="1" ht="24">
      <c r="A3391" s="342" t="s">
        <v>2577</v>
      </c>
      <c r="B3391" s="342" t="s">
        <v>2577</v>
      </c>
      <c r="C3391" s="342" t="str">
        <f>("EQPD1DAY")</f>
        <v>EQPD1DAY</v>
      </c>
      <c r="D3391" s="340">
        <v>200</v>
      </c>
      <c r="E3391" s="343"/>
    </row>
    <row r="3392" spans="1:5" s="335" customFormat="1" ht="36">
      <c r="A3392" s="342" t="s">
        <v>2578</v>
      </c>
      <c r="B3392" s="342" t="s">
        <v>2578</v>
      </c>
      <c r="C3392" s="342" t="str">
        <f>("EQPD1NGT")</f>
        <v>EQPD1NGT</v>
      </c>
      <c r="D3392" s="340">
        <v>400</v>
      </c>
      <c r="E3392" s="343"/>
    </row>
    <row r="3393" spans="1:5" s="335" customFormat="1" ht="72">
      <c r="A3393" s="342" t="s">
        <v>2579</v>
      </c>
      <c r="B3393" s="342" t="s">
        <v>2579</v>
      </c>
      <c r="C3393" s="342" t="str">
        <f>("EQPSLARG")</f>
        <v>EQPSLARG</v>
      </c>
      <c r="D3393" s="340">
        <v>1000</v>
      </c>
      <c r="E3393" s="343"/>
    </row>
    <row r="3394" spans="1:5" s="335" customFormat="1" ht="72">
      <c r="A3394" s="342" t="s">
        <v>2580</v>
      </c>
      <c r="B3394" s="342" t="s">
        <v>2580</v>
      </c>
      <c r="C3394" s="342" t="str">
        <f>("EQPSSMAL")</f>
        <v>EQPSSMAL</v>
      </c>
      <c r="D3394" s="340">
        <v>100</v>
      </c>
      <c r="E3394" s="343"/>
    </row>
    <row r="3395" spans="1:5" s="335" customFormat="1" ht="36">
      <c r="A3395" s="342" t="s">
        <v>2581</v>
      </c>
      <c r="B3395" s="342" t="s">
        <v>2581</v>
      </c>
      <c r="C3395" s="342" t="str">
        <f>("EQTR1DAY")</f>
        <v>EQTR1DAY</v>
      </c>
      <c r="D3395" s="340">
        <v>1600</v>
      </c>
      <c r="E3395" s="343"/>
    </row>
    <row r="3396" spans="1:5" s="335" customFormat="1" ht="24">
      <c r="A3396" s="342" t="s">
        <v>2582</v>
      </c>
      <c r="B3396" s="342" t="s">
        <v>2582</v>
      </c>
      <c r="C3396" s="342" t="str">
        <f>("EQTRAIN1")</f>
        <v>EQTRAIN1</v>
      </c>
      <c r="D3396" s="340">
        <v>33</v>
      </c>
      <c r="E3396" s="343"/>
    </row>
    <row r="3397" spans="1:5" s="335" customFormat="1" ht="24">
      <c r="A3397" s="342" t="s">
        <v>2583</v>
      </c>
      <c r="B3397" s="342" t="s">
        <v>2583</v>
      </c>
      <c r="C3397" s="342" t="str">
        <f>("EQTRAIN5")</f>
        <v>EQTRAIN5</v>
      </c>
      <c r="D3397" s="340">
        <v>165</v>
      </c>
      <c r="E3397" s="343"/>
    </row>
    <row r="3398" spans="1:5" s="335" customFormat="1" ht="24">
      <c r="A3398" s="342" t="s">
        <v>2584</v>
      </c>
      <c r="B3398" s="342" t="s">
        <v>2584</v>
      </c>
      <c r="C3398" s="342" t="str">
        <f>("EQTRN010")</f>
        <v>EQTRN010</v>
      </c>
      <c r="D3398" s="340">
        <v>330</v>
      </c>
      <c r="E3398" s="343"/>
    </row>
    <row r="3399" spans="1:5" s="335" customFormat="1" ht="36">
      <c r="A3399" s="342" t="s">
        <v>2585</v>
      </c>
      <c r="B3399" s="342" t="s">
        <v>2585</v>
      </c>
      <c r="C3399" s="342" t="str">
        <f>("EQWBN1HR")</f>
        <v>EQWBN1HR</v>
      </c>
      <c r="D3399" s="340">
        <v>200</v>
      </c>
      <c r="E3399" s="343"/>
    </row>
    <row r="3400" spans="1:5" s="335" customFormat="1" ht="12.75">
      <c r="A3400" s="403" t="s">
        <v>2586</v>
      </c>
      <c r="B3400" s="403"/>
      <c r="C3400" s="403"/>
      <c r="D3400" s="403"/>
      <c r="E3400" s="343"/>
    </row>
    <row r="3401" spans="1:5" s="335" customFormat="1" ht="48">
      <c r="A3401" s="342" t="s">
        <v>2587</v>
      </c>
      <c r="B3401" s="342" t="s">
        <v>2587</v>
      </c>
      <c r="C3401" s="342" t="str">
        <f>("EQ5CC0011PB")</f>
        <v>EQ5CC0011PB</v>
      </c>
      <c r="D3401" s="340">
        <v>424</v>
      </c>
      <c r="E3401" s="343"/>
    </row>
    <row r="3402" spans="1:5" s="335" customFormat="1" ht="48">
      <c r="A3402" s="342" t="s">
        <v>2588</v>
      </c>
      <c r="B3402" s="342" t="s">
        <v>2588</v>
      </c>
      <c r="C3402" s="342" t="str">
        <f>("EQ5CC01U1PB")</f>
        <v>EQ5CC01U1PB</v>
      </c>
      <c r="D3402" s="340">
        <v>424</v>
      </c>
      <c r="E3402" s="343"/>
    </row>
    <row r="3403" spans="1:5" s="335" customFormat="1" ht="48">
      <c r="A3403" s="342" t="s">
        <v>2589</v>
      </c>
      <c r="B3403" s="342" t="s">
        <v>2589</v>
      </c>
      <c r="C3403" s="342" t="str">
        <f>("EQ5CLS011PB")</f>
        <v>EQ5CLS011PB</v>
      </c>
      <c r="D3403" s="340">
        <v>381</v>
      </c>
      <c r="E3403" s="343"/>
    </row>
    <row r="3404" spans="1:5" s="335" customFormat="1" ht="36">
      <c r="A3404" s="342" t="s">
        <v>2590</v>
      </c>
      <c r="B3404" s="342" t="s">
        <v>2590</v>
      </c>
      <c r="C3404" s="342" t="str">
        <f>("EQ5CLS0U1PB")</f>
        <v>EQ5CLS0U1PB</v>
      </c>
      <c r="D3404" s="340">
        <v>381</v>
      </c>
      <c r="E3404" s="343"/>
    </row>
    <row r="3405" spans="1:5" s="335" customFormat="1" ht="48">
      <c r="A3405" s="342" t="s">
        <v>2591</v>
      </c>
      <c r="B3405" s="342" t="s">
        <v>2591</v>
      </c>
      <c r="C3405" s="342" t="str">
        <f>("EQ5DC0011PB")</f>
        <v>EQ5DC0011PB</v>
      </c>
      <c r="D3405" s="340">
        <v>59</v>
      </c>
      <c r="E3405" s="343"/>
    </row>
    <row r="3406" spans="1:5" s="335" customFormat="1" ht="60">
      <c r="A3406" s="342" t="s">
        <v>2592</v>
      </c>
      <c r="B3406" s="342" t="s">
        <v>2592</v>
      </c>
      <c r="C3406" s="342" t="str">
        <f>("EQ5DC01U1PB")</f>
        <v>EQ5DC01U1PB</v>
      </c>
      <c r="D3406" s="340">
        <v>59</v>
      </c>
      <c r="E3406" s="343"/>
    </row>
    <row r="3407" spans="1:5" s="335" customFormat="1" ht="48">
      <c r="A3407" s="342" t="s">
        <v>2593</v>
      </c>
      <c r="B3407" s="342" t="s">
        <v>2593</v>
      </c>
      <c r="C3407" s="342" t="str">
        <f>("EQ5ED0011PB")</f>
        <v>EQ5ED0011PB</v>
      </c>
      <c r="D3407" s="340">
        <v>50</v>
      </c>
      <c r="E3407" s="343"/>
    </row>
    <row r="3408" spans="1:5" s="335" customFormat="1" ht="48">
      <c r="A3408" s="342" t="s">
        <v>2594</v>
      </c>
      <c r="B3408" s="342" t="s">
        <v>2594</v>
      </c>
      <c r="C3408" s="342" t="str">
        <f>("EQ5ED0101PB")</f>
        <v>EQ5ED0101PB</v>
      </c>
      <c r="D3408" s="340">
        <v>430</v>
      </c>
      <c r="E3408" s="343"/>
    </row>
    <row r="3409" spans="1:5" s="335" customFormat="1" ht="48">
      <c r="A3409" s="342" t="s">
        <v>2595</v>
      </c>
      <c r="B3409" s="342" t="s">
        <v>2595</v>
      </c>
      <c r="C3409" s="342" t="str">
        <f>("EQ5ED01U13PB")</f>
        <v>EQ5ED01U13PB</v>
      </c>
      <c r="D3409" s="340">
        <v>50</v>
      </c>
      <c r="E3409" s="343"/>
    </row>
    <row r="3410" spans="1:5" s="335" customFormat="1" ht="60">
      <c r="A3410" s="342" t="s">
        <v>2596</v>
      </c>
      <c r="B3410" s="342" t="s">
        <v>2596</v>
      </c>
      <c r="C3410" s="342" t="str">
        <f>("EQ5ED0CU1PB")</f>
        <v>EQ5ED0CU1PB</v>
      </c>
      <c r="D3410" s="340">
        <v>3390</v>
      </c>
      <c r="E3410" s="343"/>
    </row>
    <row r="3411" spans="1:5" s="335" customFormat="1" ht="60">
      <c r="A3411" s="342" t="s">
        <v>2597</v>
      </c>
      <c r="B3411" s="342" t="s">
        <v>2597</v>
      </c>
      <c r="C3411" s="342" t="str">
        <f>("EQ5ED0DU1PB")</f>
        <v>EQ5ED0DU1PB</v>
      </c>
      <c r="D3411" s="340">
        <v>15254</v>
      </c>
      <c r="E3411" s="343"/>
    </row>
    <row r="3412" spans="1:5" s="335" customFormat="1" ht="48">
      <c r="A3412" s="342" t="s">
        <v>2598</v>
      </c>
      <c r="B3412" s="342" t="s">
        <v>2598</v>
      </c>
      <c r="C3412" s="342" t="str">
        <f>("EQ5ED1001PB")</f>
        <v>EQ5ED1001PB</v>
      </c>
      <c r="D3412" s="340">
        <v>3390</v>
      </c>
      <c r="E3412" s="343"/>
    </row>
    <row r="3413" spans="1:5" s="335" customFormat="1" ht="48">
      <c r="A3413" s="342" t="s">
        <v>2599</v>
      </c>
      <c r="B3413" s="342" t="s">
        <v>2599</v>
      </c>
      <c r="C3413" s="342" t="str">
        <f>("EQ5ED5001PB")</f>
        <v>EQ5ED5001PB</v>
      </c>
      <c r="D3413" s="340">
        <v>15254</v>
      </c>
      <c r="E3413" s="343"/>
    </row>
    <row r="3414" spans="1:5" s="335" customFormat="1" ht="60">
      <c r="A3414" s="342" t="s">
        <v>2600</v>
      </c>
      <c r="B3414" s="342" t="s">
        <v>2600</v>
      </c>
      <c r="C3414" s="342" t="str">
        <f>("EQ5EDOXU1PB")</f>
        <v>EQ5EDOXU1PB</v>
      </c>
      <c r="D3414" s="340">
        <v>430</v>
      </c>
      <c r="E3414" s="343"/>
    </row>
    <row r="3415" spans="1:5" s="335" customFormat="1" ht="72">
      <c r="A3415" s="342" t="s">
        <v>2601</v>
      </c>
      <c r="B3415" s="342" t="s">
        <v>2601</v>
      </c>
      <c r="C3415" s="342" t="str">
        <f>("EQ5EECE11PB")</f>
        <v>EQ5EECE11PB</v>
      </c>
      <c r="D3415" s="340">
        <v>1.19</v>
      </c>
      <c r="E3415" s="343"/>
    </row>
    <row r="3416" spans="1:5" s="335" customFormat="1" ht="72">
      <c r="A3416" s="342" t="s">
        <v>2602</v>
      </c>
      <c r="B3416" s="342" t="s">
        <v>2602</v>
      </c>
      <c r="C3416" s="342" t="str">
        <f>("EQ5EECE21PB")</f>
        <v>EQ5EECE21PB</v>
      </c>
      <c r="D3416" s="340">
        <v>1.02</v>
      </c>
      <c r="E3416" s="343"/>
    </row>
    <row r="3417" spans="1:5" s="335" customFormat="1" ht="72">
      <c r="A3417" s="342" t="s">
        <v>2603</v>
      </c>
      <c r="B3417" s="342" t="s">
        <v>2603</v>
      </c>
      <c r="C3417" s="342" t="str">
        <f>("EQ5EECE31PB")</f>
        <v>EQ5EECE31PB</v>
      </c>
      <c r="D3417" s="340">
        <v>0.89</v>
      </c>
      <c r="E3417" s="343"/>
    </row>
    <row r="3418" spans="1:5" s="335" customFormat="1" ht="72">
      <c r="A3418" s="342" t="s">
        <v>2604</v>
      </c>
      <c r="B3418" s="342" t="s">
        <v>2604</v>
      </c>
      <c r="C3418" s="342" t="str">
        <f>("EQ5EECE41PB")</f>
        <v>EQ5EECE41PB</v>
      </c>
      <c r="D3418" s="340">
        <v>0.81</v>
      </c>
      <c r="E3418" s="343"/>
    </row>
    <row r="3419" spans="1:5" s="335" customFormat="1" ht="72">
      <c r="A3419" s="342" t="s">
        <v>2605</v>
      </c>
      <c r="B3419" s="342" t="s">
        <v>2605</v>
      </c>
      <c r="C3419" s="342" t="str">
        <f>("EQ5EECE51PB")</f>
        <v>EQ5EECE51PB</v>
      </c>
      <c r="D3419" s="340">
        <v>0.72</v>
      </c>
      <c r="E3419" s="343"/>
    </row>
    <row r="3420" spans="1:5" s="335" customFormat="1" ht="72">
      <c r="A3420" s="342" t="s">
        <v>2606</v>
      </c>
      <c r="B3420" s="342" t="s">
        <v>2606</v>
      </c>
      <c r="C3420" s="342" t="str">
        <f>("EQ5EECEK1PB")</f>
        <v>EQ5EECEK1PB</v>
      </c>
      <c r="D3420" s="340">
        <v>1.74</v>
      </c>
      <c r="E3420" s="343"/>
    </row>
    <row r="3421" spans="1:5" s="335" customFormat="1" ht="72">
      <c r="A3421" s="342" t="s">
        <v>2607</v>
      </c>
      <c r="B3421" s="342" t="s">
        <v>2607</v>
      </c>
      <c r="C3421" s="342" t="str">
        <f>("EQ5EECU11PB")</f>
        <v>EQ5EECU11PB</v>
      </c>
      <c r="D3421" s="340">
        <v>1.19</v>
      </c>
      <c r="E3421" s="343"/>
    </row>
    <row r="3422" spans="1:5" s="335" customFormat="1" ht="72">
      <c r="A3422" s="342" t="s">
        <v>2608</v>
      </c>
      <c r="B3422" s="342" t="s">
        <v>2608</v>
      </c>
      <c r="C3422" s="342" t="str">
        <f>("EQ5EECU21PB")</f>
        <v>EQ5EECU21PB</v>
      </c>
      <c r="D3422" s="340">
        <v>1.02</v>
      </c>
      <c r="E3422" s="343"/>
    </row>
    <row r="3423" spans="1:5" s="335" customFormat="1" ht="60">
      <c r="A3423" s="342" t="s">
        <v>2609</v>
      </c>
      <c r="B3423" s="342" t="s">
        <v>2609</v>
      </c>
      <c r="C3423" s="342" t="str">
        <f>("EQ5EECU31PB")</f>
        <v>EQ5EECU31PB</v>
      </c>
      <c r="D3423" s="340">
        <v>0.89</v>
      </c>
      <c r="E3423" s="343"/>
    </row>
    <row r="3424" spans="1:5" s="335" customFormat="1" ht="72">
      <c r="A3424" s="342" t="s">
        <v>2610</v>
      </c>
      <c r="B3424" s="342" t="s">
        <v>2610</v>
      </c>
      <c r="C3424" s="342" t="str">
        <f>("EQ5EECU41PB")</f>
        <v>EQ5EECU41PB</v>
      </c>
      <c r="D3424" s="340">
        <v>0.81</v>
      </c>
      <c r="E3424" s="343"/>
    </row>
    <row r="3425" spans="1:5" s="335" customFormat="1" ht="72">
      <c r="A3425" s="342" t="s">
        <v>2611</v>
      </c>
      <c r="B3425" s="342" t="s">
        <v>2611</v>
      </c>
      <c r="C3425" s="342" t="str">
        <f>("EQ5EECU51PB")</f>
        <v>EQ5EECU51PB</v>
      </c>
      <c r="D3425" s="340">
        <v>0.72</v>
      </c>
      <c r="E3425" s="343"/>
    </row>
    <row r="3426" spans="1:5" s="335" customFormat="1" ht="72">
      <c r="A3426" s="342" t="s">
        <v>2612</v>
      </c>
      <c r="B3426" s="342" t="s">
        <v>2612</v>
      </c>
      <c r="C3426" s="342" t="str">
        <f>("EQ5EECUK1PB")</f>
        <v>EQ5EECUK1PB</v>
      </c>
      <c r="D3426" s="340">
        <v>1.74</v>
      </c>
      <c r="E3426" s="343"/>
    </row>
    <row r="3427" spans="1:5" s="335" customFormat="1" ht="60">
      <c r="A3427" s="342" t="s">
        <v>2613</v>
      </c>
      <c r="B3427" s="342" t="s">
        <v>2613</v>
      </c>
      <c r="C3427" s="342" t="str">
        <f>("EQ5EENC11PB")</f>
        <v>EQ5EENC11PB</v>
      </c>
      <c r="D3427" s="340">
        <v>0.72</v>
      </c>
      <c r="E3427" s="343"/>
    </row>
    <row r="3428" spans="1:5" s="335" customFormat="1" ht="72">
      <c r="A3428" s="342" t="s">
        <v>2614</v>
      </c>
      <c r="B3428" s="342" t="s">
        <v>2614</v>
      </c>
      <c r="C3428" s="342" t="str">
        <f>("EQ5EENC21PB")</f>
        <v>EQ5EENC21PB</v>
      </c>
      <c r="D3428" s="340">
        <v>0.64</v>
      </c>
      <c r="E3428" s="343"/>
    </row>
    <row r="3429" spans="1:5" s="335" customFormat="1" ht="72">
      <c r="A3429" s="342" t="s">
        <v>2615</v>
      </c>
      <c r="B3429" s="342" t="s">
        <v>2615</v>
      </c>
      <c r="C3429" s="342" t="str">
        <f>("EQ5EENC31PB")</f>
        <v>EQ5EENC31PB</v>
      </c>
      <c r="D3429" s="340">
        <v>0.6</v>
      </c>
      <c r="E3429" s="343"/>
    </row>
    <row r="3430" spans="1:5" s="335" customFormat="1" ht="72">
      <c r="A3430" s="342" t="s">
        <v>2616</v>
      </c>
      <c r="B3430" s="342" t="s">
        <v>2616</v>
      </c>
      <c r="C3430" s="342" t="str">
        <f>("EQ5EENC41PB")</f>
        <v>EQ5EENC41PB</v>
      </c>
      <c r="D3430" s="340">
        <v>0.55000000000000004</v>
      </c>
      <c r="E3430" s="343"/>
    </row>
    <row r="3431" spans="1:5" s="335" customFormat="1" ht="72">
      <c r="A3431" s="342" t="s">
        <v>2617</v>
      </c>
      <c r="B3431" s="342" t="s">
        <v>2617</v>
      </c>
      <c r="C3431" s="342" t="str">
        <f>("EQ5EENC51PB")</f>
        <v>EQ5EENC51PB</v>
      </c>
      <c r="D3431" s="340">
        <v>0.51</v>
      </c>
      <c r="E3431" s="343"/>
    </row>
    <row r="3432" spans="1:5" s="335" customFormat="1" ht="72">
      <c r="A3432" s="342" t="s">
        <v>2618</v>
      </c>
      <c r="B3432" s="342" t="s">
        <v>2618</v>
      </c>
      <c r="C3432" s="342" t="str">
        <f>("EQ5EENCK1PB")</f>
        <v>EQ5EENCK1PB</v>
      </c>
      <c r="D3432" s="340">
        <v>1.06</v>
      </c>
      <c r="E3432" s="343"/>
    </row>
    <row r="3433" spans="1:5" s="335" customFormat="1" ht="72">
      <c r="A3433" s="342" t="s">
        <v>2619</v>
      </c>
      <c r="B3433" s="342" t="s">
        <v>2619</v>
      </c>
      <c r="C3433" s="342" t="str">
        <f>("EQ5EENU11PB")</f>
        <v>EQ5EENU11PB</v>
      </c>
      <c r="D3433" s="340">
        <v>0.72</v>
      </c>
      <c r="E3433" s="343"/>
    </row>
    <row r="3434" spans="1:5" s="335" customFormat="1" ht="60">
      <c r="A3434" s="342" t="s">
        <v>2620</v>
      </c>
      <c r="B3434" s="342" t="s">
        <v>2620</v>
      </c>
      <c r="C3434" s="342" t="str">
        <f>("EQ5EENU21PB")</f>
        <v>EQ5EENU21PB</v>
      </c>
      <c r="D3434" s="340">
        <v>0.64</v>
      </c>
      <c r="E3434" s="343"/>
    </row>
    <row r="3435" spans="1:5" s="335" customFormat="1" ht="72">
      <c r="A3435" s="342" t="s">
        <v>2621</v>
      </c>
      <c r="B3435" s="342" t="s">
        <v>2621</v>
      </c>
      <c r="C3435" s="342" t="str">
        <f>("EQ5EENU31PB")</f>
        <v>EQ5EENU31PB</v>
      </c>
      <c r="D3435" s="340">
        <v>0.6</v>
      </c>
      <c r="E3435" s="343"/>
    </row>
    <row r="3436" spans="1:5" s="335" customFormat="1" ht="72">
      <c r="A3436" s="342" t="s">
        <v>2622</v>
      </c>
      <c r="B3436" s="342" t="s">
        <v>2622</v>
      </c>
      <c r="C3436" s="342" t="str">
        <f>("EQ5EENU41PB")</f>
        <v>EQ5EENU41PB</v>
      </c>
      <c r="D3436" s="340">
        <v>0.55000000000000004</v>
      </c>
      <c r="E3436" s="343"/>
    </row>
    <row r="3437" spans="1:5" s="335" customFormat="1" ht="72">
      <c r="A3437" s="342" t="s">
        <v>2623</v>
      </c>
      <c r="B3437" s="342" t="s">
        <v>2623</v>
      </c>
      <c r="C3437" s="342" t="str">
        <f>("EQ5EENU51PB")</f>
        <v>EQ5EENU51PB</v>
      </c>
      <c r="D3437" s="340">
        <v>0.51</v>
      </c>
      <c r="E3437" s="343"/>
    </row>
    <row r="3438" spans="1:5" s="335" customFormat="1" ht="72">
      <c r="A3438" s="342" t="s">
        <v>2624</v>
      </c>
      <c r="B3438" s="342" t="s">
        <v>2624</v>
      </c>
      <c r="C3438" s="342" t="str">
        <f>("EQ5EENUK1PB")</f>
        <v>EQ5EENUK1PB</v>
      </c>
      <c r="D3438" s="340">
        <v>1.06</v>
      </c>
      <c r="E3438" s="343"/>
    </row>
    <row r="3439" spans="1:5" s="335" customFormat="1" ht="60">
      <c r="A3439" s="342" t="s">
        <v>2625</v>
      </c>
      <c r="B3439" s="342" t="s">
        <v>2625</v>
      </c>
      <c r="C3439" s="342" t="str">
        <f>("EQ5EESCU1PB")</f>
        <v>EQ5EESCU1PB</v>
      </c>
      <c r="D3439" s="340">
        <v>110</v>
      </c>
      <c r="E3439" s="343"/>
    </row>
    <row r="3440" spans="1:5" s="335" customFormat="1" ht="48">
      <c r="A3440" s="342" t="s">
        <v>2626</v>
      </c>
      <c r="B3440" s="342" t="s">
        <v>2626</v>
      </c>
      <c r="C3440" s="342" t="str">
        <f>("EQ5EESU11PB")</f>
        <v>EQ5EESU11PB</v>
      </c>
      <c r="D3440" s="340">
        <v>279</v>
      </c>
      <c r="E3440" s="343"/>
    </row>
    <row r="3441" spans="1:5" s="335" customFormat="1" ht="60">
      <c r="A3441" s="342" t="s">
        <v>2627</v>
      </c>
      <c r="B3441" s="342" t="s">
        <v>2627</v>
      </c>
      <c r="C3441" s="342" t="str">
        <f>("EQ5EESUU1PB")</f>
        <v>EQ5EESUU1PB</v>
      </c>
      <c r="D3441" s="340">
        <v>279</v>
      </c>
      <c r="E3441" s="343"/>
    </row>
    <row r="3442" spans="1:5" s="335" customFormat="1" ht="72">
      <c r="A3442" s="342" t="s">
        <v>2628</v>
      </c>
      <c r="B3442" s="342" t="s">
        <v>2628</v>
      </c>
      <c r="C3442" s="342" t="str">
        <f>("EQ5EFEU11PB")</f>
        <v>EQ5EFEU11PB</v>
      </c>
      <c r="D3442" s="340">
        <v>1.02</v>
      </c>
      <c r="E3442" s="343"/>
    </row>
    <row r="3443" spans="1:5" s="335" customFormat="1" ht="72">
      <c r="A3443" s="342" t="s">
        <v>2629</v>
      </c>
      <c r="B3443" s="342" t="s">
        <v>2629</v>
      </c>
      <c r="C3443" s="342" t="str">
        <f>("EQ5EFEU21PB")</f>
        <v>EQ5EFEU21PB</v>
      </c>
      <c r="D3443" s="340">
        <v>0.89</v>
      </c>
      <c r="E3443" s="343"/>
    </row>
    <row r="3444" spans="1:5" s="335" customFormat="1" ht="72">
      <c r="A3444" s="342" t="s">
        <v>2630</v>
      </c>
      <c r="B3444" s="342" t="s">
        <v>2630</v>
      </c>
      <c r="C3444" s="342" t="str">
        <f>("EQ5EFEU31PB")</f>
        <v>EQ5EFEU31PB</v>
      </c>
      <c r="D3444" s="340">
        <v>0.76</v>
      </c>
      <c r="E3444" s="343"/>
    </row>
    <row r="3445" spans="1:5" s="335" customFormat="1" ht="72">
      <c r="A3445" s="342" t="s">
        <v>2631</v>
      </c>
      <c r="B3445" s="342" t="s">
        <v>2631</v>
      </c>
      <c r="C3445" s="342" t="str">
        <f>("EQ5EFEU41PB")</f>
        <v>EQ5EFEU41PB</v>
      </c>
      <c r="D3445" s="340">
        <v>0.7</v>
      </c>
      <c r="E3445" s="343"/>
    </row>
    <row r="3446" spans="1:5" s="335" customFormat="1" ht="72">
      <c r="A3446" s="342" t="s">
        <v>2632</v>
      </c>
      <c r="B3446" s="342" t="s">
        <v>2632</v>
      </c>
      <c r="C3446" s="342" t="str">
        <f>("EQ5EFEU51PB")</f>
        <v>EQ5EFEU51PB</v>
      </c>
      <c r="D3446" s="340">
        <v>0.64</v>
      </c>
      <c r="E3446" s="343"/>
    </row>
    <row r="3447" spans="1:5" s="335" customFormat="1" ht="72">
      <c r="A3447" s="342" t="s">
        <v>2633</v>
      </c>
      <c r="B3447" s="342" t="s">
        <v>2633</v>
      </c>
      <c r="C3447" s="342" t="str">
        <f>("EQ5EFEUK1PB")</f>
        <v>EQ5EFEUK1PB</v>
      </c>
      <c r="D3447" s="340">
        <v>1.53</v>
      </c>
      <c r="E3447" s="343"/>
    </row>
    <row r="3448" spans="1:5" s="335" customFormat="1" ht="60">
      <c r="A3448" s="342" t="s">
        <v>2634</v>
      </c>
      <c r="B3448" s="342" t="s">
        <v>2634</v>
      </c>
      <c r="C3448" s="342" t="str">
        <f>("EQ5EFNC11PB")</f>
        <v>EQ5EFNC11PB</v>
      </c>
      <c r="D3448" s="340">
        <v>0.63</v>
      </c>
      <c r="E3448" s="343"/>
    </row>
    <row r="3449" spans="1:5" s="335" customFormat="1" ht="60">
      <c r="A3449" s="342" t="s">
        <v>2635</v>
      </c>
      <c r="B3449" s="342" t="s">
        <v>2635</v>
      </c>
      <c r="C3449" s="342" t="str">
        <f>("EQ5EFNC21PB")</f>
        <v>EQ5EFNC21PB</v>
      </c>
      <c r="D3449" s="340">
        <v>0.55000000000000004</v>
      </c>
      <c r="E3449" s="343"/>
    </row>
    <row r="3450" spans="1:5" s="335" customFormat="1" ht="60">
      <c r="A3450" s="342" t="s">
        <v>2636</v>
      </c>
      <c r="B3450" s="342" t="s">
        <v>2636</v>
      </c>
      <c r="C3450" s="342" t="str">
        <f>("EQ5EFNC31PB")</f>
        <v>EQ5EFNC31PB</v>
      </c>
      <c r="D3450" s="340">
        <v>0.51</v>
      </c>
      <c r="E3450" s="343"/>
    </row>
    <row r="3451" spans="1:5" s="335" customFormat="1" ht="72">
      <c r="A3451" s="342" t="s">
        <v>2637</v>
      </c>
      <c r="B3451" s="342" t="s">
        <v>2637</v>
      </c>
      <c r="C3451" s="342" t="str">
        <f>("EQ5EFNC41PB")</f>
        <v>EQ5EFNC41PB</v>
      </c>
      <c r="D3451" s="340">
        <v>0.47</v>
      </c>
      <c r="E3451" s="343"/>
    </row>
    <row r="3452" spans="1:5" s="335" customFormat="1" ht="72">
      <c r="A3452" s="342" t="s">
        <v>2637</v>
      </c>
      <c r="B3452" s="342" t="s">
        <v>2637</v>
      </c>
      <c r="C3452" s="342" t="str">
        <f>("EQ5EFNC51PB")</f>
        <v>EQ5EFNC51PB</v>
      </c>
      <c r="D3452" s="340">
        <v>0.43</v>
      </c>
      <c r="E3452" s="343"/>
    </row>
    <row r="3453" spans="1:5" s="335" customFormat="1" ht="60">
      <c r="A3453" s="342" t="s">
        <v>2638</v>
      </c>
      <c r="B3453" s="342" t="s">
        <v>2638</v>
      </c>
      <c r="C3453" s="342" t="str">
        <f>("EQ5EFNCK1PB")</f>
        <v>EQ5EFNCK1PB</v>
      </c>
      <c r="D3453" s="340">
        <v>0.93</v>
      </c>
      <c r="E3453" s="343"/>
    </row>
    <row r="3454" spans="1:5" s="335" customFormat="1" ht="72">
      <c r="A3454" s="342" t="s">
        <v>2639</v>
      </c>
      <c r="B3454" s="342" t="s">
        <v>2639</v>
      </c>
      <c r="C3454" s="342" t="str">
        <f>("EQ5EFNE11PB")</f>
        <v>EQ5EFNE11PB</v>
      </c>
      <c r="D3454" s="340">
        <v>1.02</v>
      </c>
      <c r="E3454" s="343"/>
    </row>
    <row r="3455" spans="1:5" s="335" customFormat="1" ht="72">
      <c r="A3455" s="342" t="s">
        <v>2640</v>
      </c>
      <c r="B3455" s="342" t="s">
        <v>2640</v>
      </c>
      <c r="C3455" s="342" t="str">
        <f>("EQ5EFNE21PB")</f>
        <v>EQ5EFNE21PB</v>
      </c>
      <c r="D3455" s="340">
        <v>0.89</v>
      </c>
      <c r="E3455" s="343"/>
    </row>
    <row r="3456" spans="1:5" s="335" customFormat="1" ht="72">
      <c r="A3456" s="342" t="s">
        <v>2641</v>
      </c>
      <c r="B3456" s="342" t="s">
        <v>2641</v>
      </c>
      <c r="C3456" s="342" t="str">
        <f>("EQ5EFNE31PB")</f>
        <v>EQ5EFNE31PB</v>
      </c>
      <c r="D3456" s="340">
        <v>0.76</v>
      </c>
      <c r="E3456" s="343"/>
    </row>
    <row r="3457" spans="1:5" s="335" customFormat="1" ht="72">
      <c r="A3457" s="342" t="s">
        <v>2642</v>
      </c>
      <c r="B3457" s="342" t="s">
        <v>2642</v>
      </c>
      <c r="C3457" s="342" t="str">
        <f>("EQ5EFNE41PB")</f>
        <v>EQ5EFNE41PB</v>
      </c>
      <c r="D3457" s="340">
        <v>0.7</v>
      </c>
      <c r="E3457" s="343"/>
    </row>
    <row r="3458" spans="1:5" s="335" customFormat="1" ht="72">
      <c r="A3458" s="342" t="s">
        <v>2643</v>
      </c>
      <c r="B3458" s="342" t="s">
        <v>2643</v>
      </c>
      <c r="C3458" s="342" t="str">
        <f>("EQ5EFNE51PB")</f>
        <v>EQ5EFNE51PB</v>
      </c>
      <c r="D3458" s="340">
        <v>0.64</v>
      </c>
      <c r="E3458" s="343"/>
    </row>
    <row r="3459" spans="1:5" s="335" customFormat="1" ht="72">
      <c r="A3459" s="342" t="s">
        <v>2644</v>
      </c>
      <c r="B3459" s="342" t="s">
        <v>2644</v>
      </c>
      <c r="C3459" s="342" t="str">
        <f>("EQ5EFNEK1PB")</f>
        <v>EQ5EFNEK1PB</v>
      </c>
      <c r="D3459" s="340">
        <v>1.53</v>
      </c>
      <c r="E3459" s="343"/>
    </row>
    <row r="3460" spans="1:5" s="335" customFormat="1" ht="72">
      <c r="A3460" s="342" t="s">
        <v>2645</v>
      </c>
      <c r="B3460" s="342" t="s">
        <v>2645</v>
      </c>
      <c r="C3460" s="342" t="str">
        <f>("EQ5EFNU11PB")</f>
        <v>EQ5EFNU11PB</v>
      </c>
      <c r="D3460" s="340">
        <v>0.63</v>
      </c>
      <c r="E3460" s="343"/>
    </row>
    <row r="3461" spans="1:5" s="335" customFormat="1" ht="72">
      <c r="A3461" s="342" t="s">
        <v>2646</v>
      </c>
      <c r="B3461" s="342" t="s">
        <v>2646</v>
      </c>
      <c r="C3461" s="342" t="str">
        <f>("EQ5EFNU21PB")</f>
        <v>EQ5EFNU21PB</v>
      </c>
      <c r="D3461" s="340">
        <v>0.55000000000000004</v>
      </c>
      <c r="E3461" s="343"/>
    </row>
    <row r="3462" spans="1:5" s="335" customFormat="1" ht="72">
      <c r="A3462" s="342" t="s">
        <v>2647</v>
      </c>
      <c r="B3462" s="342" t="s">
        <v>2647</v>
      </c>
      <c r="C3462" s="342" t="str">
        <f>("EQ5EFNU31PB")</f>
        <v>EQ5EFNU31PB</v>
      </c>
      <c r="D3462" s="340">
        <v>0.51</v>
      </c>
      <c r="E3462" s="343"/>
    </row>
    <row r="3463" spans="1:5" s="335" customFormat="1" ht="72">
      <c r="A3463" s="342" t="s">
        <v>2648</v>
      </c>
      <c r="B3463" s="342" t="s">
        <v>2648</v>
      </c>
      <c r="C3463" s="342" t="str">
        <f>("EQ5EFNU41PB")</f>
        <v>EQ5EFNU41PB</v>
      </c>
      <c r="D3463" s="340">
        <v>0.47</v>
      </c>
      <c r="E3463" s="343"/>
    </row>
    <row r="3464" spans="1:5" s="335" customFormat="1" ht="72">
      <c r="A3464" s="342" t="s">
        <v>2649</v>
      </c>
      <c r="B3464" s="342" t="s">
        <v>2649</v>
      </c>
      <c r="C3464" s="342" t="str">
        <f>("EQ5EFNU51PB")</f>
        <v>EQ5EFNU51PB</v>
      </c>
      <c r="D3464" s="340">
        <v>0.43</v>
      </c>
      <c r="E3464" s="343"/>
    </row>
    <row r="3465" spans="1:5" s="335" customFormat="1" ht="72">
      <c r="A3465" s="342" t="s">
        <v>2650</v>
      </c>
      <c r="B3465" s="342" t="s">
        <v>2650</v>
      </c>
      <c r="C3465" s="342" t="str">
        <f>("EQ5EFNUK1PB")</f>
        <v>EQ5EFNUK1PB</v>
      </c>
      <c r="D3465" s="340">
        <v>0.93</v>
      </c>
      <c r="E3465" s="343"/>
    </row>
    <row r="3466" spans="1:5" s="335" customFormat="1" ht="48">
      <c r="A3466" s="342" t="s">
        <v>2651</v>
      </c>
      <c r="B3466" s="342" t="s">
        <v>2651</v>
      </c>
      <c r="C3466" s="342" t="str">
        <f>("EQ5EL0011PB")</f>
        <v>EQ5EL0011PB</v>
      </c>
      <c r="D3466" s="340">
        <v>50</v>
      </c>
      <c r="E3466" s="343"/>
    </row>
    <row r="3467" spans="1:5" s="335" customFormat="1" ht="48">
      <c r="A3467" s="342" t="s">
        <v>2652</v>
      </c>
      <c r="B3467" s="342" t="s">
        <v>2652</v>
      </c>
      <c r="C3467" s="342" t="str">
        <f>("EQ5EL0101PB")</f>
        <v>EQ5EL0101PB</v>
      </c>
      <c r="D3467" s="340">
        <v>430</v>
      </c>
      <c r="E3467" s="343"/>
    </row>
    <row r="3468" spans="1:5" s="335" customFormat="1" ht="60">
      <c r="A3468" s="342" t="s">
        <v>2653</v>
      </c>
      <c r="B3468" s="342" t="s">
        <v>2653</v>
      </c>
      <c r="C3468" s="342" t="str">
        <f>("EQ5EL01U1PB")</f>
        <v>EQ5EL01U1PB</v>
      </c>
      <c r="D3468" s="340">
        <v>50</v>
      </c>
      <c r="E3468" s="343"/>
    </row>
    <row r="3469" spans="1:5" s="335" customFormat="1" ht="60">
      <c r="A3469" s="342" t="s">
        <v>2654</v>
      </c>
      <c r="B3469" s="342" t="s">
        <v>2654</v>
      </c>
      <c r="C3469" s="342" t="str">
        <f>("EQ5EL0CU1PB")</f>
        <v>EQ5EL0CU1PB</v>
      </c>
      <c r="D3469" s="340">
        <v>3390</v>
      </c>
      <c r="E3469" s="343"/>
    </row>
    <row r="3470" spans="1:5" s="335" customFormat="1" ht="60">
      <c r="A3470" s="342" t="s">
        <v>2655</v>
      </c>
      <c r="B3470" s="342" t="s">
        <v>2655</v>
      </c>
      <c r="C3470" s="342" t="str">
        <f>("EQ5EL0XU1PB")</f>
        <v>EQ5EL0XU1PB</v>
      </c>
      <c r="D3470" s="340">
        <v>430</v>
      </c>
      <c r="E3470" s="343"/>
    </row>
    <row r="3471" spans="1:5" s="335" customFormat="1" ht="48">
      <c r="A3471" s="342" t="s">
        <v>2656</v>
      </c>
      <c r="B3471" s="342" t="s">
        <v>2656</v>
      </c>
      <c r="C3471" s="342" t="str">
        <f>("EQ5EL1001PB")</f>
        <v>EQ5EL1001PB</v>
      </c>
      <c r="D3471" s="340">
        <v>3390</v>
      </c>
      <c r="E3471" s="343"/>
    </row>
    <row r="3472" spans="1:5" s="335" customFormat="1" ht="48">
      <c r="A3472" s="342" t="s">
        <v>2657</v>
      </c>
      <c r="B3472" s="342" t="s">
        <v>2657</v>
      </c>
      <c r="C3472" s="342" t="str">
        <f>("EQ5PO0101PB")</f>
        <v>EQ5PO0101PB</v>
      </c>
      <c r="D3472" s="340">
        <v>800</v>
      </c>
      <c r="E3472" s="343"/>
    </row>
    <row r="3473" spans="1:5" s="335" customFormat="1" ht="60">
      <c r="A3473" s="342" t="s">
        <v>2658</v>
      </c>
      <c r="B3473" s="342" t="s">
        <v>2658</v>
      </c>
      <c r="C3473" s="342" t="str">
        <f>("EQ5PO01K1PB")</f>
        <v>EQ5PO01K1PB</v>
      </c>
      <c r="D3473" s="340">
        <v>20000</v>
      </c>
      <c r="E3473" s="343"/>
    </row>
    <row r="3474" spans="1:5" s="335" customFormat="1" ht="48">
      <c r="A3474" s="342" t="s">
        <v>2659</v>
      </c>
      <c r="B3474" s="342" t="s">
        <v>2659</v>
      </c>
      <c r="C3474" s="342" t="str">
        <f>("EQ5PO0251PB")</f>
        <v>EQ5PO0251PB</v>
      </c>
      <c r="D3474" s="340">
        <v>1500</v>
      </c>
      <c r="E3474" s="343"/>
    </row>
    <row r="3475" spans="1:5" s="335" customFormat="1" ht="48">
      <c r="A3475" s="342" t="s">
        <v>2660</v>
      </c>
      <c r="B3475" s="342" t="s">
        <v>2660</v>
      </c>
      <c r="C3475" s="342" t="str">
        <f>("EQ5PO1001PB")</f>
        <v>EQ5PO1001PB</v>
      </c>
      <c r="D3475" s="340">
        <v>4000</v>
      </c>
      <c r="E3475" s="343"/>
    </row>
    <row r="3476" spans="1:5" s="335" customFormat="1" ht="48">
      <c r="A3476" s="342" t="s">
        <v>2661</v>
      </c>
      <c r="B3476" s="342" t="s">
        <v>2661</v>
      </c>
      <c r="C3476" s="342" t="str">
        <f>("EQ5PO5001PB")</f>
        <v>EQ5PO5001PB</v>
      </c>
      <c r="D3476" s="340">
        <v>15000</v>
      </c>
      <c r="E3476" s="343"/>
    </row>
    <row r="3477" spans="1:5" s="335" customFormat="1" ht="36">
      <c r="A3477" s="342" t="s">
        <v>2662</v>
      </c>
      <c r="B3477" s="342" t="s">
        <v>2662</v>
      </c>
      <c r="C3477" s="342" t="str">
        <f>("EQ5PS0011PB")</f>
        <v>EQ5PS0011PB</v>
      </c>
      <c r="D3477" s="340">
        <v>135</v>
      </c>
      <c r="E3477" s="343"/>
    </row>
    <row r="3478" spans="1:5" s="335" customFormat="1" ht="36">
      <c r="A3478" s="342" t="s">
        <v>2663</v>
      </c>
      <c r="B3478" s="342" t="s">
        <v>2663</v>
      </c>
      <c r="C3478" s="342" t="str">
        <f>("EQ5PS0101PB")</f>
        <v>EQ5PS0101PB</v>
      </c>
      <c r="D3478" s="340">
        <v>1102</v>
      </c>
      <c r="E3478" s="343"/>
    </row>
    <row r="3479" spans="1:5" s="335" customFormat="1" ht="48">
      <c r="A3479" s="342" t="s">
        <v>2664</v>
      </c>
      <c r="B3479" s="342" t="s">
        <v>2664</v>
      </c>
      <c r="C3479" s="342" t="str">
        <f>("EQ5PS01U1PB")</f>
        <v>EQ5PS01U1PB</v>
      </c>
      <c r="D3479" s="340">
        <v>135</v>
      </c>
      <c r="E3479" s="343"/>
    </row>
    <row r="3480" spans="1:5" s="335" customFormat="1" ht="48">
      <c r="A3480" s="342" t="s">
        <v>2665</v>
      </c>
      <c r="B3480" s="342" t="s">
        <v>2665</v>
      </c>
      <c r="C3480" s="342" t="str">
        <f>("EQ5PSU101PB")</f>
        <v>EQ5PSU101PB</v>
      </c>
      <c r="D3480" s="340">
        <v>1102</v>
      </c>
      <c r="E3480" s="343"/>
    </row>
    <row r="3481" spans="1:5" s="335" customFormat="1" ht="48">
      <c r="A3481" s="342" t="s">
        <v>2666</v>
      </c>
      <c r="B3481" s="342" t="s">
        <v>2666</v>
      </c>
      <c r="C3481" s="342" t="str">
        <f>("EQ5RS0011PB")</f>
        <v>EQ5RS0011PB</v>
      </c>
      <c r="D3481" s="340">
        <v>59</v>
      </c>
      <c r="E3481" s="343"/>
    </row>
    <row r="3482" spans="1:5" s="335" customFormat="1" ht="48">
      <c r="A3482" s="342" t="s">
        <v>2667</v>
      </c>
      <c r="B3482" s="342" t="s">
        <v>2667</v>
      </c>
      <c r="C3482" s="342" t="str">
        <f>("EQ5RS0101PB")</f>
        <v>EQ5RS0101PB</v>
      </c>
      <c r="D3482" s="340">
        <v>508</v>
      </c>
      <c r="E3482" s="343"/>
    </row>
    <row r="3483" spans="1:5" s="335" customFormat="1" ht="48">
      <c r="A3483" s="342" t="s">
        <v>2668</v>
      </c>
      <c r="B3483" s="342" t="s">
        <v>2668</v>
      </c>
      <c r="C3483" s="342" t="str">
        <f>("EQ5RS01U1PB")</f>
        <v>EQ5RS01U1PB</v>
      </c>
      <c r="D3483" s="340">
        <v>59</v>
      </c>
      <c r="E3483" s="343"/>
    </row>
    <row r="3484" spans="1:5" s="335" customFormat="1" ht="48">
      <c r="A3484" s="342" t="s">
        <v>2669</v>
      </c>
      <c r="B3484" s="342" t="s">
        <v>2669</v>
      </c>
      <c r="C3484" s="342" t="str">
        <f>("EQ5RSU101PB")</f>
        <v>EQ5RSU101PB</v>
      </c>
      <c r="D3484" s="340">
        <v>508</v>
      </c>
      <c r="E3484" s="343"/>
    </row>
    <row r="3485" spans="1:5" s="335" customFormat="1" ht="48">
      <c r="A3485" s="342" t="s">
        <v>2670</v>
      </c>
      <c r="B3485" s="342" t="s">
        <v>2670</v>
      </c>
      <c r="C3485" s="342" t="str">
        <f>("EQ5WR0011PB")</f>
        <v>EQ5WR0011PB</v>
      </c>
      <c r="D3485" s="340">
        <v>28</v>
      </c>
      <c r="E3485" s="343"/>
    </row>
    <row r="3486" spans="1:5" s="335" customFormat="1" ht="48">
      <c r="A3486" s="342" t="s">
        <v>2671</v>
      </c>
      <c r="B3486" s="342" t="s">
        <v>2671</v>
      </c>
      <c r="C3486" s="342" t="str">
        <f>("EQ5WR0101PB")</f>
        <v>EQ5WR0101PB</v>
      </c>
      <c r="D3486" s="340">
        <v>223</v>
      </c>
      <c r="E3486" s="343"/>
    </row>
    <row r="3487" spans="1:5" s="335" customFormat="1" ht="60">
      <c r="A3487" s="342" t="s">
        <v>2672</v>
      </c>
      <c r="B3487" s="342" t="s">
        <v>2672</v>
      </c>
      <c r="C3487" s="342" t="str">
        <f>("EQ5WR01U1PB")</f>
        <v>EQ5WR01U1PB</v>
      </c>
      <c r="D3487" s="340">
        <v>28</v>
      </c>
      <c r="E3487" s="343"/>
    </row>
    <row r="3488" spans="1:5" s="335" customFormat="1" ht="60">
      <c r="A3488" s="342" t="s">
        <v>2673</v>
      </c>
      <c r="B3488" s="342" t="s">
        <v>2673</v>
      </c>
      <c r="C3488" s="342" t="str">
        <f>("EQ5WR0CU1PB")</f>
        <v>EQ5WR0CU1PB</v>
      </c>
      <c r="D3488" s="340">
        <v>1695</v>
      </c>
      <c r="E3488" s="343"/>
    </row>
    <row r="3489" spans="1:5" s="335" customFormat="1" ht="60">
      <c r="A3489" s="342" t="s">
        <v>2674</v>
      </c>
      <c r="B3489" s="342" t="s">
        <v>2674</v>
      </c>
      <c r="C3489" s="342" t="str">
        <f>("EQ5WR0DU1PB")</f>
        <v>EQ5WR0DU1PB</v>
      </c>
      <c r="D3489" s="340">
        <v>7627</v>
      </c>
      <c r="E3489" s="343"/>
    </row>
    <row r="3490" spans="1:5" s="335" customFormat="1" ht="60">
      <c r="A3490" s="342" t="s">
        <v>2675</v>
      </c>
      <c r="B3490" s="342" t="s">
        <v>2675</v>
      </c>
      <c r="C3490" s="342" t="str">
        <f>("EQ5WR0XU1PB")</f>
        <v>EQ5WR0XU1PB</v>
      </c>
      <c r="D3490" s="340">
        <v>223</v>
      </c>
      <c r="E3490" s="343"/>
    </row>
    <row r="3491" spans="1:5" s="335" customFormat="1" ht="48">
      <c r="A3491" s="342" t="s">
        <v>2676</v>
      </c>
      <c r="B3491" s="342" t="s">
        <v>2676</v>
      </c>
      <c r="C3491" s="342" t="str">
        <f>("EQ5WR1001PB")</f>
        <v>EQ5WR1001PB</v>
      </c>
      <c r="D3491" s="340">
        <v>1695</v>
      </c>
      <c r="E3491" s="343"/>
    </row>
    <row r="3492" spans="1:5" s="335" customFormat="1" ht="48">
      <c r="A3492" s="342" t="s">
        <v>2677</v>
      </c>
      <c r="B3492" s="342" t="s">
        <v>2677</v>
      </c>
      <c r="C3492" s="342" t="str">
        <f>("EQ5WR5001PB")</f>
        <v>EQ5WR5001PB</v>
      </c>
      <c r="D3492" s="340">
        <v>7627</v>
      </c>
      <c r="E3492" s="343"/>
    </row>
    <row r="3493" spans="1:5" s="335" customFormat="1" ht="48">
      <c r="A3493" s="342" t="s">
        <v>2678</v>
      </c>
      <c r="B3493" s="342" t="s">
        <v>2678</v>
      </c>
      <c r="C3493" s="342" t="str">
        <f>("EQ5WS0101PB")</f>
        <v>EQ5WS0101PB</v>
      </c>
      <c r="D3493" s="340">
        <v>51</v>
      </c>
      <c r="E3493" s="343"/>
    </row>
    <row r="3494" spans="1:5" s="335" customFormat="1" ht="48">
      <c r="A3494" s="342" t="s">
        <v>2679</v>
      </c>
      <c r="B3494" s="342" t="s">
        <v>2679</v>
      </c>
      <c r="C3494" s="342" t="str">
        <f>("EQ5WS01K1PB")</f>
        <v>EQ5WS01K1PB</v>
      </c>
      <c r="D3494" s="340">
        <v>1017</v>
      </c>
      <c r="E3494" s="343"/>
    </row>
    <row r="3495" spans="1:5" s="335" customFormat="1" ht="48">
      <c r="A3495" s="342" t="s">
        <v>2680</v>
      </c>
      <c r="B3495" s="342" t="s">
        <v>2680</v>
      </c>
      <c r="C3495" s="342" t="str">
        <f>("EQ5WS1001PB")</f>
        <v>EQ5WS1001PB</v>
      </c>
      <c r="D3495" s="340">
        <v>237</v>
      </c>
      <c r="E3495" s="343"/>
    </row>
    <row r="3496" spans="1:5" s="335" customFormat="1" ht="48">
      <c r="A3496" s="342" t="s">
        <v>2681</v>
      </c>
      <c r="B3496" s="342" t="s">
        <v>2681</v>
      </c>
      <c r="C3496" s="342" t="str">
        <f>("EQ5WU0101PB")</f>
        <v>EQ5WU0101PB</v>
      </c>
      <c r="D3496" s="340">
        <v>51</v>
      </c>
      <c r="E3496" s="343"/>
    </row>
    <row r="3497" spans="1:5" s="335" customFormat="1" ht="48">
      <c r="A3497" s="342" t="s">
        <v>2682</v>
      </c>
      <c r="B3497" s="342" t="s">
        <v>2682</v>
      </c>
      <c r="C3497" s="342" t="str">
        <f>("EQ5WU01K1PB ")</f>
        <v xml:space="preserve">EQ5WU01K1PB </v>
      </c>
      <c r="D3497" s="340">
        <v>1017</v>
      </c>
      <c r="E3497" s="343"/>
    </row>
    <row r="3498" spans="1:5" s="335" customFormat="1" ht="48">
      <c r="A3498" s="342" t="s">
        <v>2683</v>
      </c>
      <c r="B3498" s="342" t="s">
        <v>2683</v>
      </c>
      <c r="C3498" s="342" t="str">
        <f>("EQ5WU1001PB")</f>
        <v>EQ5WU1001PB</v>
      </c>
      <c r="D3498" s="340">
        <v>237</v>
      </c>
      <c r="E3498" s="343"/>
    </row>
    <row r="3499" spans="1:5" s="335" customFormat="1" ht="36">
      <c r="A3499" s="342" t="s">
        <v>2684</v>
      </c>
      <c r="B3499" s="342" t="s">
        <v>2684</v>
      </c>
      <c r="C3499" s="342" t="str">
        <f>("PC1CFE001PB")</f>
        <v>PC1CFE001PB</v>
      </c>
      <c r="D3499" s="340">
        <v>70</v>
      </c>
      <c r="E3499" s="343"/>
    </row>
    <row r="3500" spans="1:5" s="335" customFormat="1" ht="48">
      <c r="A3500" s="342" t="s">
        <v>2685</v>
      </c>
      <c r="B3500" s="342" t="s">
        <v>2685</v>
      </c>
      <c r="C3500" s="342" t="str">
        <f>("PC1CFME01PB")</f>
        <v>PC1CFME01PB</v>
      </c>
      <c r="D3500" s="340">
        <v>80</v>
      </c>
      <c r="E3500" s="343"/>
    </row>
    <row r="3501" spans="1:5" s="335" customFormat="1" ht="48">
      <c r="A3501" s="342" t="s">
        <v>2686</v>
      </c>
      <c r="B3501" s="342" t="s">
        <v>2686</v>
      </c>
      <c r="C3501" s="342" t="str">
        <f>("PC1CFX001PB")</f>
        <v>PC1CFX001PB</v>
      </c>
      <c r="D3501" s="340">
        <v>95</v>
      </c>
      <c r="E3501" s="343"/>
    </row>
    <row r="3502" spans="1:5" s="335" customFormat="1" ht="48">
      <c r="A3502" s="342" t="s">
        <v>2687</v>
      </c>
      <c r="B3502" s="342" t="s">
        <v>2687</v>
      </c>
      <c r="C3502" s="342" t="str">
        <f>("PC1CFY001PB")</f>
        <v>PC1CFY001PB</v>
      </c>
      <c r="D3502" s="340">
        <v>105</v>
      </c>
      <c r="E3502" s="343"/>
    </row>
    <row r="3503" spans="1:5" s="335" customFormat="1" ht="36">
      <c r="A3503" s="342" t="s">
        <v>2688</v>
      </c>
      <c r="B3503" s="342" t="s">
        <v>2688</v>
      </c>
      <c r="C3503" s="342" t="str">
        <f>("PC1CFZ001PB")</f>
        <v>PC1CFZ001PB</v>
      </c>
      <c r="D3503" s="340">
        <v>100</v>
      </c>
      <c r="E3503" s="343"/>
    </row>
    <row r="3504" spans="1:5" s="335" customFormat="1" ht="48">
      <c r="A3504" s="342" t="s">
        <v>2689</v>
      </c>
      <c r="B3504" s="342" t="s">
        <v>2689</v>
      </c>
      <c r="C3504" s="342" t="str">
        <f>("PC3CFE001PB")</f>
        <v>PC3CFE001PB</v>
      </c>
      <c r="D3504" s="340">
        <v>95</v>
      </c>
      <c r="E3504" s="343"/>
    </row>
    <row r="3505" spans="1:5" s="335" customFormat="1" ht="48">
      <c r="A3505" s="342" t="s">
        <v>2690</v>
      </c>
      <c r="B3505" s="342" t="s">
        <v>2690</v>
      </c>
      <c r="C3505" s="342" t="str">
        <f>("PC3CFME01PB")</f>
        <v>PC3CFME01PB</v>
      </c>
      <c r="D3505" s="340">
        <v>100</v>
      </c>
      <c r="E3505" s="343"/>
    </row>
    <row r="3506" spans="1:5" s="335" customFormat="1" ht="60">
      <c r="A3506" s="342" t="s">
        <v>2691</v>
      </c>
      <c r="B3506" s="342" t="s">
        <v>2691</v>
      </c>
      <c r="C3506" s="342" t="str">
        <f>("PC3CFX001PB")</f>
        <v>PC3CFX001PB</v>
      </c>
      <c r="D3506" s="340">
        <v>120</v>
      </c>
      <c r="E3506" s="343"/>
    </row>
    <row r="3507" spans="1:5" s="335" customFormat="1" ht="48">
      <c r="A3507" s="342" t="s">
        <v>2692</v>
      </c>
      <c r="B3507" s="342" t="s">
        <v>2692</v>
      </c>
      <c r="C3507" s="342" t="str">
        <f>("PC3CFY001PB")</f>
        <v>PC3CFY001PB</v>
      </c>
      <c r="D3507" s="340">
        <v>135</v>
      </c>
      <c r="E3507" s="343"/>
    </row>
    <row r="3508" spans="1:5" s="335" customFormat="1" ht="48">
      <c r="A3508" s="342" t="s">
        <v>2693</v>
      </c>
      <c r="B3508" s="342" t="s">
        <v>2693</v>
      </c>
      <c r="C3508" s="342" t="str">
        <f>("PC3CFZ001PB")</f>
        <v>PC3CFZ001PB</v>
      </c>
      <c r="D3508" s="340">
        <v>120</v>
      </c>
      <c r="E3508" s="343"/>
    </row>
    <row r="3509" spans="1:5" s="335" customFormat="1" ht="12.75">
      <c r="A3509" s="344"/>
      <c r="B3509" s="343"/>
      <c r="C3509" s="343"/>
      <c r="D3509" s="395"/>
      <c r="E3509" s="343"/>
    </row>
    <row r="3510" spans="1:5" s="335" customFormat="1" ht="15" customHeight="1">
      <c r="A3510" s="345"/>
      <c r="B3510" s="404" t="s">
        <v>2694</v>
      </c>
      <c r="C3510" s="404"/>
      <c r="D3510" s="404"/>
      <c r="E3510" s="404"/>
    </row>
    <row r="3511" spans="1:5" s="335" customFormat="1" ht="25.5">
      <c r="A3511" s="346" t="s">
        <v>789</v>
      </c>
      <c r="B3511" s="346" t="s">
        <v>409</v>
      </c>
      <c r="C3511" s="346" t="s">
        <v>26</v>
      </c>
      <c r="D3511" s="337" t="s">
        <v>6425</v>
      </c>
      <c r="E3511" s="343"/>
    </row>
    <row r="3512" spans="1:5" s="335" customFormat="1" ht="24">
      <c r="A3512" s="342" t="s">
        <v>2695</v>
      </c>
      <c r="B3512" s="342" t="s">
        <v>2695</v>
      </c>
      <c r="C3512" s="342" t="str">
        <f>("Equitrac Office 5")</f>
        <v>Equitrac Office 5</v>
      </c>
      <c r="D3512" s="340">
        <v>0</v>
      </c>
      <c r="E3512" s="343"/>
    </row>
    <row r="3513" spans="1:5" s="335" customFormat="1" ht="12.75">
      <c r="A3513" s="403" t="s">
        <v>2696</v>
      </c>
      <c r="B3513" s="403"/>
      <c r="C3513" s="403"/>
      <c r="D3513" s="403"/>
      <c r="E3513" s="343"/>
    </row>
    <row r="3514" spans="1:5" s="335" customFormat="1" ht="48">
      <c r="A3514" s="342" t="s">
        <v>2697</v>
      </c>
      <c r="B3514" s="342" t="s">
        <v>2697</v>
      </c>
      <c r="C3514" s="342" t="str">
        <f>("EQ5EFSBU3PB")</f>
        <v>EQ5EFSBU3PB</v>
      </c>
      <c r="D3514" s="340">
        <v>509</v>
      </c>
      <c r="E3514" s="343"/>
    </row>
    <row r="3515" spans="1:5" s="335" customFormat="1" ht="48">
      <c r="A3515" s="342" t="s">
        <v>2698</v>
      </c>
      <c r="B3515" s="342" t="s">
        <v>2698</v>
      </c>
      <c r="C3515" s="342" t="str">
        <f>("EQ5EFSBU4PB")</f>
        <v>EQ5EFSBU4PB</v>
      </c>
      <c r="D3515" s="340">
        <v>594</v>
      </c>
      <c r="E3515" s="343"/>
    </row>
    <row r="3516" spans="1:5" s="335" customFormat="1" ht="48">
      <c r="A3516" s="342" t="s">
        <v>2699</v>
      </c>
      <c r="B3516" s="342" t="s">
        <v>2699</v>
      </c>
      <c r="C3516" s="342" t="str">
        <f>("EQ5EFSBU5PB")</f>
        <v>EQ5EFSBU5PB</v>
      </c>
      <c r="D3516" s="340">
        <v>670</v>
      </c>
      <c r="E3516" s="343"/>
    </row>
    <row r="3517" spans="1:5" s="335" customFormat="1" ht="48">
      <c r="A3517" s="342" t="s">
        <v>2700</v>
      </c>
      <c r="B3517" s="342" t="s">
        <v>2700</v>
      </c>
      <c r="C3517" s="342" t="str">
        <f>("EQ5EFSMB3PB")</f>
        <v>EQ5EFSMB3PB</v>
      </c>
      <c r="D3517" s="340">
        <v>1230</v>
      </c>
      <c r="E3517" s="343"/>
    </row>
    <row r="3518" spans="1:5" s="335" customFormat="1" ht="48">
      <c r="A3518" s="342" t="s">
        <v>2701</v>
      </c>
      <c r="B3518" s="342" t="s">
        <v>2701</v>
      </c>
      <c r="C3518" s="342" t="str">
        <f>("EQ5EFSMB4PB")</f>
        <v>EQ5EFSMB4PB</v>
      </c>
      <c r="D3518" s="340">
        <v>1325</v>
      </c>
      <c r="E3518" s="343"/>
    </row>
    <row r="3519" spans="1:5" s="335" customFormat="1" ht="48">
      <c r="A3519" s="342" t="s">
        <v>2702</v>
      </c>
      <c r="B3519" s="342" t="s">
        <v>2702</v>
      </c>
      <c r="C3519" s="342" t="str">
        <f>("EQ5EFSMB5PB")</f>
        <v>EQ5EFSMB5PB</v>
      </c>
      <c r="D3519" s="340">
        <v>1420</v>
      </c>
      <c r="E3519" s="343"/>
    </row>
    <row r="3520" spans="1:5" s="335" customFormat="1" ht="36">
      <c r="A3520" s="342" t="s">
        <v>2703</v>
      </c>
      <c r="B3520" s="342" t="s">
        <v>2703</v>
      </c>
      <c r="C3520" s="342" t="s">
        <v>6211</v>
      </c>
      <c r="D3520" s="340">
        <v>3081</v>
      </c>
      <c r="E3520" s="343"/>
    </row>
    <row r="3521" spans="1:5" s="335" customFormat="1" ht="36">
      <c r="A3521" s="342" t="s">
        <v>2704</v>
      </c>
      <c r="B3521" s="342" t="s">
        <v>2704</v>
      </c>
      <c r="C3521" s="342" t="s">
        <v>6212</v>
      </c>
      <c r="D3521" s="340">
        <v>3318</v>
      </c>
      <c r="E3521" s="343"/>
    </row>
    <row r="3522" spans="1:5" s="335" customFormat="1" ht="36">
      <c r="A3522" s="342" t="s">
        <v>2705</v>
      </c>
      <c r="B3522" s="342" t="s">
        <v>2705</v>
      </c>
      <c r="C3522" s="342" t="s">
        <v>6213</v>
      </c>
      <c r="D3522" s="340">
        <v>3555</v>
      </c>
      <c r="E3522" s="343"/>
    </row>
    <row r="3523" spans="1:5" s="335" customFormat="1" ht="60">
      <c r="A3523" s="342" t="s">
        <v>2706</v>
      </c>
      <c r="B3523" s="342" t="s">
        <v>2706</v>
      </c>
      <c r="C3523" s="342" t="str">
        <f>("EQ5EFSUB3PB")</f>
        <v>EQ5EFSUB3PB</v>
      </c>
      <c r="D3523" s="340">
        <v>569</v>
      </c>
      <c r="E3523" s="343"/>
    </row>
    <row r="3524" spans="1:5" s="335" customFormat="1" ht="60">
      <c r="A3524" s="342" t="s">
        <v>2707</v>
      </c>
      <c r="B3524" s="342" t="s">
        <v>2707</v>
      </c>
      <c r="C3524" s="342" t="str">
        <f>("EQ5EFSUB4PB")</f>
        <v>EQ5EFSUB4PB</v>
      </c>
      <c r="D3524" s="340">
        <v>664</v>
      </c>
      <c r="E3524" s="343"/>
    </row>
    <row r="3525" spans="1:5" s="335" customFormat="1" ht="60">
      <c r="A3525" s="342" t="s">
        <v>2708</v>
      </c>
      <c r="B3525" s="342" t="s">
        <v>2708</v>
      </c>
      <c r="C3525" s="342" t="str">
        <f>("EQ5EFSUB5PB")</f>
        <v>EQ5EFSUB5PB</v>
      </c>
      <c r="D3525" s="340">
        <v>759</v>
      </c>
      <c r="E3525" s="343"/>
    </row>
    <row r="3526" spans="1:5" s="335" customFormat="1" ht="48">
      <c r="A3526" s="342" t="s">
        <v>2709</v>
      </c>
      <c r="B3526" s="342" t="s">
        <v>2709</v>
      </c>
      <c r="C3526" s="342" t="str">
        <f>("EQ5EFSUU4PB")</f>
        <v>EQ5EFSUU4PB</v>
      </c>
      <c r="D3526" s="340">
        <v>1659</v>
      </c>
      <c r="E3526" s="343"/>
    </row>
    <row r="3527" spans="1:5" s="335" customFormat="1" ht="48">
      <c r="A3527" s="342" t="s">
        <v>2710</v>
      </c>
      <c r="B3527" s="342" t="s">
        <v>2710</v>
      </c>
      <c r="C3527" s="342" t="str">
        <f>("EQ5EFSUU5PB")</f>
        <v>EQ5EFSUU5PB</v>
      </c>
      <c r="D3527" s="340">
        <v>1896</v>
      </c>
      <c r="E3527" s="343"/>
    </row>
    <row r="3528" spans="1:5" s="335" customFormat="1" ht="48">
      <c r="A3528" s="342" t="s">
        <v>2711</v>
      </c>
      <c r="B3528" s="342" t="s">
        <v>2711</v>
      </c>
      <c r="C3528" s="342" t="str">
        <f>("EQ5SG0253PB")</f>
        <v>EQ5SG0253PB</v>
      </c>
      <c r="D3528" s="340">
        <v>390</v>
      </c>
      <c r="E3528" s="343"/>
    </row>
    <row r="3529" spans="1:5" s="335" customFormat="1" ht="48">
      <c r="A3529" s="342" t="s">
        <v>2712</v>
      </c>
      <c r="B3529" s="342" t="s">
        <v>2712</v>
      </c>
      <c r="C3529" s="342" t="str">
        <f>("EQ5SG0254PB")</f>
        <v>EQ5SG0254PB</v>
      </c>
      <c r="D3529" s="340">
        <v>455</v>
      </c>
      <c r="E3529" s="343"/>
    </row>
    <row r="3530" spans="1:5" s="335" customFormat="1" ht="48">
      <c r="A3530" s="342" t="s">
        <v>2713</v>
      </c>
      <c r="B3530" s="342" t="s">
        <v>2713</v>
      </c>
      <c r="C3530" s="342" t="str">
        <f>("EQ5SG0255PB")</f>
        <v>EQ5SG0255PB</v>
      </c>
      <c r="D3530" s="340">
        <v>520</v>
      </c>
      <c r="E3530" s="343"/>
    </row>
    <row r="3531" spans="1:5" s="335" customFormat="1" ht="48">
      <c r="A3531" s="342" t="s">
        <v>2714</v>
      </c>
      <c r="B3531" s="342" t="s">
        <v>2714</v>
      </c>
      <c r="C3531" s="342" t="str">
        <f>("EQ5SG1003PB")</f>
        <v>EQ5SG1003PB</v>
      </c>
      <c r="D3531" s="340">
        <v>1380</v>
      </c>
      <c r="E3531" s="343"/>
    </row>
    <row r="3532" spans="1:5" s="335" customFormat="1" ht="48">
      <c r="A3532" s="342" t="s">
        <v>2715</v>
      </c>
      <c r="B3532" s="342" t="s">
        <v>2715</v>
      </c>
      <c r="C3532" s="342" t="str">
        <f>("EQ5SG1004PB")</f>
        <v>EQ5SG1004PB</v>
      </c>
      <c r="D3532" s="340">
        <v>1610</v>
      </c>
      <c r="E3532" s="343"/>
    </row>
    <row r="3533" spans="1:5" s="335" customFormat="1" ht="48">
      <c r="A3533" s="342" t="s">
        <v>2716</v>
      </c>
      <c r="B3533" s="342" t="s">
        <v>2716</v>
      </c>
      <c r="C3533" s="342" t="str">
        <f>("EQ5SG1005PB")</f>
        <v>EQ5SG1005PB</v>
      </c>
      <c r="D3533" s="340">
        <v>1840</v>
      </c>
      <c r="E3533" s="343"/>
    </row>
    <row r="3534" spans="1:5" s="335" customFormat="1" ht="48">
      <c r="A3534" s="342" t="s">
        <v>2717</v>
      </c>
      <c r="B3534" s="342" t="s">
        <v>2717</v>
      </c>
      <c r="C3534" s="342" t="str">
        <f>("EQ5SG2503PB")</f>
        <v>EQ5SG2503PB</v>
      </c>
      <c r="D3534" s="340">
        <v>3000</v>
      </c>
      <c r="E3534" s="343"/>
    </row>
    <row r="3535" spans="1:5" s="335" customFormat="1" ht="48">
      <c r="A3535" s="342" t="s">
        <v>2718</v>
      </c>
      <c r="B3535" s="342" t="s">
        <v>2718</v>
      </c>
      <c r="C3535" s="342" t="str">
        <f>("EQ5SG2504PB")</f>
        <v>EQ5SG2504PB</v>
      </c>
      <c r="D3535" s="340">
        <v>3500</v>
      </c>
      <c r="E3535" s="343"/>
    </row>
    <row r="3536" spans="1:5" s="335" customFormat="1" ht="48">
      <c r="A3536" s="342" t="s">
        <v>2719</v>
      </c>
      <c r="B3536" s="342" t="s">
        <v>2719</v>
      </c>
      <c r="C3536" s="342" t="str">
        <f>("EQ5SG2505PB")</f>
        <v>EQ5SG2505PB</v>
      </c>
      <c r="D3536" s="340">
        <v>4000</v>
      </c>
      <c r="E3536" s="343"/>
    </row>
    <row r="3537" spans="1:5" s="335" customFormat="1" ht="36">
      <c r="A3537" s="342" t="s">
        <v>2720</v>
      </c>
      <c r="B3537" s="342" t="s">
        <v>2720</v>
      </c>
      <c r="C3537" s="342" t="str">
        <f>("EQ5SU0253PB")</f>
        <v>EQ5SU0253PB</v>
      </c>
      <c r="D3537" s="340">
        <v>845</v>
      </c>
      <c r="E3537" s="343"/>
    </row>
    <row r="3538" spans="1:5" s="335" customFormat="1" ht="36">
      <c r="A3538" s="342" t="s">
        <v>2721</v>
      </c>
      <c r="B3538" s="342" t="s">
        <v>2721</v>
      </c>
      <c r="C3538" s="342" t="str">
        <f>("EQ5SU0254PB")</f>
        <v>EQ5SU0254PB</v>
      </c>
      <c r="D3538" s="340">
        <v>910</v>
      </c>
      <c r="E3538" s="343"/>
    </row>
    <row r="3539" spans="1:5" s="335" customFormat="1" ht="36">
      <c r="A3539" s="342" t="s">
        <v>2722</v>
      </c>
      <c r="B3539" s="342" t="s">
        <v>2722</v>
      </c>
      <c r="C3539" s="342" t="str">
        <f>("EQ5SU0255PB")</f>
        <v>EQ5SU0255PB</v>
      </c>
      <c r="D3539" s="340">
        <v>975</v>
      </c>
      <c r="E3539" s="343"/>
    </row>
    <row r="3540" spans="1:5" s="335" customFormat="1" ht="36">
      <c r="A3540" s="342" t="s">
        <v>2723</v>
      </c>
      <c r="B3540" s="342" t="s">
        <v>2723</v>
      </c>
      <c r="C3540" s="342" t="str">
        <f>("EQ5SU1003PB")</f>
        <v>EQ5SU1003PB</v>
      </c>
      <c r="D3540" s="340">
        <v>2990</v>
      </c>
      <c r="E3540" s="343"/>
    </row>
    <row r="3541" spans="1:5" s="335" customFormat="1" ht="36">
      <c r="A3541" s="342" t="s">
        <v>2724</v>
      </c>
      <c r="B3541" s="342" t="s">
        <v>2724</v>
      </c>
      <c r="C3541" s="342" t="str">
        <f>("EQ5SU1004PB")</f>
        <v>EQ5SU1004PB</v>
      </c>
      <c r="D3541" s="340">
        <v>3220</v>
      </c>
      <c r="E3541" s="343"/>
    </row>
    <row r="3542" spans="1:5" s="335" customFormat="1" ht="36">
      <c r="A3542" s="342" t="s">
        <v>2725</v>
      </c>
      <c r="B3542" s="342" t="s">
        <v>2725</v>
      </c>
      <c r="C3542" s="342" t="str">
        <f>("EQ5SU1005PB")</f>
        <v>EQ5SU1005PB</v>
      </c>
      <c r="D3542" s="340">
        <v>3450</v>
      </c>
      <c r="E3542" s="343"/>
    </row>
    <row r="3543" spans="1:5" s="335" customFormat="1" ht="36">
      <c r="A3543" s="342" t="s">
        <v>2726</v>
      </c>
      <c r="B3543" s="342" t="s">
        <v>2726</v>
      </c>
      <c r="C3543" s="342" t="str">
        <f>("EQ5SU2503PB")</f>
        <v>EQ5SU2503PB</v>
      </c>
      <c r="D3543" s="340">
        <v>6500</v>
      </c>
      <c r="E3543" s="343"/>
    </row>
    <row r="3544" spans="1:5" s="335" customFormat="1" ht="36">
      <c r="A3544" s="342" t="s">
        <v>2727</v>
      </c>
      <c r="B3544" s="342" t="s">
        <v>2727</v>
      </c>
      <c r="C3544" s="342" t="str">
        <f>("EQ5SU2504PB")</f>
        <v>EQ5SU2504PB</v>
      </c>
      <c r="D3544" s="340">
        <v>7000</v>
      </c>
      <c r="E3544" s="343"/>
    </row>
    <row r="3545" spans="1:5" s="335" customFormat="1" ht="36">
      <c r="A3545" s="342" t="s">
        <v>2728</v>
      </c>
      <c r="B3545" s="342" t="s">
        <v>2728</v>
      </c>
      <c r="C3545" s="342" t="str">
        <f>("EQ5SU2505PB")</f>
        <v>EQ5SU2505PB</v>
      </c>
      <c r="D3545" s="340">
        <v>7500</v>
      </c>
      <c r="E3545" s="343"/>
    </row>
    <row r="3546" spans="1:5" s="335" customFormat="1" ht="12.75">
      <c r="A3546" s="403" t="s">
        <v>2244</v>
      </c>
      <c r="B3546" s="403"/>
      <c r="C3546" s="403"/>
      <c r="D3546" s="403"/>
      <c r="E3546" s="343"/>
    </row>
    <row r="3547" spans="1:5" s="335" customFormat="1" ht="36">
      <c r="A3547" s="342" t="s">
        <v>2245</v>
      </c>
      <c r="B3547" s="342" t="s">
        <v>2245</v>
      </c>
      <c r="C3547" s="342" t="str">
        <f>("EQ5CLS013PB")</f>
        <v>EQ5CLS013PB</v>
      </c>
      <c r="D3547" s="340">
        <v>4953</v>
      </c>
      <c r="E3547" s="343"/>
    </row>
    <row r="3548" spans="1:5" s="335" customFormat="1" ht="36">
      <c r="A3548" s="342" t="s">
        <v>2246</v>
      </c>
      <c r="B3548" s="342" t="s">
        <v>2246</v>
      </c>
      <c r="C3548" s="342" t="str">
        <f>("EQ5CLS014PB")</f>
        <v>EQ5CLS014PB</v>
      </c>
      <c r="D3548" s="340">
        <v>5334</v>
      </c>
      <c r="E3548" s="343"/>
    </row>
    <row r="3549" spans="1:5" s="335" customFormat="1" ht="36">
      <c r="A3549" s="342" t="s">
        <v>2247</v>
      </c>
      <c r="B3549" s="342" t="s">
        <v>2247</v>
      </c>
      <c r="C3549" s="342" t="str">
        <f>("EQ5CLS015PB")</f>
        <v>EQ5CLS015PB</v>
      </c>
      <c r="D3549" s="340">
        <v>5715</v>
      </c>
      <c r="E3549" s="343"/>
    </row>
    <row r="3550" spans="1:5" s="335" customFormat="1" ht="36">
      <c r="A3550" s="342" t="s">
        <v>2248</v>
      </c>
      <c r="B3550" s="342" t="s">
        <v>2248</v>
      </c>
      <c r="C3550" s="342" t="str">
        <f>("EQ5CLS0U3PB")</f>
        <v>EQ5CLS0U3PB</v>
      </c>
      <c r="D3550" s="340">
        <v>2286</v>
      </c>
      <c r="E3550" s="343"/>
    </row>
    <row r="3551" spans="1:5" s="335" customFormat="1" ht="36">
      <c r="A3551" s="342" t="s">
        <v>2249</v>
      </c>
      <c r="B3551" s="342" t="s">
        <v>2249</v>
      </c>
      <c r="C3551" s="342" t="str">
        <f>("EQ5CLS0U4PB")</f>
        <v>EQ5CLS0U4PB</v>
      </c>
      <c r="D3551" s="340">
        <v>2667</v>
      </c>
      <c r="E3551" s="343"/>
    </row>
    <row r="3552" spans="1:5" s="335" customFormat="1" ht="36">
      <c r="A3552" s="342" t="s">
        <v>2250</v>
      </c>
      <c r="B3552" s="342" t="s">
        <v>2250</v>
      </c>
      <c r="C3552" s="342" t="str">
        <f>("EQ5CLS0U5PB")</f>
        <v>EQ5CLS0U5PB</v>
      </c>
      <c r="D3552" s="340">
        <v>3048</v>
      </c>
      <c r="E3552" s="343"/>
    </row>
    <row r="3553" spans="1:5" s="335" customFormat="1" ht="48">
      <c r="A3553" s="342" t="s">
        <v>2251</v>
      </c>
      <c r="B3553" s="342" t="s">
        <v>2251</v>
      </c>
      <c r="C3553" s="342" t="str">
        <f>("EQ5PO0103PB")</f>
        <v>EQ5PO0103PB</v>
      </c>
      <c r="D3553" s="340">
        <v>5600</v>
      </c>
      <c r="E3553" s="343"/>
    </row>
    <row r="3554" spans="1:5" s="335" customFormat="1" ht="48">
      <c r="A3554" s="342" t="s">
        <v>2252</v>
      </c>
      <c r="B3554" s="342" t="s">
        <v>2252</v>
      </c>
      <c r="C3554" s="342" t="str">
        <f>("EQ5PO0104PB")</f>
        <v>EQ5PO0104PB</v>
      </c>
      <c r="D3554" s="340">
        <v>6400</v>
      </c>
      <c r="E3554" s="343"/>
    </row>
    <row r="3555" spans="1:5" s="335" customFormat="1" ht="48">
      <c r="A3555" s="342" t="s">
        <v>2253</v>
      </c>
      <c r="B3555" s="342" t="s">
        <v>2253</v>
      </c>
      <c r="C3555" s="342" t="str">
        <f>("EQ5PO0105PB")</f>
        <v>EQ5PO0105PB</v>
      </c>
      <c r="D3555" s="340">
        <v>7200</v>
      </c>
      <c r="E3555" s="343"/>
    </row>
    <row r="3556" spans="1:5" s="335" customFormat="1" ht="48">
      <c r="A3556" s="342" t="s">
        <v>2254</v>
      </c>
      <c r="B3556" s="342" t="s">
        <v>2254</v>
      </c>
      <c r="C3556" s="342" t="str">
        <f>("EQ5PO01K3PB")</f>
        <v>EQ5PO01K3PB</v>
      </c>
      <c r="D3556" s="340">
        <v>140000</v>
      </c>
      <c r="E3556" s="343"/>
    </row>
    <row r="3557" spans="1:5" s="335" customFormat="1" ht="48">
      <c r="A3557" s="342" t="s">
        <v>2255</v>
      </c>
      <c r="B3557" s="342" t="s">
        <v>2255</v>
      </c>
      <c r="C3557" s="342" t="str">
        <f>("EQ5PO01K4PB")</f>
        <v>EQ5PO01K4PB</v>
      </c>
      <c r="D3557" s="340">
        <v>160000</v>
      </c>
      <c r="E3557" s="343"/>
    </row>
    <row r="3558" spans="1:5" s="335" customFormat="1" ht="48">
      <c r="A3558" s="342" t="s">
        <v>2256</v>
      </c>
      <c r="B3558" s="342" t="s">
        <v>2256</v>
      </c>
      <c r="C3558" s="342" t="str">
        <f>("EQ5PO01K5PB")</f>
        <v>EQ5PO01K5PB</v>
      </c>
      <c r="D3558" s="340">
        <v>180000</v>
      </c>
      <c r="E3558" s="343"/>
    </row>
    <row r="3559" spans="1:5" s="335" customFormat="1" ht="48">
      <c r="A3559" s="342" t="s">
        <v>2257</v>
      </c>
      <c r="B3559" s="342" t="s">
        <v>2257</v>
      </c>
      <c r="C3559" s="342" t="str">
        <f>("EQ5PO0253PB")</f>
        <v>EQ5PO0253PB</v>
      </c>
      <c r="D3559" s="340">
        <v>10500</v>
      </c>
      <c r="E3559" s="343"/>
    </row>
    <row r="3560" spans="1:5" s="335" customFormat="1" ht="48">
      <c r="A3560" s="342" t="s">
        <v>2258</v>
      </c>
      <c r="B3560" s="342" t="s">
        <v>2258</v>
      </c>
      <c r="C3560" s="342" t="str">
        <f>("EQ5PO0254PB")</f>
        <v>EQ5PO0254PB</v>
      </c>
      <c r="D3560" s="340">
        <v>12000</v>
      </c>
      <c r="E3560" s="343"/>
    </row>
    <row r="3561" spans="1:5" s="335" customFormat="1" ht="48">
      <c r="A3561" s="342" t="s">
        <v>2259</v>
      </c>
      <c r="B3561" s="342" t="s">
        <v>2259</v>
      </c>
      <c r="C3561" s="342" t="str">
        <f>("EQ5PO0255PB")</f>
        <v>EQ5PO0255PB</v>
      </c>
      <c r="D3561" s="340">
        <v>13500</v>
      </c>
      <c r="E3561" s="343"/>
    </row>
    <row r="3562" spans="1:5" s="335" customFormat="1" ht="48">
      <c r="A3562" s="342" t="s">
        <v>2260</v>
      </c>
      <c r="B3562" s="342" t="s">
        <v>2260</v>
      </c>
      <c r="C3562" s="342" t="str">
        <f>("EQ5PO1003PB")</f>
        <v>EQ5PO1003PB</v>
      </c>
      <c r="D3562" s="340">
        <v>28000</v>
      </c>
      <c r="E3562" s="343"/>
    </row>
    <row r="3563" spans="1:5" s="335" customFormat="1" ht="48">
      <c r="A3563" s="342" t="s">
        <v>2261</v>
      </c>
      <c r="B3563" s="342" t="s">
        <v>2261</v>
      </c>
      <c r="C3563" s="342" t="str">
        <f>("EQ5PO1004PB")</f>
        <v>EQ5PO1004PB</v>
      </c>
      <c r="D3563" s="340">
        <v>32000</v>
      </c>
      <c r="E3563" s="343"/>
    </row>
    <row r="3564" spans="1:5" s="335" customFormat="1" ht="48">
      <c r="A3564" s="342" t="s">
        <v>2262</v>
      </c>
      <c r="B3564" s="342" t="s">
        <v>2262</v>
      </c>
      <c r="C3564" s="342" t="str">
        <f>("EQ5PO1005PB")</f>
        <v>EQ5PO1005PB</v>
      </c>
      <c r="D3564" s="340">
        <v>36000</v>
      </c>
      <c r="E3564" s="343"/>
    </row>
    <row r="3565" spans="1:5" s="335" customFormat="1" ht="48">
      <c r="A3565" s="342" t="s">
        <v>2263</v>
      </c>
      <c r="B3565" s="342" t="s">
        <v>2263</v>
      </c>
      <c r="C3565" s="342" t="str">
        <f>("EQ5PO5003PB")</f>
        <v>EQ5PO5003PB</v>
      </c>
      <c r="D3565" s="340">
        <v>105000</v>
      </c>
      <c r="E3565" s="343"/>
    </row>
    <row r="3566" spans="1:5" s="335" customFormat="1" ht="48">
      <c r="A3566" s="342" t="s">
        <v>2264</v>
      </c>
      <c r="B3566" s="342" t="s">
        <v>2264</v>
      </c>
      <c r="C3566" s="342" t="str">
        <f>("EQ5PO5004PB")</f>
        <v>EQ5PO5004PB</v>
      </c>
      <c r="D3566" s="340">
        <v>120000</v>
      </c>
      <c r="E3566" s="343"/>
    </row>
    <row r="3567" spans="1:5" s="335" customFormat="1" ht="48">
      <c r="A3567" s="342" t="s">
        <v>2265</v>
      </c>
      <c r="B3567" s="342" t="s">
        <v>2265</v>
      </c>
      <c r="C3567" s="342" t="str">
        <f>("EQ5PO5005PB")</f>
        <v>EQ5PO5005PB</v>
      </c>
      <c r="D3567" s="340">
        <v>135000</v>
      </c>
      <c r="E3567" s="343"/>
    </row>
    <row r="3568" spans="1:5" s="335" customFormat="1" ht="36">
      <c r="A3568" s="342" t="s">
        <v>2266</v>
      </c>
      <c r="B3568" s="342" t="s">
        <v>2266</v>
      </c>
      <c r="C3568" s="342" t="str">
        <f>("EQ5PS0013PB")</f>
        <v>EQ5PS0013PB</v>
      </c>
      <c r="D3568" s="340">
        <v>1755</v>
      </c>
      <c r="E3568" s="343"/>
    </row>
    <row r="3569" spans="1:5" s="335" customFormat="1" ht="36">
      <c r="A3569" s="342" t="s">
        <v>2267</v>
      </c>
      <c r="B3569" s="342" t="s">
        <v>2267</v>
      </c>
      <c r="C3569" s="342" t="str">
        <f>("EQ5PS0014PB")</f>
        <v>EQ5PS0014PB</v>
      </c>
      <c r="D3569" s="340">
        <v>1890</v>
      </c>
      <c r="E3569" s="343"/>
    </row>
    <row r="3570" spans="1:5" s="335" customFormat="1" ht="36">
      <c r="A3570" s="342" t="s">
        <v>2268</v>
      </c>
      <c r="B3570" s="342" t="s">
        <v>2268</v>
      </c>
      <c r="C3570" s="342" t="str">
        <f>("EQ5PS0015PB")</f>
        <v>EQ5PS0015PB</v>
      </c>
      <c r="D3570" s="340">
        <v>2025</v>
      </c>
      <c r="E3570" s="343"/>
    </row>
    <row r="3571" spans="1:5" s="335" customFormat="1" ht="36">
      <c r="A3571" s="342" t="s">
        <v>2269</v>
      </c>
      <c r="B3571" s="342" t="s">
        <v>2269</v>
      </c>
      <c r="C3571" s="342" t="str">
        <f>("EQ5PS0103PB")</f>
        <v>EQ5PS0103PB</v>
      </c>
      <c r="D3571" s="340">
        <v>14321</v>
      </c>
      <c r="E3571" s="343"/>
    </row>
    <row r="3572" spans="1:5" s="335" customFormat="1" ht="36">
      <c r="A3572" s="342" t="s">
        <v>2270</v>
      </c>
      <c r="B3572" s="342" t="s">
        <v>2270</v>
      </c>
      <c r="C3572" s="342" t="str">
        <f>("EQ5PS0104PB")</f>
        <v>EQ5PS0104PB</v>
      </c>
      <c r="D3572" s="340">
        <v>15423</v>
      </c>
      <c r="E3572" s="343"/>
    </row>
    <row r="3573" spans="1:5" s="335" customFormat="1" ht="36">
      <c r="A3573" s="342" t="s">
        <v>2271</v>
      </c>
      <c r="B3573" s="342" t="s">
        <v>2271</v>
      </c>
      <c r="C3573" s="342" t="str">
        <f>("EQ5PS0105PB")</f>
        <v>EQ5PS0105PB</v>
      </c>
      <c r="D3573" s="340">
        <v>16525</v>
      </c>
      <c r="E3573" s="343"/>
    </row>
    <row r="3574" spans="1:5" s="335" customFormat="1" ht="36">
      <c r="A3574" s="342" t="s">
        <v>2272</v>
      </c>
      <c r="B3574" s="342" t="s">
        <v>2272</v>
      </c>
      <c r="C3574" s="342" t="str">
        <f>("EQ5PS01U3PB")</f>
        <v>EQ5PS01U3PB</v>
      </c>
      <c r="D3574" s="340">
        <v>810</v>
      </c>
      <c r="E3574" s="343"/>
    </row>
    <row r="3575" spans="1:5" s="335" customFormat="1" ht="36">
      <c r="A3575" s="342" t="s">
        <v>2273</v>
      </c>
      <c r="B3575" s="342" t="s">
        <v>2273</v>
      </c>
      <c r="C3575" s="342" t="str">
        <f>("EQ5PS01U4PB")</f>
        <v>EQ5PS01U4PB</v>
      </c>
      <c r="D3575" s="340">
        <v>945</v>
      </c>
      <c r="E3575" s="343"/>
    </row>
    <row r="3576" spans="1:5" s="335" customFormat="1" ht="36">
      <c r="A3576" s="342" t="s">
        <v>2274</v>
      </c>
      <c r="B3576" s="342" t="s">
        <v>2274</v>
      </c>
      <c r="C3576" s="342" t="str">
        <f>("EQ5PS01U5PB")</f>
        <v>EQ5PS01U5PB</v>
      </c>
      <c r="D3576" s="340">
        <v>1080</v>
      </c>
      <c r="E3576" s="343"/>
    </row>
    <row r="3577" spans="1:5" s="335" customFormat="1" ht="36">
      <c r="A3577" s="342" t="s">
        <v>2275</v>
      </c>
      <c r="B3577" s="342" t="s">
        <v>2275</v>
      </c>
      <c r="C3577" s="342" t="str">
        <f>("EQ5PSU103PB")</f>
        <v>EQ5PSU103PB</v>
      </c>
      <c r="D3577" s="340">
        <v>6611</v>
      </c>
      <c r="E3577" s="343"/>
    </row>
    <row r="3578" spans="1:5" s="335" customFormat="1" ht="36">
      <c r="A3578" s="342" t="s">
        <v>2276</v>
      </c>
      <c r="B3578" s="342" t="s">
        <v>2276</v>
      </c>
      <c r="C3578" s="342" t="str">
        <f>("EQ5PSU104PB")</f>
        <v>EQ5PSU104PB</v>
      </c>
      <c r="D3578" s="340">
        <v>7713</v>
      </c>
      <c r="E3578" s="343"/>
    </row>
    <row r="3579" spans="1:5" s="335" customFormat="1" ht="36">
      <c r="A3579" s="342" t="s">
        <v>2277</v>
      </c>
      <c r="B3579" s="342" t="s">
        <v>2277</v>
      </c>
      <c r="C3579" s="342" t="str">
        <f>("EQ5PSU105PB")</f>
        <v>EQ5PSU105PB</v>
      </c>
      <c r="D3579" s="340">
        <v>8815</v>
      </c>
      <c r="E3579" s="343"/>
    </row>
    <row r="3580" spans="1:5" s="335" customFormat="1" ht="12.75">
      <c r="A3580" s="403" t="s">
        <v>2278</v>
      </c>
      <c r="B3580" s="403"/>
      <c r="C3580" s="403"/>
      <c r="D3580" s="403"/>
      <c r="E3580" s="343"/>
    </row>
    <row r="3581" spans="1:5" s="335" customFormat="1" ht="36">
      <c r="A3581" s="342" t="s">
        <v>2279</v>
      </c>
      <c r="B3581" s="342" t="s">
        <v>2279</v>
      </c>
      <c r="C3581" s="342" t="str">
        <f>("EQ5EEMED")</f>
        <v>EQ5EEMED</v>
      </c>
      <c r="D3581" s="340">
        <v>25</v>
      </c>
      <c r="E3581" s="343"/>
    </row>
    <row r="3582" spans="1:5" s="335" customFormat="1" ht="36">
      <c r="A3582" s="342" t="s">
        <v>2280</v>
      </c>
      <c r="B3582" s="342" t="s">
        <v>2280</v>
      </c>
      <c r="C3582" s="342" t="str">
        <f>("EQ5EENFR")</f>
        <v>EQ5EENFR</v>
      </c>
      <c r="D3582" s="340">
        <v>500</v>
      </c>
      <c r="E3582" s="343"/>
    </row>
    <row r="3583" spans="1:5" s="335" customFormat="1" ht="36">
      <c r="A3583" s="342" t="s">
        <v>2281</v>
      </c>
      <c r="B3583" s="342" t="s">
        <v>2281</v>
      </c>
      <c r="C3583" s="342" t="str">
        <f>("EQ5EETR1")</f>
        <v>EQ5EETR1</v>
      </c>
      <c r="D3583" s="340">
        <v>100</v>
      </c>
      <c r="E3583" s="343"/>
    </row>
    <row r="3584" spans="1:5" s="335" customFormat="1" ht="36">
      <c r="A3584" s="342" t="s">
        <v>2282</v>
      </c>
      <c r="B3584" s="342" t="s">
        <v>2282</v>
      </c>
      <c r="C3584" s="342" t="str">
        <f>("EQ5EETR2")</f>
        <v>EQ5EETR2</v>
      </c>
      <c r="D3584" s="340">
        <v>100</v>
      </c>
      <c r="E3584" s="343"/>
    </row>
    <row r="3585" spans="1:5" s="335" customFormat="1" ht="36">
      <c r="A3585" s="342" t="s">
        <v>2283</v>
      </c>
      <c r="B3585" s="342" t="s">
        <v>2283</v>
      </c>
      <c r="C3585" s="342" t="str">
        <f>("EQ5EFMED")</f>
        <v>EQ5EFMED</v>
      </c>
      <c r="D3585" s="340">
        <v>25</v>
      </c>
      <c r="E3585" s="343"/>
    </row>
    <row r="3586" spans="1:5" s="335" customFormat="1" ht="36">
      <c r="A3586" s="342" t="s">
        <v>2284</v>
      </c>
      <c r="B3586" s="342" t="s">
        <v>2284</v>
      </c>
      <c r="C3586" s="342" t="str">
        <f>("EQ5EFNFR")</f>
        <v>EQ5EFNFR</v>
      </c>
      <c r="D3586" s="340">
        <v>500</v>
      </c>
      <c r="E3586" s="343"/>
    </row>
    <row r="3587" spans="1:5" s="335" customFormat="1" ht="36">
      <c r="A3587" s="342" t="s">
        <v>2285</v>
      </c>
      <c r="B3587" s="342" t="s">
        <v>2285</v>
      </c>
      <c r="C3587" s="342" t="str">
        <f>("EQ5EFTR1")</f>
        <v>EQ5EFTR1</v>
      </c>
      <c r="D3587" s="340">
        <v>100</v>
      </c>
      <c r="E3587" s="343"/>
    </row>
    <row r="3588" spans="1:5" s="335" customFormat="1" ht="36">
      <c r="A3588" s="342" t="s">
        <v>2286</v>
      </c>
      <c r="B3588" s="342" t="s">
        <v>2286</v>
      </c>
      <c r="C3588" s="342" t="str">
        <f>("EQ5EFTR2")</f>
        <v>EQ5EFTR2</v>
      </c>
      <c r="D3588" s="340">
        <v>100</v>
      </c>
      <c r="E3588" s="343"/>
    </row>
    <row r="3589" spans="1:5" s="335" customFormat="1" ht="12.75">
      <c r="A3589" s="403" t="s">
        <v>2287</v>
      </c>
      <c r="B3589" s="403"/>
      <c r="C3589" s="403"/>
      <c r="D3589" s="403"/>
      <c r="E3589" s="343"/>
    </row>
    <row r="3590" spans="1:5" s="335" customFormat="1" ht="36">
      <c r="A3590" s="342" t="s">
        <v>2288</v>
      </c>
      <c r="B3590" s="342" t="s">
        <v>2288</v>
      </c>
      <c r="C3590" s="342" t="str">
        <f>("EQ5ED0013PB")</f>
        <v>EQ5ED0013PB</v>
      </c>
      <c r="D3590" s="340">
        <v>650</v>
      </c>
      <c r="E3590" s="343"/>
    </row>
    <row r="3591" spans="1:5" s="335" customFormat="1" ht="36">
      <c r="A3591" s="342" t="s">
        <v>2289</v>
      </c>
      <c r="B3591" s="342" t="s">
        <v>2289</v>
      </c>
      <c r="C3591" s="342" t="str">
        <f>("EQ5ED0014PB")</f>
        <v>EQ5ED0014PB</v>
      </c>
      <c r="D3591" s="340">
        <v>700</v>
      </c>
      <c r="E3591" s="343"/>
    </row>
    <row r="3592" spans="1:5" s="335" customFormat="1" ht="36">
      <c r="A3592" s="342" t="s">
        <v>2290</v>
      </c>
      <c r="B3592" s="342" t="s">
        <v>2290</v>
      </c>
      <c r="C3592" s="342" t="str">
        <f>("EQ5ED0015PB")</f>
        <v>EQ5ED0015PB</v>
      </c>
      <c r="D3592" s="340">
        <v>750</v>
      </c>
      <c r="E3592" s="343"/>
    </row>
    <row r="3593" spans="1:5" s="335" customFormat="1" ht="36">
      <c r="A3593" s="342" t="s">
        <v>2291</v>
      </c>
      <c r="B3593" s="342" t="s">
        <v>2291</v>
      </c>
      <c r="C3593" s="342" t="str">
        <f>("EQ5ED0103PB")</f>
        <v>EQ5ED0103PB</v>
      </c>
      <c r="D3593" s="340">
        <v>5590</v>
      </c>
      <c r="E3593" s="343"/>
    </row>
    <row r="3594" spans="1:5" s="335" customFormat="1" ht="36">
      <c r="A3594" s="342" t="s">
        <v>2292</v>
      </c>
      <c r="B3594" s="342" t="s">
        <v>2292</v>
      </c>
      <c r="C3594" s="342" t="str">
        <f>("EQ5ED0104PB")</f>
        <v>EQ5ED0104PB</v>
      </c>
      <c r="D3594" s="340">
        <v>6020</v>
      </c>
      <c r="E3594" s="343"/>
    </row>
    <row r="3595" spans="1:5" s="335" customFormat="1" ht="36">
      <c r="A3595" s="342" t="s">
        <v>2293</v>
      </c>
      <c r="B3595" s="342" t="s">
        <v>2293</v>
      </c>
      <c r="C3595" s="342" t="str">
        <f>("EQ5ED0105PB")</f>
        <v>EQ5ED0105PB</v>
      </c>
      <c r="D3595" s="340">
        <v>6450</v>
      </c>
      <c r="E3595" s="343"/>
    </row>
    <row r="3596" spans="1:5" s="335" customFormat="1" ht="36">
      <c r="A3596" s="342" t="s">
        <v>2294</v>
      </c>
      <c r="B3596" s="342" t="s">
        <v>2294</v>
      </c>
      <c r="C3596" s="342" t="str">
        <f>("EQ5ED01U3PB")</f>
        <v>EQ5ED01U3PB</v>
      </c>
      <c r="D3596" s="340">
        <v>300</v>
      </c>
      <c r="E3596" s="343"/>
    </row>
    <row r="3597" spans="1:5" s="335" customFormat="1" ht="36">
      <c r="A3597" s="342" t="s">
        <v>2295</v>
      </c>
      <c r="B3597" s="342" t="s">
        <v>2295</v>
      </c>
      <c r="C3597" s="342" t="str">
        <f>("EQ5ED01U4PB")</f>
        <v>EQ5ED01U4PB</v>
      </c>
      <c r="D3597" s="340">
        <v>350</v>
      </c>
      <c r="E3597" s="343"/>
    </row>
    <row r="3598" spans="1:5" s="335" customFormat="1" ht="36">
      <c r="A3598" s="342" t="s">
        <v>2296</v>
      </c>
      <c r="B3598" s="342" t="s">
        <v>2296</v>
      </c>
      <c r="C3598" s="342" t="str">
        <f>("EQ5ED01U5PB")</f>
        <v>EQ5ED01U5PB</v>
      </c>
      <c r="D3598" s="340">
        <v>400</v>
      </c>
      <c r="E3598" s="343"/>
    </row>
    <row r="3599" spans="1:5" s="335" customFormat="1" ht="48">
      <c r="A3599" s="342" t="s">
        <v>2297</v>
      </c>
      <c r="B3599" s="342" t="s">
        <v>2297</v>
      </c>
      <c r="C3599" s="342" t="str">
        <f>("EQ5ED0CU3PB")</f>
        <v>EQ5ED0CU3PB</v>
      </c>
      <c r="D3599" s="340">
        <v>20340</v>
      </c>
      <c r="E3599" s="343"/>
    </row>
    <row r="3600" spans="1:5" s="335" customFormat="1" ht="48">
      <c r="A3600" s="342" t="s">
        <v>2298</v>
      </c>
      <c r="B3600" s="342" t="s">
        <v>2298</v>
      </c>
      <c r="C3600" s="342" t="str">
        <f>("EQ5ED0CU4PB")</f>
        <v>EQ5ED0CU4PB</v>
      </c>
      <c r="D3600" s="340">
        <v>23730</v>
      </c>
      <c r="E3600" s="343"/>
    </row>
    <row r="3601" spans="1:5" s="335" customFormat="1" ht="48">
      <c r="A3601" s="342" t="s">
        <v>2299</v>
      </c>
      <c r="B3601" s="342" t="s">
        <v>2299</v>
      </c>
      <c r="C3601" s="342" t="str">
        <f>("EQ5ED0CU5PB")</f>
        <v>EQ5ED0CU5PB</v>
      </c>
      <c r="D3601" s="340">
        <v>27120</v>
      </c>
      <c r="E3601" s="343"/>
    </row>
    <row r="3602" spans="1:5" s="335" customFormat="1" ht="48">
      <c r="A3602" s="342" t="s">
        <v>2300</v>
      </c>
      <c r="B3602" s="342" t="s">
        <v>2300</v>
      </c>
      <c r="C3602" s="342" t="str">
        <f>("EQ5ED0DU3PB")</f>
        <v>EQ5ED0DU3PB</v>
      </c>
      <c r="D3602" s="340">
        <v>91524</v>
      </c>
      <c r="E3602" s="343"/>
    </row>
    <row r="3603" spans="1:5" s="335" customFormat="1" ht="48">
      <c r="A3603" s="342" t="s">
        <v>2301</v>
      </c>
      <c r="B3603" s="342" t="s">
        <v>2301</v>
      </c>
      <c r="C3603" s="342" t="str">
        <f>("EQ5ED0DU4PB")</f>
        <v>EQ5ED0DU4PB</v>
      </c>
      <c r="D3603" s="340">
        <v>106778</v>
      </c>
      <c r="E3603" s="343"/>
    </row>
    <row r="3604" spans="1:5" s="335" customFormat="1" ht="48">
      <c r="A3604" s="342" t="s">
        <v>2302</v>
      </c>
      <c r="B3604" s="342" t="s">
        <v>2302</v>
      </c>
      <c r="C3604" s="342" t="str">
        <f>("EQ5ED0DU5PB")</f>
        <v>EQ5ED0DU5PB</v>
      </c>
      <c r="D3604" s="340">
        <v>122032</v>
      </c>
      <c r="E3604" s="343"/>
    </row>
    <row r="3605" spans="1:5" s="335" customFormat="1" ht="36">
      <c r="A3605" s="342" t="s">
        <v>2303</v>
      </c>
      <c r="B3605" s="342" t="s">
        <v>2303</v>
      </c>
      <c r="C3605" s="342" t="str">
        <f>("EQ5ED1003PB")</f>
        <v>EQ5ED1003PB</v>
      </c>
      <c r="D3605" s="340">
        <v>44070</v>
      </c>
      <c r="E3605" s="343"/>
    </row>
    <row r="3606" spans="1:5" s="335" customFormat="1" ht="36">
      <c r="A3606" s="342" t="s">
        <v>2304</v>
      </c>
      <c r="B3606" s="342" t="s">
        <v>2304</v>
      </c>
      <c r="C3606" s="342" t="str">
        <f>("EQ5ED1004PB")</f>
        <v>EQ5ED1004PB</v>
      </c>
      <c r="D3606" s="340">
        <v>47460</v>
      </c>
      <c r="E3606" s="343"/>
    </row>
    <row r="3607" spans="1:5" s="335" customFormat="1" ht="36">
      <c r="A3607" s="342" t="s">
        <v>2305</v>
      </c>
      <c r="B3607" s="342" t="s">
        <v>2305</v>
      </c>
      <c r="C3607" s="342" t="str">
        <f>("EQ5ED1005PB")</f>
        <v>EQ5ED1005PB</v>
      </c>
      <c r="D3607" s="340">
        <v>50850</v>
      </c>
      <c r="E3607" s="343"/>
    </row>
    <row r="3608" spans="1:5" s="335" customFormat="1" ht="36">
      <c r="A3608" s="342" t="s">
        <v>2306</v>
      </c>
      <c r="B3608" s="342" t="s">
        <v>2306</v>
      </c>
      <c r="C3608" s="342" t="str">
        <f>("EQ5ED5003PB")</f>
        <v>EQ5ED5003PB</v>
      </c>
      <c r="D3608" s="340">
        <v>198302</v>
      </c>
      <c r="E3608" s="343"/>
    </row>
    <row r="3609" spans="1:5" s="335" customFormat="1" ht="36">
      <c r="A3609" s="342" t="s">
        <v>2307</v>
      </c>
      <c r="B3609" s="342" t="s">
        <v>2307</v>
      </c>
      <c r="C3609" s="342" t="str">
        <f>("EQ5ED5004PB")</f>
        <v>EQ5ED5004PB</v>
      </c>
      <c r="D3609" s="340">
        <v>213556</v>
      </c>
      <c r="E3609" s="343"/>
    </row>
    <row r="3610" spans="1:5" s="335" customFormat="1" ht="36">
      <c r="A3610" s="342" t="s">
        <v>2308</v>
      </c>
      <c r="B3610" s="342" t="s">
        <v>2308</v>
      </c>
      <c r="C3610" s="342" t="str">
        <f>("EQ5ED5005PB")</f>
        <v>EQ5ED5005PB</v>
      </c>
      <c r="D3610" s="340">
        <v>228810</v>
      </c>
      <c r="E3610" s="343"/>
    </row>
    <row r="3611" spans="1:5" s="335" customFormat="1" ht="48">
      <c r="A3611" s="342" t="s">
        <v>2309</v>
      </c>
      <c r="B3611" s="342" t="s">
        <v>2309</v>
      </c>
      <c r="C3611" s="342" t="str">
        <f>("EQ5EDOXU3PB")</f>
        <v>EQ5EDOXU3PB</v>
      </c>
      <c r="D3611" s="340">
        <v>2580</v>
      </c>
      <c r="E3611" s="343"/>
    </row>
    <row r="3612" spans="1:5" s="335" customFormat="1" ht="48">
      <c r="A3612" s="342" t="s">
        <v>2310</v>
      </c>
      <c r="B3612" s="342" t="s">
        <v>2310</v>
      </c>
      <c r="C3612" s="342" t="str">
        <f>("EQ5EDOXU4PB")</f>
        <v>EQ5EDOXU4PB</v>
      </c>
      <c r="D3612" s="340">
        <v>3010</v>
      </c>
      <c r="E3612" s="343"/>
    </row>
    <row r="3613" spans="1:5" s="335" customFormat="1" ht="48">
      <c r="A3613" s="342" t="s">
        <v>2311</v>
      </c>
      <c r="B3613" s="342" t="s">
        <v>2311</v>
      </c>
      <c r="C3613" s="342" t="str">
        <f>("EQ5EDOXU5PB")</f>
        <v>EQ5EDOXU5PB</v>
      </c>
      <c r="D3613" s="340">
        <v>3440</v>
      </c>
      <c r="E3613" s="343"/>
    </row>
    <row r="3614" spans="1:5" s="335" customFormat="1" ht="36">
      <c r="A3614" s="342" t="s">
        <v>2312</v>
      </c>
      <c r="B3614" s="342" t="s">
        <v>2312</v>
      </c>
      <c r="C3614" s="342" t="str">
        <f>("EQ5EL0013PB")</f>
        <v>EQ5EL0013PB</v>
      </c>
      <c r="D3614" s="340">
        <v>245</v>
      </c>
      <c r="E3614" s="343"/>
    </row>
    <row r="3615" spans="1:5" s="335" customFormat="1" ht="36">
      <c r="A3615" s="342" t="s">
        <v>2313</v>
      </c>
      <c r="B3615" s="342" t="s">
        <v>2313</v>
      </c>
      <c r="C3615" s="342" t="str">
        <f>("EQ5EL0014PB")</f>
        <v>EQ5EL0014PB</v>
      </c>
      <c r="D3615" s="340">
        <v>295</v>
      </c>
      <c r="E3615" s="343"/>
    </row>
    <row r="3616" spans="1:5" s="335" customFormat="1" ht="36">
      <c r="A3616" s="342" t="s">
        <v>2314</v>
      </c>
      <c r="B3616" s="342" t="s">
        <v>2314</v>
      </c>
      <c r="C3616" s="342" t="str">
        <f>("EQ5EL0015PB")</f>
        <v>EQ5EL0015PB</v>
      </c>
      <c r="D3616" s="340">
        <v>345</v>
      </c>
      <c r="E3616" s="343"/>
    </row>
    <row r="3617" spans="1:5" s="335" customFormat="1" ht="36">
      <c r="A3617" s="342" t="s">
        <v>2315</v>
      </c>
      <c r="B3617" s="342" t="s">
        <v>2315</v>
      </c>
      <c r="C3617" s="342" t="str">
        <f>("EQ5EL0103PB")</f>
        <v>EQ5EL0103PB</v>
      </c>
      <c r="D3617" s="340">
        <v>2240</v>
      </c>
      <c r="E3617" s="343"/>
    </row>
    <row r="3618" spans="1:5" s="335" customFormat="1" ht="36">
      <c r="A3618" s="342" t="s">
        <v>2316</v>
      </c>
      <c r="B3618" s="342" t="s">
        <v>2316</v>
      </c>
      <c r="C3618" s="342" t="str">
        <f>("EQ5EL0104PB")</f>
        <v>EQ5EL0104PB</v>
      </c>
      <c r="D3618" s="340">
        <v>2670</v>
      </c>
      <c r="E3618" s="343"/>
    </row>
    <row r="3619" spans="1:5" s="335" customFormat="1" ht="36">
      <c r="A3619" s="342" t="s">
        <v>2317</v>
      </c>
      <c r="B3619" s="342" t="s">
        <v>2317</v>
      </c>
      <c r="C3619" s="342" t="str">
        <f>("EQ5EL0105PB")</f>
        <v>EQ5EL0105PB</v>
      </c>
      <c r="D3619" s="340">
        <v>3100</v>
      </c>
      <c r="E3619" s="343"/>
    </row>
    <row r="3620" spans="1:5" s="335" customFormat="1" ht="48">
      <c r="A3620" s="342" t="s">
        <v>2318</v>
      </c>
      <c r="B3620" s="342" t="s">
        <v>2318</v>
      </c>
      <c r="C3620" s="342" t="str">
        <f>("EQ5EL01U3PB")</f>
        <v>EQ5EL01U3PB</v>
      </c>
      <c r="D3620" s="340">
        <v>179</v>
      </c>
      <c r="E3620" s="343"/>
    </row>
    <row r="3621" spans="1:5" s="335" customFormat="1" ht="48">
      <c r="A3621" s="342" t="s">
        <v>2319</v>
      </c>
      <c r="B3621" s="342" t="s">
        <v>2319</v>
      </c>
      <c r="C3621" s="342" t="str">
        <f>("EQ5EL01U4PB")</f>
        <v>EQ5EL01U4PB</v>
      </c>
      <c r="D3621" s="340">
        <v>229</v>
      </c>
      <c r="E3621" s="343"/>
    </row>
    <row r="3622" spans="1:5" s="335" customFormat="1" ht="48">
      <c r="A3622" s="342" t="s">
        <v>2320</v>
      </c>
      <c r="B3622" s="342" t="s">
        <v>2320</v>
      </c>
      <c r="C3622" s="342" t="str">
        <f>("EQ5EL01U5PB")</f>
        <v>EQ5EL01U5PB</v>
      </c>
      <c r="D3622" s="340">
        <v>279</v>
      </c>
      <c r="E3622" s="343"/>
    </row>
    <row r="3623" spans="1:5" s="335" customFormat="1" ht="60">
      <c r="A3623" s="342" t="s">
        <v>2321</v>
      </c>
      <c r="B3623" s="342" t="s">
        <v>2321</v>
      </c>
      <c r="C3623" s="342" t="str">
        <f>("EQ5EL0CU3PB")</f>
        <v>EQ5EL0CU3PB</v>
      </c>
      <c r="D3623" s="340">
        <v>13020</v>
      </c>
      <c r="E3623" s="343"/>
    </row>
    <row r="3624" spans="1:5" s="335" customFormat="1" ht="60">
      <c r="A3624" s="342" t="s">
        <v>2322</v>
      </c>
      <c r="B3624" s="342" t="s">
        <v>2322</v>
      </c>
      <c r="C3624" s="342" t="str">
        <f>("EQ5EL0CU4PB")</f>
        <v>EQ5EL0CU4PB</v>
      </c>
      <c r="D3624" s="340">
        <v>16410</v>
      </c>
      <c r="E3624" s="343"/>
    </row>
    <row r="3625" spans="1:5" s="335" customFormat="1" ht="60">
      <c r="A3625" s="342" t="s">
        <v>2323</v>
      </c>
      <c r="B3625" s="342" t="s">
        <v>2323</v>
      </c>
      <c r="C3625" s="342" t="str">
        <f>("EQ5EL0CU5PB")</f>
        <v>EQ5EL0CU5PB</v>
      </c>
      <c r="D3625" s="340">
        <v>19800</v>
      </c>
      <c r="E3625" s="343"/>
    </row>
    <row r="3626" spans="1:5" s="335" customFormat="1" ht="48">
      <c r="A3626" s="342" t="s">
        <v>2324</v>
      </c>
      <c r="B3626" s="342" t="s">
        <v>2324</v>
      </c>
      <c r="C3626" s="342" t="str">
        <f>("EQ5EL0XU3PB")</f>
        <v>EQ5EL0XU3PB</v>
      </c>
      <c r="D3626" s="340">
        <v>1575</v>
      </c>
      <c r="E3626" s="343"/>
    </row>
    <row r="3627" spans="1:5" s="335" customFormat="1" ht="48">
      <c r="A3627" s="342" t="s">
        <v>2325</v>
      </c>
      <c r="B3627" s="342" t="s">
        <v>2325</v>
      </c>
      <c r="C3627" s="342" t="str">
        <f>("EQ5EL0XU4PB")</f>
        <v>EQ5EL0XU4PB</v>
      </c>
      <c r="D3627" s="340">
        <v>2005</v>
      </c>
      <c r="E3627" s="343"/>
    </row>
    <row r="3628" spans="1:5" s="335" customFormat="1" ht="48">
      <c r="A3628" s="342" t="s">
        <v>2326</v>
      </c>
      <c r="B3628" s="342" t="s">
        <v>2326</v>
      </c>
      <c r="C3628" s="342" t="str">
        <f>("EQ5EL0XU5PB")</f>
        <v>EQ5EL0XU5PB</v>
      </c>
      <c r="D3628" s="340">
        <v>2435</v>
      </c>
      <c r="E3628" s="343"/>
    </row>
    <row r="3629" spans="1:5" s="335" customFormat="1" ht="48">
      <c r="A3629" s="342" t="s">
        <v>2327</v>
      </c>
      <c r="B3629" s="342" t="s">
        <v>2327</v>
      </c>
      <c r="C3629" s="342" t="str">
        <f>("EQ5EL1003PB")</f>
        <v>EQ5EL1003PB</v>
      </c>
      <c r="D3629" s="340">
        <v>19670</v>
      </c>
      <c r="E3629" s="343"/>
    </row>
    <row r="3630" spans="1:5" s="335" customFormat="1" ht="48">
      <c r="A3630" s="342" t="s">
        <v>2328</v>
      </c>
      <c r="B3630" s="342" t="s">
        <v>2328</v>
      </c>
      <c r="C3630" s="342" t="str">
        <f>("EQ5EL1004PB")</f>
        <v>EQ5EL1004PB</v>
      </c>
      <c r="D3630" s="340">
        <v>23060</v>
      </c>
      <c r="E3630" s="343"/>
    </row>
    <row r="3631" spans="1:5" s="335" customFormat="1" ht="48">
      <c r="A3631" s="342" t="s">
        <v>2329</v>
      </c>
      <c r="B3631" s="342" t="s">
        <v>2329</v>
      </c>
      <c r="C3631" s="342" t="str">
        <f>("EQ5EL1005PB")</f>
        <v>EQ5EL1005PB</v>
      </c>
      <c r="D3631" s="340">
        <v>26450</v>
      </c>
      <c r="E3631" s="343"/>
    </row>
    <row r="3632" spans="1:5" s="335" customFormat="1" ht="12.75">
      <c r="A3632" s="403" t="s">
        <v>2330</v>
      </c>
      <c r="B3632" s="403"/>
      <c r="C3632" s="403"/>
      <c r="D3632" s="403"/>
      <c r="E3632" s="343"/>
    </row>
    <row r="3633" spans="1:5" s="335" customFormat="1" ht="36">
      <c r="A3633" s="342" t="s">
        <v>2331</v>
      </c>
      <c r="B3633" s="342" t="s">
        <v>2332</v>
      </c>
      <c r="C3633" s="342" t="str">
        <f>("EQINS1HR")</f>
        <v>EQINS1HR</v>
      </c>
      <c r="D3633" s="340">
        <v>200</v>
      </c>
      <c r="E3633" s="343"/>
    </row>
    <row r="3634" spans="1:5" s="335" customFormat="1" ht="12.75">
      <c r="A3634" s="403" t="s">
        <v>2333</v>
      </c>
      <c r="B3634" s="403"/>
      <c r="C3634" s="403"/>
      <c r="D3634" s="403"/>
      <c r="E3634" s="343"/>
    </row>
    <row r="3635" spans="1:5" s="335" customFormat="1" ht="72">
      <c r="A3635" s="342" t="s">
        <v>2729</v>
      </c>
      <c r="B3635" s="342" t="s">
        <v>2729</v>
      </c>
      <c r="C3635" s="342" t="str">
        <f>("EQ5EFEU13PB")</f>
        <v>EQ5EFEU13PB</v>
      </c>
      <c r="D3635" s="340">
        <v>6.09</v>
      </c>
      <c r="E3635" s="343"/>
    </row>
    <row r="3636" spans="1:5" s="335" customFormat="1" ht="72">
      <c r="A3636" s="342" t="s">
        <v>2730</v>
      </c>
      <c r="B3636" s="342" t="s">
        <v>2730</v>
      </c>
      <c r="C3636" s="342" t="str">
        <f>("EQ5EFEU14PB")</f>
        <v>EQ5EFEU14PB</v>
      </c>
      <c r="D3636" s="340">
        <v>7.11</v>
      </c>
      <c r="E3636" s="343"/>
    </row>
    <row r="3637" spans="1:5" s="335" customFormat="1" ht="72">
      <c r="A3637" s="342" t="s">
        <v>2731</v>
      </c>
      <c r="B3637" s="342" t="s">
        <v>2731</v>
      </c>
      <c r="C3637" s="342" t="str">
        <f>("EQ5EFEU15PB")</f>
        <v>EQ5EFEU15PB</v>
      </c>
      <c r="D3637" s="340">
        <v>8.1199999999999992</v>
      </c>
      <c r="E3637" s="343"/>
    </row>
    <row r="3638" spans="1:5" s="335" customFormat="1" ht="72">
      <c r="A3638" s="342" t="s">
        <v>2732</v>
      </c>
      <c r="B3638" s="342" t="s">
        <v>2732</v>
      </c>
      <c r="C3638" s="342" t="str">
        <f>("EQ5EFEU23PB")</f>
        <v>EQ5EFEU23PB</v>
      </c>
      <c r="D3638" s="340">
        <v>5.34</v>
      </c>
      <c r="E3638" s="343"/>
    </row>
    <row r="3639" spans="1:5" s="335" customFormat="1" ht="72">
      <c r="A3639" s="342" t="s">
        <v>2733</v>
      </c>
      <c r="B3639" s="342" t="s">
        <v>2733</v>
      </c>
      <c r="C3639" s="342" t="str">
        <f>("EQ5EFEU24PB")</f>
        <v>EQ5EFEU24PB</v>
      </c>
      <c r="D3639" s="340">
        <v>6.23</v>
      </c>
      <c r="E3639" s="343"/>
    </row>
    <row r="3640" spans="1:5" s="335" customFormat="1" ht="72">
      <c r="A3640" s="342" t="s">
        <v>2734</v>
      </c>
      <c r="B3640" s="342" t="s">
        <v>2734</v>
      </c>
      <c r="C3640" s="342" t="str">
        <f>("EQ5EFEU25PB")</f>
        <v>EQ5EFEU25PB</v>
      </c>
      <c r="D3640" s="340">
        <v>7.12</v>
      </c>
      <c r="E3640" s="343"/>
    </row>
    <row r="3641" spans="1:5" s="335" customFormat="1" ht="72">
      <c r="A3641" s="342" t="s">
        <v>2735</v>
      </c>
      <c r="B3641" s="342" t="s">
        <v>2735</v>
      </c>
      <c r="C3641" s="342" t="str">
        <f>("EQ5EFEU33PB")</f>
        <v>EQ5EFEU33PB</v>
      </c>
      <c r="D3641" s="340">
        <v>4.5599999999999996</v>
      </c>
      <c r="E3641" s="343"/>
    </row>
    <row r="3642" spans="1:5" s="335" customFormat="1" ht="72">
      <c r="A3642" s="342" t="s">
        <v>2736</v>
      </c>
      <c r="B3642" s="342" t="s">
        <v>2736</v>
      </c>
      <c r="C3642" s="342" t="str">
        <f>("EQ5EFEU34PB")</f>
        <v>EQ5EFEU34PB</v>
      </c>
      <c r="D3642" s="340">
        <v>5.32</v>
      </c>
      <c r="E3642" s="343"/>
    </row>
    <row r="3643" spans="1:5" s="335" customFormat="1" ht="72">
      <c r="A3643" s="342" t="s">
        <v>2737</v>
      </c>
      <c r="B3643" s="342" t="s">
        <v>2737</v>
      </c>
      <c r="C3643" s="342" t="str">
        <f>("EQ5EFEU35PB")</f>
        <v>EQ5EFEU35PB</v>
      </c>
      <c r="D3643" s="340">
        <v>6.08</v>
      </c>
      <c r="E3643" s="343"/>
    </row>
    <row r="3644" spans="1:5" s="335" customFormat="1" ht="72">
      <c r="A3644" s="342" t="s">
        <v>2738</v>
      </c>
      <c r="B3644" s="342" t="s">
        <v>2738</v>
      </c>
      <c r="C3644" s="342" t="str">
        <f>("EQ5EFEU43PB")</f>
        <v>EQ5EFEU43PB</v>
      </c>
      <c r="D3644" s="340">
        <v>4.2</v>
      </c>
      <c r="E3644" s="343"/>
    </row>
    <row r="3645" spans="1:5" s="335" customFormat="1" ht="72">
      <c r="A3645" s="342" t="s">
        <v>2739</v>
      </c>
      <c r="B3645" s="342" t="s">
        <v>2739</v>
      </c>
      <c r="C3645" s="342" t="str">
        <f>("EQ5EFEU44PB")</f>
        <v>EQ5EFEU44PB</v>
      </c>
      <c r="D3645" s="340">
        <v>4.9000000000000004</v>
      </c>
      <c r="E3645" s="343"/>
    </row>
    <row r="3646" spans="1:5" s="335" customFormat="1" ht="72">
      <c r="A3646" s="342" t="s">
        <v>2740</v>
      </c>
      <c r="B3646" s="342" t="s">
        <v>2740</v>
      </c>
      <c r="C3646" s="342" t="str">
        <f>("EQ5EFEU45PB")</f>
        <v>EQ5EFEU45PB</v>
      </c>
      <c r="D3646" s="340">
        <v>5.6</v>
      </c>
      <c r="E3646" s="343"/>
    </row>
    <row r="3647" spans="1:5" s="335" customFormat="1" ht="72">
      <c r="A3647" s="342" t="s">
        <v>2741</v>
      </c>
      <c r="B3647" s="342" t="s">
        <v>2741</v>
      </c>
      <c r="C3647" s="342" t="str">
        <f>("EQ5EFEU53PB")</f>
        <v>EQ5EFEU53PB</v>
      </c>
      <c r="D3647" s="340">
        <v>3.81</v>
      </c>
      <c r="E3647" s="343"/>
    </row>
    <row r="3648" spans="1:5" s="335" customFormat="1" ht="72">
      <c r="A3648" s="342" t="s">
        <v>2742</v>
      </c>
      <c r="B3648" s="342" t="s">
        <v>2742</v>
      </c>
      <c r="C3648" s="342" t="str">
        <f>("EQ5EFEU54PB")</f>
        <v>EQ5EFEU54PB</v>
      </c>
      <c r="D3648" s="340">
        <v>4.45</v>
      </c>
      <c r="E3648" s="343"/>
    </row>
    <row r="3649" spans="1:5" s="335" customFormat="1" ht="72">
      <c r="A3649" s="342" t="s">
        <v>2743</v>
      </c>
      <c r="B3649" s="342" t="s">
        <v>2743</v>
      </c>
      <c r="C3649" s="342" t="str">
        <f>("EQ5EFEU55PB")</f>
        <v>EQ5EFEU55PB</v>
      </c>
      <c r="D3649" s="340">
        <v>5.08</v>
      </c>
      <c r="E3649" s="343"/>
    </row>
    <row r="3650" spans="1:5" s="335" customFormat="1" ht="72">
      <c r="A3650" s="342" t="s">
        <v>2744</v>
      </c>
      <c r="B3650" s="342" t="s">
        <v>2744</v>
      </c>
      <c r="C3650" s="342" t="str">
        <f>("EQ5EFEUK3PB")</f>
        <v>EQ5EFEUK3PB</v>
      </c>
      <c r="D3650" s="340">
        <v>9.15</v>
      </c>
      <c r="E3650" s="343"/>
    </row>
    <row r="3651" spans="1:5" s="335" customFormat="1" ht="72">
      <c r="A3651" s="342" t="s">
        <v>2745</v>
      </c>
      <c r="B3651" s="342" t="s">
        <v>2745</v>
      </c>
      <c r="C3651" s="342" t="str">
        <f>("EQ5EFEUK4PB")</f>
        <v>EQ5EFEUK4PB</v>
      </c>
      <c r="D3651" s="340">
        <v>10.68</v>
      </c>
      <c r="E3651" s="343"/>
    </row>
    <row r="3652" spans="1:5" s="335" customFormat="1" ht="72">
      <c r="A3652" s="342" t="s">
        <v>2746</v>
      </c>
      <c r="B3652" s="342" t="s">
        <v>2746</v>
      </c>
      <c r="C3652" s="342" t="str">
        <f>("EQ5EFEUK5PB")</f>
        <v>EQ5EFEUK5PB</v>
      </c>
      <c r="D3652" s="340">
        <v>12.2</v>
      </c>
      <c r="E3652" s="343"/>
    </row>
    <row r="3653" spans="1:5" s="335" customFormat="1" ht="48">
      <c r="A3653" s="342" t="s">
        <v>2747</v>
      </c>
      <c r="B3653" s="342" t="s">
        <v>2747</v>
      </c>
      <c r="C3653" s="342" t="str">
        <f>("EQ5EFNC13PB")</f>
        <v>EQ5EFNC13PB</v>
      </c>
      <c r="D3653" s="340">
        <v>8.19</v>
      </c>
      <c r="E3653" s="343"/>
    </row>
    <row r="3654" spans="1:5" s="335" customFormat="1" ht="48">
      <c r="A3654" s="342" t="s">
        <v>2748</v>
      </c>
      <c r="B3654" s="342" t="s">
        <v>2748</v>
      </c>
      <c r="C3654" s="342" t="str">
        <f>("EQ5EFNC14PB")</f>
        <v>EQ5EFNC14PB</v>
      </c>
      <c r="D3654" s="340">
        <v>8.82</v>
      </c>
      <c r="E3654" s="343"/>
    </row>
    <row r="3655" spans="1:5" s="335" customFormat="1" ht="48">
      <c r="A3655" s="342" t="s">
        <v>2749</v>
      </c>
      <c r="B3655" s="342" t="s">
        <v>2749</v>
      </c>
      <c r="C3655" s="342" t="str">
        <f>("EQ5EFNC15PB")</f>
        <v>EQ5EFNC15PB</v>
      </c>
      <c r="D3655" s="340">
        <v>9.4499999999999993</v>
      </c>
      <c r="E3655" s="343"/>
    </row>
    <row r="3656" spans="1:5" s="335" customFormat="1" ht="60">
      <c r="A3656" s="342" t="s">
        <v>2750</v>
      </c>
      <c r="B3656" s="342" t="s">
        <v>2750</v>
      </c>
      <c r="C3656" s="342" t="str">
        <f>("EQ5EFNC23PB")</f>
        <v>EQ5EFNC23PB</v>
      </c>
      <c r="D3656" s="340">
        <v>7.15</v>
      </c>
      <c r="E3656" s="343"/>
    </row>
    <row r="3657" spans="1:5" s="335" customFormat="1" ht="60">
      <c r="A3657" s="342" t="s">
        <v>2751</v>
      </c>
      <c r="B3657" s="342" t="s">
        <v>2751</v>
      </c>
      <c r="C3657" s="342" t="str">
        <f>("EQ5EFNC24PB")</f>
        <v>EQ5EFNC24PB</v>
      </c>
      <c r="D3657" s="340">
        <v>7.7</v>
      </c>
      <c r="E3657" s="343"/>
    </row>
    <row r="3658" spans="1:5" s="335" customFormat="1" ht="60">
      <c r="A3658" s="342" t="s">
        <v>2752</v>
      </c>
      <c r="B3658" s="342" t="s">
        <v>2752</v>
      </c>
      <c r="C3658" s="342" t="str">
        <f>("EQ5EFNC25PB")</f>
        <v>EQ5EFNC25PB</v>
      </c>
      <c r="D3658" s="340">
        <v>8.25</v>
      </c>
      <c r="E3658" s="343"/>
    </row>
    <row r="3659" spans="1:5" s="335" customFormat="1" ht="60">
      <c r="A3659" s="342" t="s">
        <v>2753</v>
      </c>
      <c r="B3659" s="342" t="s">
        <v>2753</v>
      </c>
      <c r="C3659" s="342" t="str">
        <f>("EQ5EFNC33PB")</f>
        <v>EQ5EFNC33PB</v>
      </c>
      <c r="D3659" s="340">
        <v>6.57</v>
      </c>
      <c r="E3659" s="343"/>
    </row>
    <row r="3660" spans="1:5" s="335" customFormat="1" ht="60">
      <c r="A3660" s="342" t="s">
        <v>2754</v>
      </c>
      <c r="B3660" s="342" t="s">
        <v>2754</v>
      </c>
      <c r="C3660" s="342" t="str">
        <f>("EQ5EFNC34PB")</f>
        <v>EQ5EFNC34PB</v>
      </c>
      <c r="D3660" s="340">
        <v>7.07</v>
      </c>
      <c r="E3660" s="343"/>
    </row>
    <row r="3661" spans="1:5" s="335" customFormat="1" ht="60">
      <c r="A3661" s="342" t="s">
        <v>2755</v>
      </c>
      <c r="B3661" s="342" t="s">
        <v>2755</v>
      </c>
      <c r="C3661" s="342" t="str">
        <f>("EQ5EFNC35PB")</f>
        <v>EQ5EFNC35PB</v>
      </c>
      <c r="D3661" s="340">
        <v>7.58</v>
      </c>
      <c r="E3661" s="343"/>
    </row>
    <row r="3662" spans="1:5" s="335" customFormat="1" ht="60">
      <c r="A3662" s="342" t="s">
        <v>2756</v>
      </c>
      <c r="B3662" s="342" t="s">
        <v>2756</v>
      </c>
      <c r="C3662" s="342" t="str">
        <f>("EQ5EFNC43PB")</f>
        <v>EQ5EFNC43PB</v>
      </c>
      <c r="D3662" s="340">
        <v>6.05</v>
      </c>
      <c r="E3662" s="343"/>
    </row>
    <row r="3663" spans="1:5" s="335" customFormat="1" ht="60">
      <c r="A3663" s="342" t="s">
        <v>2757</v>
      </c>
      <c r="B3663" s="342" t="s">
        <v>2757</v>
      </c>
      <c r="C3663" s="342" t="str">
        <f>("EQ5EFNC44PB")</f>
        <v>EQ5EFNC44PB</v>
      </c>
      <c r="D3663" s="340">
        <v>6.51</v>
      </c>
      <c r="E3663" s="343"/>
    </row>
    <row r="3664" spans="1:5" s="335" customFormat="1" ht="60">
      <c r="A3664" s="342" t="s">
        <v>2758</v>
      </c>
      <c r="B3664" s="342" t="s">
        <v>2758</v>
      </c>
      <c r="C3664" s="342" t="str">
        <f>("EQ5EFNC45PB")</f>
        <v>EQ5EFNC45PB</v>
      </c>
      <c r="D3664" s="340">
        <v>6.98</v>
      </c>
      <c r="E3664" s="343"/>
    </row>
    <row r="3665" spans="1:5" s="335" customFormat="1" ht="60">
      <c r="A3665" s="342" t="s">
        <v>2759</v>
      </c>
      <c r="B3665" s="342" t="s">
        <v>2759</v>
      </c>
      <c r="C3665" s="342" t="str">
        <f>("EQ5EFNC53PB")</f>
        <v>EQ5EFNC53PB</v>
      </c>
      <c r="D3665" s="340">
        <v>5.53</v>
      </c>
      <c r="E3665" s="343"/>
    </row>
    <row r="3666" spans="1:5" s="335" customFormat="1" ht="60">
      <c r="A3666" s="342" t="s">
        <v>2760</v>
      </c>
      <c r="B3666" s="342" t="s">
        <v>2760</v>
      </c>
      <c r="C3666" s="342" t="str">
        <f>("EQ5EFNC54PB")</f>
        <v>EQ5EFNC54PB</v>
      </c>
      <c r="D3666" s="340">
        <v>5.95</v>
      </c>
      <c r="E3666" s="343"/>
    </row>
    <row r="3667" spans="1:5" s="335" customFormat="1" ht="60">
      <c r="A3667" s="342" t="s">
        <v>2761</v>
      </c>
      <c r="B3667" s="342" t="s">
        <v>2761</v>
      </c>
      <c r="C3667" s="342" t="str">
        <f>("EQ5EFNC55PB")</f>
        <v>EQ5EFNC55PB</v>
      </c>
      <c r="D3667" s="340">
        <v>6.38</v>
      </c>
      <c r="E3667" s="343"/>
    </row>
    <row r="3668" spans="1:5" s="335" customFormat="1" ht="48">
      <c r="A3668" s="342" t="s">
        <v>2762</v>
      </c>
      <c r="B3668" s="342" t="s">
        <v>2762</v>
      </c>
      <c r="C3668" s="342" t="str">
        <f>("EQ5EFNCK3PB")</f>
        <v>EQ5EFNCK3PB</v>
      </c>
      <c r="D3668" s="340">
        <v>12.09</v>
      </c>
      <c r="E3668" s="343"/>
    </row>
    <row r="3669" spans="1:5" s="335" customFormat="1" ht="48">
      <c r="A3669" s="342" t="s">
        <v>2763</v>
      </c>
      <c r="B3669" s="342" t="s">
        <v>2763</v>
      </c>
      <c r="C3669" s="342" t="str">
        <f>("EQ5EFNCK4PB")</f>
        <v>EQ5EFNCK4PB</v>
      </c>
      <c r="D3669" s="340">
        <v>13.02</v>
      </c>
      <c r="E3669" s="343"/>
    </row>
    <row r="3670" spans="1:5" s="335" customFormat="1" ht="48">
      <c r="A3670" s="342" t="s">
        <v>2764</v>
      </c>
      <c r="B3670" s="342" t="s">
        <v>2764</v>
      </c>
      <c r="C3670" s="342" t="str">
        <f>("EQ5EFNCK5PB")</f>
        <v>EQ5EFNCK5PB</v>
      </c>
      <c r="D3670" s="340">
        <v>13.95</v>
      </c>
      <c r="E3670" s="343"/>
    </row>
    <row r="3671" spans="1:5" s="335" customFormat="1" ht="60">
      <c r="A3671" s="342" t="s">
        <v>2765</v>
      </c>
      <c r="B3671" s="342" t="s">
        <v>2765</v>
      </c>
      <c r="C3671" s="342" t="str">
        <f>("EQ5EFNE13PB")</f>
        <v>EQ5EFNE13PB</v>
      </c>
      <c r="D3671" s="340">
        <v>13.2</v>
      </c>
      <c r="E3671" s="343"/>
    </row>
    <row r="3672" spans="1:5" s="335" customFormat="1" ht="60">
      <c r="A3672" s="342" t="s">
        <v>2766</v>
      </c>
      <c r="B3672" s="342" t="s">
        <v>2766</v>
      </c>
      <c r="C3672" s="342" t="str">
        <f>("EQ5EFNE14PB")</f>
        <v>EQ5EFNE14PB</v>
      </c>
      <c r="D3672" s="340">
        <v>14.21</v>
      </c>
      <c r="E3672" s="343"/>
    </row>
    <row r="3673" spans="1:5" s="335" customFormat="1" ht="60">
      <c r="A3673" s="342" t="s">
        <v>2767</v>
      </c>
      <c r="B3673" s="342" t="s">
        <v>2767</v>
      </c>
      <c r="C3673" s="342" t="str">
        <f>("EQ5EFNE15PB")</f>
        <v>EQ5EFNE15PB</v>
      </c>
      <c r="D3673" s="340">
        <v>15.23</v>
      </c>
      <c r="E3673" s="343"/>
    </row>
    <row r="3674" spans="1:5" s="335" customFormat="1" ht="60">
      <c r="A3674" s="342" t="s">
        <v>2768</v>
      </c>
      <c r="B3674" s="342" t="s">
        <v>2768</v>
      </c>
      <c r="C3674" s="342" t="str">
        <f>("EQ5EFNE23PB")</f>
        <v>EQ5EFNE23PB</v>
      </c>
      <c r="D3674" s="340">
        <v>11.57</v>
      </c>
      <c r="E3674" s="343"/>
    </row>
    <row r="3675" spans="1:5" s="335" customFormat="1" ht="60">
      <c r="A3675" s="342" t="s">
        <v>2769</v>
      </c>
      <c r="B3675" s="342" t="s">
        <v>2769</v>
      </c>
      <c r="C3675" s="342" t="str">
        <f>("EQ5EFNE24PB")</f>
        <v>EQ5EFNE24PB</v>
      </c>
      <c r="D3675" s="340">
        <v>12.46</v>
      </c>
      <c r="E3675" s="343"/>
    </row>
    <row r="3676" spans="1:5" s="335" customFormat="1" ht="60">
      <c r="A3676" s="342" t="s">
        <v>2770</v>
      </c>
      <c r="B3676" s="342" t="s">
        <v>2770</v>
      </c>
      <c r="C3676" s="342" t="str">
        <f>("EQ5EFNE25PB")</f>
        <v>EQ5EFNE25PB</v>
      </c>
      <c r="D3676" s="340">
        <v>13.35</v>
      </c>
      <c r="E3676" s="343"/>
    </row>
    <row r="3677" spans="1:5" s="335" customFormat="1" ht="60">
      <c r="A3677" s="342" t="s">
        <v>2771</v>
      </c>
      <c r="B3677" s="342" t="s">
        <v>2771</v>
      </c>
      <c r="C3677" s="342" t="str">
        <f>("EQ5EFNE33PB")</f>
        <v>EQ5EFNE33PB</v>
      </c>
      <c r="D3677" s="340">
        <v>9.8800000000000008</v>
      </c>
      <c r="E3677" s="343"/>
    </row>
    <row r="3678" spans="1:5" s="335" customFormat="1" ht="60">
      <c r="A3678" s="342" t="s">
        <v>2772</v>
      </c>
      <c r="B3678" s="342" t="s">
        <v>2772</v>
      </c>
      <c r="C3678" s="342" t="str">
        <f>("EQ5EFNE34PB")</f>
        <v>EQ5EFNE34PB</v>
      </c>
      <c r="D3678" s="340">
        <v>10.64</v>
      </c>
      <c r="E3678" s="343"/>
    </row>
    <row r="3679" spans="1:5" s="335" customFormat="1" ht="60">
      <c r="A3679" s="342" t="s">
        <v>2773</v>
      </c>
      <c r="B3679" s="342" t="s">
        <v>2773</v>
      </c>
      <c r="C3679" s="342" t="str">
        <f>("EQ5EFNE35PB")</f>
        <v>EQ5EFNE35PB</v>
      </c>
      <c r="D3679" s="340">
        <v>11.4</v>
      </c>
      <c r="E3679" s="343"/>
    </row>
    <row r="3680" spans="1:5" s="335" customFormat="1" ht="60">
      <c r="A3680" s="342" t="s">
        <v>2774</v>
      </c>
      <c r="B3680" s="342" t="s">
        <v>2774</v>
      </c>
      <c r="C3680" s="342" t="str">
        <f>("EQ5EFNE43PB")</f>
        <v>EQ5EFNE43PB</v>
      </c>
      <c r="D3680" s="340">
        <v>9.1</v>
      </c>
      <c r="E3680" s="343"/>
    </row>
    <row r="3681" spans="1:5" s="335" customFormat="1" ht="60">
      <c r="A3681" s="342" t="s">
        <v>2775</v>
      </c>
      <c r="B3681" s="342" t="s">
        <v>2775</v>
      </c>
      <c r="C3681" s="342" t="str">
        <f>("EQ5EFNE44PB")</f>
        <v>EQ5EFNE44PB</v>
      </c>
      <c r="D3681" s="340">
        <v>9.8000000000000007</v>
      </c>
      <c r="E3681" s="343"/>
    </row>
    <row r="3682" spans="1:5" s="335" customFormat="1" ht="60">
      <c r="A3682" s="342" t="s">
        <v>2776</v>
      </c>
      <c r="B3682" s="342" t="s">
        <v>2776</v>
      </c>
      <c r="C3682" s="342" t="str">
        <f>("EQ5EFNE45PB")</f>
        <v>EQ5EFNE45PB</v>
      </c>
      <c r="D3682" s="340">
        <v>10.5</v>
      </c>
      <c r="E3682" s="343"/>
    </row>
    <row r="3683" spans="1:5" s="335" customFormat="1" ht="60">
      <c r="A3683" s="342" t="s">
        <v>2777</v>
      </c>
      <c r="B3683" s="342" t="s">
        <v>2777</v>
      </c>
      <c r="C3683" s="342" t="str">
        <f>("EQ5EFNE53PB")</f>
        <v>EQ5EFNE53PB</v>
      </c>
      <c r="D3683" s="340">
        <v>8.26</v>
      </c>
      <c r="E3683" s="343"/>
    </row>
    <row r="3684" spans="1:5" s="335" customFormat="1" ht="60">
      <c r="A3684" s="342" t="s">
        <v>2778</v>
      </c>
      <c r="B3684" s="342" t="s">
        <v>2778</v>
      </c>
      <c r="C3684" s="342" t="str">
        <f>("EQ5EFNE54PB")</f>
        <v>EQ5EFNE54PB</v>
      </c>
      <c r="D3684" s="340">
        <v>8.89</v>
      </c>
      <c r="E3684" s="343"/>
    </row>
    <row r="3685" spans="1:5" s="335" customFormat="1" ht="60">
      <c r="A3685" s="342" t="s">
        <v>2779</v>
      </c>
      <c r="B3685" s="342" t="s">
        <v>2779</v>
      </c>
      <c r="C3685" s="342" t="str">
        <f>("EQ5EFNE55PB")</f>
        <v>EQ5EFNE55PB</v>
      </c>
      <c r="D3685" s="340">
        <v>9.5299999999999994</v>
      </c>
      <c r="E3685" s="343"/>
    </row>
    <row r="3686" spans="1:5" s="335" customFormat="1" ht="60">
      <c r="A3686" s="342" t="s">
        <v>2780</v>
      </c>
      <c r="B3686" s="342" t="s">
        <v>2780</v>
      </c>
      <c r="C3686" s="342" t="str">
        <f>("EQ5EFNEK3PB")</f>
        <v>EQ5EFNEK3PB</v>
      </c>
      <c r="D3686" s="340">
        <v>19.829999999999998</v>
      </c>
      <c r="E3686" s="343"/>
    </row>
    <row r="3687" spans="1:5" s="335" customFormat="1" ht="60">
      <c r="A3687" s="342" t="s">
        <v>2781</v>
      </c>
      <c r="B3687" s="342" t="s">
        <v>2781</v>
      </c>
      <c r="C3687" s="342" t="str">
        <f>("EQ5EFNEK4PB")</f>
        <v>EQ5EFNEK4PB</v>
      </c>
      <c r="D3687" s="340">
        <v>21.35</v>
      </c>
      <c r="E3687" s="343"/>
    </row>
    <row r="3688" spans="1:5" s="335" customFormat="1" ht="60">
      <c r="A3688" s="342" t="s">
        <v>2782</v>
      </c>
      <c r="B3688" s="342" t="s">
        <v>2782</v>
      </c>
      <c r="C3688" s="342" t="str">
        <f>("EQ5EFNEK5PB")</f>
        <v>EQ5EFNEK5PB</v>
      </c>
      <c r="D3688" s="340">
        <v>22.88</v>
      </c>
      <c r="E3688" s="343"/>
    </row>
    <row r="3689" spans="1:5" s="335" customFormat="1" ht="60">
      <c r="A3689" s="342" t="s">
        <v>2783</v>
      </c>
      <c r="B3689" s="342" t="s">
        <v>2783</v>
      </c>
      <c r="C3689" s="342" t="str">
        <f>("EQ5EFNU13PB")</f>
        <v>EQ5EFNU13PB</v>
      </c>
      <c r="D3689" s="340">
        <v>8.19</v>
      </c>
      <c r="E3689" s="343"/>
    </row>
    <row r="3690" spans="1:5" s="335" customFormat="1" ht="60">
      <c r="A3690" s="342" t="s">
        <v>2784</v>
      </c>
      <c r="B3690" s="342" t="s">
        <v>2784</v>
      </c>
      <c r="C3690" s="342" t="str">
        <f>("EQ5EFNU14PB")</f>
        <v>EQ5EFNU14PB</v>
      </c>
      <c r="D3690" s="340">
        <v>8.82</v>
      </c>
      <c r="E3690" s="343"/>
    </row>
    <row r="3691" spans="1:5" s="335" customFormat="1" ht="60">
      <c r="A3691" s="342" t="s">
        <v>2785</v>
      </c>
      <c r="B3691" s="342" t="s">
        <v>2785</v>
      </c>
      <c r="C3691" s="342" t="str">
        <f>("EQ5EFNU15PB")</f>
        <v>EQ5EFNU15PB</v>
      </c>
      <c r="D3691" s="340">
        <v>9.4499999999999993</v>
      </c>
      <c r="E3691" s="343"/>
    </row>
    <row r="3692" spans="1:5" s="335" customFormat="1" ht="72">
      <c r="A3692" s="342" t="s">
        <v>2786</v>
      </c>
      <c r="B3692" s="342" t="s">
        <v>2786</v>
      </c>
      <c r="C3692" s="342" t="str">
        <f>("EQ5EFNU23PB")</f>
        <v>EQ5EFNU23PB</v>
      </c>
      <c r="D3692" s="340">
        <v>7.15</v>
      </c>
      <c r="E3692" s="343"/>
    </row>
    <row r="3693" spans="1:5" s="335" customFormat="1" ht="72">
      <c r="A3693" s="342" t="s">
        <v>2787</v>
      </c>
      <c r="B3693" s="342" t="s">
        <v>2787</v>
      </c>
      <c r="C3693" s="342" t="str">
        <f>("EQ5EFNU24PB")</f>
        <v>EQ5EFNU24PB</v>
      </c>
      <c r="D3693" s="340">
        <v>7.7</v>
      </c>
      <c r="E3693" s="343"/>
    </row>
    <row r="3694" spans="1:5" s="335" customFormat="1" ht="72">
      <c r="A3694" s="342" t="s">
        <v>2788</v>
      </c>
      <c r="B3694" s="342" t="s">
        <v>2788</v>
      </c>
      <c r="C3694" s="342" t="str">
        <f>("EQ5EFNU25PB")</f>
        <v>EQ5EFNU25PB</v>
      </c>
      <c r="D3694" s="340">
        <v>8.25</v>
      </c>
      <c r="E3694" s="343"/>
    </row>
    <row r="3695" spans="1:5" s="335" customFormat="1" ht="72">
      <c r="A3695" s="342" t="s">
        <v>2789</v>
      </c>
      <c r="B3695" s="342" t="s">
        <v>2789</v>
      </c>
      <c r="C3695" s="342" t="str">
        <f>("EQ5EFNU33PB")</f>
        <v>EQ5EFNU33PB</v>
      </c>
      <c r="D3695" s="340">
        <v>6.57</v>
      </c>
      <c r="E3695" s="343"/>
    </row>
    <row r="3696" spans="1:5" s="335" customFormat="1" ht="72">
      <c r="A3696" s="342" t="s">
        <v>2790</v>
      </c>
      <c r="B3696" s="342" t="s">
        <v>2790</v>
      </c>
      <c r="C3696" s="342" t="str">
        <f>("EQ5EFNU34PB")</f>
        <v>EQ5EFNU34PB</v>
      </c>
      <c r="D3696" s="340">
        <v>7.07</v>
      </c>
      <c r="E3696" s="343"/>
    </row>
    <row r="3697" spans="1:5" s="335" customFormat="1" ht="72">
      <c r="A3697" s="342" t="s">
        <v>2791</v>
      </c>
      <c r="B3697" s="342" t="s">
        <v>2791</v>
      </c>
      <c r="C3697" s="342" t="str">
        <f>("EQ5EFNU35PB")</f>
        <v>EQ5EFNU35PB</v>
      </c>
      <c r="D3697" s="340">
        <v>7.58</v>
      </c>
      <c r="E3697" s="343"/>
    </row>
    <row r="3698" spans="1:5" s="335" customFormat="1" ht="72">
      <c r="A3698" s="342" t="s">
        <v>2792</v>
      </c>
      <c r="B3698" s="342" t="s">
        <v>2792</v>
      </c>
      <c r="C3698" s="342" t="str">
        <f>("EQ5EFNU43PB")</f>
        <v>EQ5EFNU43PB</v>
      </c>
      <c r="D3698" s="340">
        <v>6.05</v>
      </c>
      <c r="E3698" s="343"/>
    </row>
    <row r="3699" spans="1:5" s="335" customFormat="1" ht="72">
      <c r="A3699" s="342" t="s">
        <v>2793</v>
      </c>
      <c r="B3699" s="342" t="s">
        <v>2793</v>
      </c>
      <c r="C3699" s="342" t="str">
        <f>("EQ5EFNU44PB")</f>
        <v>EQ5EFNU44PB</v>
      </c>
      <c r="D3699" s="340">
        <v>6.51</v>
      </c>
      <c r="E3699" s="343"/>
    </row>
    <row r="3700" spans="1:5" s="335" customFormat="1" ht="72">
      <c r="A3700" s="342" t="s">
        <v>2794</v>
      </c>
      <c r="B3700" s="342" t="s">
        <v>2794</v>
      </c>
      <c r="C3700" s="342" t="str">
        <f>("EQ5EFNU45PB")</f>
        <v>EQ5EFNU45PB</v>
      </c>
      <c r="D3700" s="340">
        <v>6.98</v>
      </c>
      <c r="E3700" s="343"/>
    </row>
    <row r="3701" spans="1:5" s="335" customFormat="1" ht="60">
      <c r="A3701" s="342" t="s">
        <v>2795</v>
      </c>
      <c r="B3701" s="342" t="s">
        <v>2795</v>
      </c>
      <c r="C3701" s="342" t="str">
        <f>("EQ5EFNU53PB")</f>
        <v>EQ5EFNU53PB</v>
      </c>
      <c r="D3701" s="340">
        <v>5.53</v>
      </c>
      <c r="E3701" s="343"/>
    </row>
    <row r="3702" spans="1:5" s="335" customFormat="1" ht="60">
      <c r="A3702" s="342" t="s">
        <v>2796</v>
      </c>
      <c r="B3702" s="342" t="s">
        <v>2796</v>
      </c>
      <c r="C3702" s="342" t="str">
        <f>("EQ5EFNU54PB")</f>
        <v>EQ5EFNU54PB</v>
      </c>
      <c r="D3702" s="340">
        <v>5.95</v>
      </c>
      <c r="E3702" s="343"/>
    </row>
    <row r="3703" spans="1:5" s="335" customFormat="1" ht="60">
      <c r="A3703" s="342" t="s">
        <v>2797</v>
      </c>
      <c r="B3703" s="342" t="s">
        <v>2797</v>
      </c>
      <c r="C3703" s="342" t="str">
        <f>("EQ5EFNU55PB")</f>
        <v>EQ5EFNU55PB</v>
      </c>
      <c r="D3703" s="340">
        <v>6.38</v>
      </c>
      <c r="E3703" s="343"/>
    </row>
    <row r="3704" spans="1:5" s="335" customFormat="1" ht="60">
      <c r="A3704" s="342" t="s">
        <v>2798</v>
      </c>
      <c r="B3704" s="342" t="s">
        <v>2798</v>
      </c>
      <c r="C3704" s="342" t="str">
        <f>("EQ5EFNUK3PB")</f>
        <v>EQ5EFNUK3PB</v>
      </c>
      <c r="D3704" s="340">
        <v>12.09</v>
      </c>
      <c r="E3704" s="343"/>
    </row>
    <row r="3705" spans="1:5" s="335" customFormat="1" ht="60">
      <c r="A3705" s="342" t="s">
        <v>2799</v>
      </c>
      <c r="B3705" s="342" t="s">
        <v>2799</v>
      </c>
      <c r="C3705" s="342" t="str">
        <f>("EQ5EFNUK4PB")</f>
        <v>EQ5EFNUK4PB</v>
      </c>
      <c r="D3705" s="340">
        <v>13.02</v>
      </c>
      <c r="E3705" s="343"/>
    </row>
    <row r="3706" spans="1:5" s="335" customFormat="1" ht="60">
      <c r="A3706" s="342" t="s">
        <v>2800</v>
      </c>
      <c r="B3706" s="342" t="s">
        <v>2800</v>
      </c>
      <c r="C3706" s="342" t="str">
        <f>("EQ5EFNUK5PB")</f>
        <v>EQ5EFNUK5PB</v>
      </c>
      <c r="D3706" s="340">
        <v>13.95</v>
      </c>
      <c r="E3706" s="343"/>
    </row>
    <row r="3707" spans="1:5" s="335" customFormat="1" ht="12.75">
      <c r="A3707" s="403" t="s">
        <v>2406</v>
      </c>
      <c r="B3707" s="403"/>
      <c r="C3707" s="403"/>
      <c r="D3707" s="403"/>
      <c r="E3707" s="343"/>
    </row>
    <row r="3708" spans="1:5" s="335" customFormat="1" ht="36">
      <c r="A3708" s="342" t="s">
        <v>2407</v>
      </c>
      <c r="B3708" s="342" t="s">
        <v>2407</v>
      </c>
      <c r="C3708" s="342" t="str">
        <f>("EQ5RS0013PB")</f>
        <v>EQ5RS0013PB</v>
      </c>
      <c r="D3708" s="340">
        <v>767</v>
      </c>
      <c r="E3708" s="343"/>
    </row>
    <row r="3709" spans="1:5" s="335" customFormat="1" ht="36">
      <c r="A3709" s="342" t="s">
        <v>2408</v>
      </c>
      <c r="B3709" s="342" t="s">
        <v>2408</v>
      </c>
      <c r="C3709" s="342" t="str">
        <f>("EQ5RS0014PB")</f>
        <v>EQ5RS0014PB</v>
      </c>
      <c r="D3709" s="340">
        <v>826</v>
      </c>
      <c r="E3709" s="343"/>
    </row>
    <row r="3710" spans="1:5" s="335" customFormat="1" ht="36">
      <c r="A3710" s="342" t="s">
        <v>2409</v>
      </c>
      <c r="B3710" s="342" t="s">
        <v>2409</v>
      </c>
      <c r="C3710" s="342" t="str">
        <f>("EQ5RS0015PB")</f>
        <v>EQ5RS0015PB</v>
      </c>
      <c r="D3710" s="340">
        <v>885</v>
      </c>
      <c r="E3710" s="343"/>
    </row>
    <row r="3711" spans="1:5" s="335" customFormat="1" ht="36">
      <c r="A3711" s="342" t="s">
        <v>2410</v>
      </c>
      <c r="B3711" s="342" t="s">
        <v>2410</v>
      </c>
      <c r="C3711" s="342" t="str">
        <f>("EQ5RS0103PB")</f>
        <v>EQ5RS0103PB</v>
      </c>
      <c r="D3711" s="340">
        <v>6604</v>
      </c>
      <c r="E3711" s="343"/>
    </row>
    <row r="3712" spans="1:5" s="335" customFormat="1" ht="36">
      <c r="A3712" s="342" t="s">
        <v>2411</v>
      </c>
      <c r="B3712" s="342" t="s">
        <v>2411</v>
      </c>
      <c r="C3712" s="342" t="str">
        <f>("EQ5RS0104PB")</f>
        <v>EQ5RS0104PB</v>
      </c>
      <c r="D3712" s="340">
        <v>7112</v>
      </c>
      <c r="E3712" s="343"/>
    </row>
    <row r="3713" spans="1:5" s="335" customFormat="1" ht="36">
      <c r="A3713" s="342" t="s">
        <v>2412</v>
      </c>
      <c r="B3713" s="342" t="s">
        <v>2412</v>
      </c>
      <c r="C3713" s="342" t="str">
        <f>("EQ5RS0105PB")</f>
        <v>EQ5RS0105PB</v>
      </c>
      <c r="D3713" s="340">
        <v>7620</v>
      </c>
      <c r="E3713" s="343"/>
    </row>
    <row r="3714" spans="1:5" s="335" customFormat="1" ht="36">
      <c r="A3714" s="342" t="s">
        <v>2413</v>
      </c>
      <c r="B3714" s="342" t="s">
        <v>2413</v>
      </c>
      <c r="C3714" s="342" t="str">
        <f>("EQ5RS01U3PB")</f>
        <v>EQ5RS01U3PB</v>
      </c>
      <c r="D3714" s="340">
        <v>354</v>
      </c>
      <c r="E3714" s="343"/>
    </row>
    <row r="3715" spans="1:5" s="335" customFormat="1" ht="36">
      <c r="A3715" s="342" t="s">
        <v>2414</v>
      </c>
      <c r="B3715" s="342" t="s">
        <v>2414</v>
      </c>
      <c r="C3715" s="342" t="str">
        <f>("EQ5RS01U4PB")</f>
        <v>EQ5RS01U4PB</v>
      </c>
      <c r="D3715" s="340">
        <v>413</v>
      </c>
      <c r="E3715" s="343"/>
    </row>
    <row r="3716" spans="1:5" s="335" customFormat="1" ht="36">
      <c r="A3716" s="342" t="s">
        <v>2415</v>
      </c>
      <c r="B3716" s="342" t="s">
        <v>2415</v>
      </c>
      <c r="C3716" s="342" t="str">
        <f>("EQ5RS01U5PB")</f>
        <v>EQ5RS01U5PB</v>
      </c>
      <c r="D3716" s="340">
        <v>472</v>
      </c>
      <c r="E3716" s="343"/>
    </row>
    <row r="3717" spans="1:5" s="335" customFormat="1" ht="48">
      <c r="A3717" s="342" t="s">
        <v>2416</v>
      </c>
      <c r="B3717" s="342" t="s">
        <v>2416</v>
      </c>
      <c r="C3717" s="342" t="str">
        <f>("EQ5RSU103PB")</f>
        <v>EQ5RSU103PB</v>
      </c>
      <c r="D3717" s="340">
        <v>3048</v>
      </c>
      <c r="E3717" s="343"/>
    </row>
    <row r="3718" spans="1:5" s="335" customFormat="1" ht="48">
      <c r="A3718" s="342" t="s">
        <v>2417</v>
      </c>
      <c r="B3718" s="342" t="s">
        <v>2417</v>
      </c>
      <c r="C3718" s="342" t="str">
        <f>("EQ5RSU104PB")</f>
        <v>EQ5RSU104PB</v>
      </c>
      <c r="D3718" s="340">
        <v>3556</v>
      </c>
      <c r="E3718" s="343"/>
    </row>
    <row r="3719" spans="1:5" s="335" customFormat="1" ht="48">
      <c r="A3719" s="342" t="s">
        <v>2418</v>
      </c>
      <c r="B3719" s="342" t="s">
        <v>2418</v>
      </c>
      <c r="C3719" s="342" t="str">
        <f>("EQ5RSU105PB")</f>
        <v>EQ5RSU105PB</v>
      </c>
      <c r="D3719" s="340">
        <v>4064</v>
      </c>
      <c r="E3719" s="343"/>
    </row>
    <row r="3720" spans="1:5" s="335" customFormat="1" ht="36">
      <c r="A3720" s="342" t="s">
        <v>2419</v>
      </c>
      <c r="B3720" s="342" t="s">
        <v>2419</v>
      </c>
      <c r="C3720" s="342" t="str">
        <f>("EQ5WR0013PB")</f>
        <v>EQ5WR0013PB</v>
      </c>
      <c r="D3720" s="340">
        <v>359</v>
      </c>
      <c r="E3720" s="343"/>
    </row>
    <row r="3721" spans="1:5" s="335" customFormat="1" ht="36">
      <c r="A3721" s="342" t="s">
        <v>2420</v>
      </c>
      <c r="B3721" s="342" t="s">
        <v>2420</v>
      </c>
      <c r="C3721" s="342" t="str">
        <f>("EQ5WR0014PB")</f>
        <v>EQ5WR0014PB</v>
      </c>
      <c r="D3721" s="340">
        <v>387</v>
      </c>
      <c r="E3721" s="343"/>
    </row>
    <row r="3722" spans="1:5" s="335" customFormat="1" ht="36">
      <c r="A3722" s="342" t="s">
        <v>2422</v>
      </c>
      <c r="B3722" s="342" t="s">
        <v>2422</v>
      </c>
      <c r="C3722" s="342" t="str">
        <f>("EQ5WR0103PB")</f>
        <v>EQ5WR0103PB</v>
      </c>
      <c r="D3722" s="340">
        <v>2894</v>
      </c>
      <c r="E3722" s="343"/>
    </row>
    <row r="3723" spans="1:5" s="335" customFormat="1" ht="36">
      <c r="A3723" s="342" t="s">
        <v>2423</v>
      </c>
      <c r="B3723" s="342" t="s">
        <v>2423</v>
      </c>
      <c r="C3723" s="342" t="str">
        <f>("EQ5WR0104PB")</f>
        <v>EQ5WR0104PB</v>
      </c>
      <c r="D3723" s="340">
        <v>3117</v>
      </c>
      <c r="E3723" s="343"/>
    </row>
    <row r="3724" spans="1:5" s="335" customFormat="1" ht="36">
      <c r="A3724" s="342" t="s">
        <v>2424</v>
      </c>
      <c r="B3724" s="342" t="s">
        <v>2424</v>
      </c>
      <c r="C3724" s="342" t="str">
        <f>("EQ5WR0105PB")</f>
        <v>EQ5WR0105PB</v>
      </c>
      <c r="D3724" s="340">
        <v>3340</v>
      </c>
      <c r="E3724" s="343"/>
    </row>
    <row r="3725" spans="1:5" s="335" customFormat="1" ht="48">
      <c r="A3725" s="342" t="s">
        <v>2425</v>
      </c>
      <c r="B3725" s="342" t="s">
        <v>2425</v>
      </c>
      <c r="C3725" s="342" t="str">
        <f>("EQ5WR01U3PB")</f>
        <v>EQ5WR01U3PB</v>
      </c>
      <c r="D3725" s="340">
        <v>167</v>
      </c>
      <c r="E3725" s="343"/>
    </row>
    <row r="3726" spans="1:5" s="335" customFormat="1" ht="48">
      <c r="A3726" s="342" t="s">
        <v>2426</v>
      </c>
      <c r="B3726" s="342" t="s">
        <v>2426</v>
      </c>
      <c r="C3726" s="342" t="str">
        <f>("EQ5WR0CU3PB")</f>
        <v>EQ5WR0CU3PB</v>
      </c>
      <c r="D3726" s="340">
        <v>10170</v>
      </c>
      <c r="E3726" s="343"/>
    </row>
    <row r="3727" spans="1:5" s="335" customFormat="1" ht="48">
      <c r="A3727" s="342" t="s">
        <v>2427</v>
      </c>
      <c r="B3727" s="342" t="s">
        <v>2427</v>
      </c>
      <c r="C3727" s="342" t="str">
        <f>("EQ5WR0CU4PB")</f>
        <v>EQ5WR0CU4PB</v>
      </c>
      <c r="D3727" s="340">
        <v>11865</v>
      </c>
      <c r="E3727" s="343"/>
    </row>
    <row r="3728" spans="1:5" s="335" customFormat="1" ht="48">
      <c r="A3728" s="342" t="s">
        <v>2428</v>
      </c>
      <c r="B3728" s="342" t="s">
        <v>2428</v>
      </c>
      <c r="C3728" s="342" t="str">
        <f>("EQ5WR0DU3PB")</f>
        <v>EQ5WR0DU3PB</v>
      </c>
      <c r="D3728" s="340">
        <v>45762</v>
      </c>
      <c r="E3728" s="343"/>
    </row>
    <row r="3729" spans="1:5" s="335" customFormat="1" ht="48">
      <c r="A3729" s="342" t="s">
        <v>2429</v>
      </c>
      <c r="B3729" s="342" t="s">
        <v>2429</v>
      </c>
      <c r="C3729" s="342" t="str">
        <f>("EQ5WR0DU4PB")</f>
        <v>EQ5WR0DU4PB</v>
      </c>
      <c r="D3729" s="340">
        <v>53389</v>
      </c>
      <c r="E3729" s="343"/>
    </row>
    <row r="3730" spans="1:5" s="335" customFormat="1" ht="48">
      <c r="A3730" s="342" t="s">
        <v>2430</v>
      </c>
      <c r="B3730" s="342" t="s">
        <v>2430</v>
      </c>
      <c r="C3730" s="342" t="str">
        <f>("EQ5WR0DU5PB")</f>
        <v>EQ5WR0DU5PB</v>
      </c>
      <c r="D3730" s="340">
        <v>61016</v>
      </c>
      <c r="E3730" s="343"/>
    </row>
    <row r="3731" spans="1:5" s="335" customFormat="1" ht="48">
      <c r="A3731" s="342" t="s">
        <v>2431</v>
      </c>
      <c r="B3731" s="342" t="s">
        <v>2431</v>
      </c>
      <c r="C3731" s="342" t="str">
        <f>("EQ5WR0XU3PB")</f>
        <v>EQ5WR0XU3PB</v>
      </c>
      <c r="D3731" s="340">
        <v>1337</v>
      </c>
      <c r="E3731" s="343"/>
    </row>
    <row r="3732" spans="1:5" s="335" customFormat="1" ht="48">
      <c r="A3732" s="342" t="s">
        <v>2432</v>
      </c>
      <c r="B3732" s="342" t="s">
        <v>2432</v>
      </c>
      <c r="C3732" s="342" t="str">
        <f>("EQ5WR0XU4PB")</f>
        <v>EQ5WR0XU4PB</v>
      </c>
      <c r="D3732" s="340">
        <v>1560</v>
      </c>
      <c r="E3732" s="343"/>
    </row>
    <row r="3733" spans="1:5" s="335" customFormat="1" ht="48">
      <c r="A3733" s="342" t="s">
        <v>2433</v>
      </c>
      <c r="B3733" s="342" t="s">
        <v>2433</v>
      </c>
      <c r="C3733" s="342" t="str">
        <f>("EQ5WR0XU5PB")</f>
        <v>EQ5WR0XU5PB</v>
      </c>
      <c r="D3733" s="340">
        <v>1783</v>
      </c>
      <c r="E3733" s="343"/>
    </row>
    <row r="3734" spans="1:5" s="335" customFormat="1" ht="36">
      <c r="A3734" s="342" t="s">
        <v>2434</v>
      </c>
      <c r="B3734" s="342" t="s">
        <v>2434</v>
      </c>
      <c r="C3734" s="342" t="str">
        <f>("EQ5WR1003PB")</f>
        <v>EQ5WR1003PB</v>
      </c>
      <c r="D3734" s="340">
        <v>22035</v>
      </c>
      <c r="E3734" s="343"/>
    </row>
    <row r="3735" spans="1:5" s="335" customFormat="1" ht="36">
      <c r="A3735" s="342" t="s">
        <v>2435</v>
      </c>
      <c r="B3735" s="342" t="s">
        <v>2435</v>
      </c>
      <c r="C3735" s="342" t="str">
        <f>("EQ5WR1004PB")</f>
        <v>EQ5WR1004PB</v>
      </c>
      <c r="D3735" s="340">
        <v>23730</v>
      </c>
      <c r="E3735" s="343"/>
    </row>
    <row r="3736" spans="1:5" s="335" customFormat="1" ht="36">
      <c r="A3736" s="342" t="s">
        <v>2436</v>
      </c>
      <c r="B3736" s="342" t="s">
        <v>2436</v>
      </c>
      <c r="C3736" s="342" t="str">
        <f>("EQ5WR1005PB")</f>
        <v>EQ5WR1005PB</v>
      </c>
      <c r="D3736" s="340">
        <v>25425</v>
      </c>
      <c r="E3736" s="343"/>
    </row>
    <row r="3737" spans="1:5" s="335" customFormat="1" ht="36">
      <c r="A3737" s="342" t="s">
        <v>2437</v>
      </c>
      <c r="B3737" s="342" t="s">
        <v>2437</v>
      </c>
      <c r="C3737" s="342" t="str">
        <f>("EQ5WR5003PB")</f>
        <v>EQ5WR5003PB</v>
      </c>
      <c r="D3737" s="340">
        <v>99151</v>
      </c>
      <c r="E3737" s="343"/>
    </row>
    <row r="3738" spans="1:5" s="335" customFormat="1" ht="36">
      <c r="A3738" s="342" t="s">
        <v>2438</v>
      </c>
      <c r="B3738" s="342" t="s">
        <v>2438</v>
      </c>
      <c r="C3738" s="342" t="str">
        <f>("EQ5WR5004PB")</f>
        <v>EQ5WR5004PB</v>
      </c>
      <c r="D3738" s="340">
        <v>106778</v>
      </c>
      <c r="E3738" s="343"/>
    </row>
    <row r="3739" spans="1:5" s="335" customFormat="1" ht="36">
      <c r="A3739" s="342" t="s">
        <v>2439</v>
      </c>
      <c r="B3739" s="342" t="s">
        <v>2439</v>
      </c>
      <c r="C3739" s="342" t="str">
        <f>("EQ5WR5005PB")</f>
        <v>EQ5WR5005PB</v>
      </c>
      <c r="D3739" s="340">
        <v>114405</v>
      </c>
      <c r="E3739" s="343"/>
    </row>
    <row r="3740" spans="1:5" s="335" customFormat="1" ht="48">
      <c r="A3740" s="342" t="s">
        <v>2440</v>
      </c>
      <c r="B3740" s="342" t="s">
        <v>2440</v>
      </c>
      <c r="C3740" s="342" t="str">
        <f>("EQ5WROCU5PB")</f>
        <v>EQ5WROCU5PB</v>
      </c>
      <c r="D3740" s="340">
        <v>13560</v>
      </c>
      <c r="E3740" s="343"/>
    </row>
    <row r="3741" spans="1:5" s="335" customFormat="1" ht="12.75">
      <c r="A3741" s="403" t="s">
        <v>2441</v>
      </c>
      <c r="B3741" s="403"/>
      <c r="C3741" s="403"/>
      <c r="D3741" s="403"/>
      <c r="E3741" s="343"/>
    </row>
    <row r="3742" spans="1:5" s="335" customFormat="1" ht="36">
      <c r="A3742" s="342" t="s">
        <v>2442</v>
      </c>
      <c r="B3742" s="342" t="s">
        <v>2442</v>
      </c>
      <c r="C3742" s="342" t="str">
        <f>("EQ5WS0103PB")</f>
        <v>EQ5WS0103PB</v>
      </c>
      <c r="D3742" s="340">
        <v>658</v>
      </c>
      <c r="E3742" s="343"/>
    </row>
    <row r="3743" spans="1:5" s="335" customFormat="1" ht="36">
      <c r="A3743" s="342" t="s">
        <v>2443</v>
      </c>
      <c r="B3743" s="342" t="s">
        <v>2443</v>
      </c>
      <c r="C3743" s="342" t="str">
        <f>("EQ5WS0104PB")</f>
        <v>EQ5WS0104PB</v>
      </c>
      <c r="D3743" s="340">
        <v>709</v>
      </c>
      <c r="E3743" s="343"/>
    </row>
    <row r="3744" spans="1:5" s="335" customFormat="1" ht="36">
      <c r="A3744" s="342" t="s">
        <v>2444</v>
      </c>
      <c r="B3744" s="342" t="s">
        <v>2444</v>
      </c>
      <c r="C3744" s="342" t="str">
        <f>("EQ5WS0105PB")</f>
        <v>EQ5WS0105PB</v>
      </c>
      <c r="D3744" s="340">
        <v>760</v>
      </c>
      <c r="E3744" s="343"/>
    </row>
    <row r="3745" spans="1:5" s="335" customFormat="1" ht="36">
      <c r="A3745" s="342" t="s">
        <v>2445</v>
      </c>
      <c r="B3745" s="342" t="s">
        <v>2445</v>
      </c>
      <c r="C3745" s="342" t="str">
        <f>("EQ5WS01K3PB")</f>
        <v>EQ5WS01K3PB</v>
      </c>
      <c r="D3745" s="340">
        <v>13216</v>
      </c>
      <c r="E3745" s="343"/>
    </row>
    <row r="3746" spans="1:5" s="335" customFormat="1" ht="36">
      <c r="A3746" s="342" t="s">
        <v>2446</v>
      </c>
      <c r="B3746" s="342" t="s">
        <v>2446</v>
      </c>
      <c r="C3746" s="342" t="str">
        <f>("EQ5WS01K4PB")</f>
        <v>EQ5WS01K4PB</v>
      </c>
      <c r="D3746" s="340">
        <v>14233</v>
      </c>
      <c r="E3746" s="343"/>
    </row>
    <row r="3747" spans="1:5" s="335" customFormat="1" ht="36">
      <c r="A3747" s="342" t="s">
        <v>2447</v>
      </c>
      <c r="B3747" s="342" t="s">
        <v>2447</v>
      </c>
      <c r="C3747" s="342" t="str">
        <f>("EQ5WS01K5PB")</f>
        <v>EQ5WS01K5PB</v>
      </c>
      <c r="D3747" s="340">
        <v>15250</v>
      </c>
      <c r="E3747" s="343"/>
    </row>
    <row r="3748" spans="1:5" s="335" customFormat="1" ht="36">
      <c r="A3748" s="342" t="s">
        <v>2448</v>
      </c>
      <c r="B3748" s="342" t="s">
        <v>2448</v>
      </c>
      <c r="C3748" s="342" t="str">
        <f>("EQ5WS1003PB")</f>
        <v>EQ5WS1003PB</v>
      </c>
      <c r="D3748" s="340">
        <v>3081</v>
      </c>
      <c r="E3748" s="343"/>
    </row>
    <row r="3749" spans="1:5" s="335" customFormat="1" ht="36">
      <c r="A3749" s="342" t="s">
        <v>2449</v>
      </c>
      <c r="B3749" s="342" t="s">
        <v>2449</v>
      </c>
      <c r="C3749" s="342" t="str">
        <f>("EQ5WS1004PB")</f>
        <v>EQ5WS1004PB</v>
      </c>
      <c r="D3749" s="340">
        <v>3318</v>
      </c>
      <c r="E3749" s="343"/>
    </row>
    <row r="3750" spans="1:5" s="335" customFormat="1" ht="36">
      <c r="A3750" s="342" t="s">
        <v>2450</v>
      </c>
      <c r="B3750" s="342" t="s">
        <v>2450</v>
      </c>
      <c r="C3750" s="342" t="str">
        <f>("EQ5WS1005PB")</f>
        <v>EQ5WS1005PB</v>
      </c>
      <c r="D3750" s="340">
        <v>3555</v>
      </c>
      <c r="E3750" s="343"/>
    </row>
    <row r="3751" spans="1:5" s="335" customFormat="1" ht="48">
      <c r="A3751" s="342" t="s">
        <v>2451</v>
      </c>
      <c r="B3751" s="342" t="s">
        <v>2451</v>
      </c>
      <c r="C3751" s="342" t="str">
        <f>("EQ5WU0103PB")</f>
        <v>EQ5WU0103PB</v>
      </c>
      <c r="D3751" s="340">
        <v>305</v>
      </c>
      <c r="E3751" s="343"/>
    </row>
    <row r="3752" spans="1:5" s="335" customFormat="1" ht="48">
      <c r="A3752" s="342" t="s">
        <v>2452</v>
      </c>
      <c r="B3752" s="342" t="s">
        <v>2452</v>
      </c>
      <c r="C3752" s="342" t="str">
        <f>("EQ5WU0104PB")</f>
        <v>EQ5WU0104PB</v>
      </c>
      <c r="D3752" s="340">
        <v>356</v>
      </c>
      <c r="E3752" s="343"/>
    </row>
    <row r="3753" spans="1:5" s="335" customFormat="1" ht="48">
      <c r="A3753" s="342" t="s">
        <v>2453</v>
      </c>
      <c r="B3753" s="342" t="s">
        <v>2453</v>
      </c>
      <c r="C3753" s="342" t="str">
        <f>("EQ5WU0105PB")</f>
        <v>EQ5WU0105PB</v>
      </c>
      <c r="D3753" s="340">
        <v>407</v>
      </c>
      <c r="E3753" s="343"/>
    </row>
    <row r="3754" spans="1:5" s="335" customFormat="1" ht="48">
      <c r="A3754" s="342" t="s">
        <v>2454</v>
      </c>
      <c r="B3754" s="342" t="s">
        <v>2454</v>
      </c>
      <c r="C3754" s="342" t="str">
        <f>("EQ5WU01K3PB ")</f>
        <v xml:space="preserve">EQ5WU01K3PB </v>
      </c>
      <c r="D3754" s="340">
        <v>6101</v>
      </c>
      <c r="E3754" s="343"/>
    </row>
    <row r="3755" spans="1:5" s="335" customFormat="1" ht="48">
      <c r="A3755" s="342" t="s">
        <v>2455</v>
      </c>
      <c r="B3755" s="342" t="s">
        <v>2455</v>
      </c>
      <c r="C3755" s="342" t="str">
        <f>("EQ5WU01K4PB ")</f>
        <v xml:space="preserve">EQ5WU01K4PB </v>
      </c>
      <c r="D3755" s="340">
        <v>7118</v>
      </c>
      <c r="E3755" s="343"/>
    </row>
    <row r="3756" spans="1:5" s="335" customFormat="1" ht="48">
      <c r="A3756" s="342" t="s">
        <v>2456</v>
      </c>
      <c r="B3756" s="342" t="s">
        <v>2456</v>
      </c>
      <c r="C3756" s="342" t="str">
        <f>("EQ5WU01K5PB ")</f>
        <v xml:space="preserve">EQ5WU01K5PB </v>
      </c>
      <c r="D3756" s="340">
        <v>8135</v>
      </c>
      <c r="E3756" s="343"/>
    </row>
    <row r="3757" spans="1:5" s="335" customFormat="1" ht="48">
      <c r="A3757" s="342" t="s">
        <v>2457</v>
      </c>
      <c r="B3757" s="342" t="s">
        <v>2457</v>
      </c>
      <c r="C3757" s="342" t="str">
        <f>("EQ5WU1003PB")</f>
        <v>EQ5WU1003PB</v>
      </c>
      <c r="D3757" s="340">
        <v>1422</v>
      </c>
      <c r="E3757" s="343"/>
    </row>
    <row r="3758" spans="1:5" s="335" customFormat="1" ht="48">
      <c r="A3758" s="342" t="s">
        <v>2458</v>
      </c>
      <c r="B3758" s="342" t="s">
        <v>2458</v>
      </c>
      <c r="C3758" s="342" t="str">
        <f>("EQ5WU1004PB")</f>
        <v>EQ5WU1004PB</v>
      </c>
      <c r="D3758" s="340">
        <v>1659</v>
      </c>
      <c r="E3758" s="343"/>
    </row>
    <row r="3759" spans="1:5" s="335" customFormat="1" ht="48">
      <c r="A3759" s="342" t="s">
        <v>2459</v>
      </c>
      <c r="B3759" s="342" t="s">
        <v>2459</v>
      </c>
      <c r="C3759" s="342" t="str">
        <f>("EQ5WU1005PB")</f>
        <v>EQ5WU1005PB</v>
      </c>
      <c r="D3759" s="340">
        <v>1896</v>
      </c>
      <c r="E3759" s="343"/>
    </row>
    <row r="3760" spans="1:5" s="335" customFormat="1" ht="12.75">
      <c r="A3760" s="403" t="s">
        <v>2460</v>
      </c>
      <c r="B3760" s="403"/>
      <c r="C3760" s="403"/>
      <c r="D3760" s="403"/>
      <c r="E3760" s="343"/>
    </row>
    <row r="3761" spans="1:5" s="335" customFormat="1" ht="48">
      <c r="A3761" s="342" t="s">
        <v>2461</v>
      </c>
      <c r="B3761" s="342" t="s">
        <v>2461</v>
      </c>
      <c r="C3761" s="342" t="str">
        <f>("EPAY05023PB")</f>
        <v>EPAY05023PB</v>
      </c>
      <c r="D3761" s="340">
        <v>8987</v>
      </c>
      <c r="E3761" s="343"/>
    </row>
    <row r="3762" spans="1:5" s="335" customFormat="1" ht="48">
      <c r="A3762" s="342" t="s">
        <v>2462</v>
      </c>
      <c r="B3762" s="342" t="s">
        <v>2462</v>
      </c>
      <c r="C3762" s="342" t="str">
        <f>("EPAY05024PB")</f>
        <v>EPAY05024PB</v>
      </c>
      <c r="D3762" s="340">
        <v>9678</v>
      </c>
      <c r="E3762" s="343"/>
    </row>
    <row r="3763" spans="1:5" s="335" customFormat="1" ht="48">
      <c r="A3763" s="342" t="s">
        <v>2463</v>
      </c>
      <c r="B3763" s="342" t="s">
        <v>2463</v>
      </c>
      <c r="C3763" s="342" t="str">
        <f>("EPAY05025PB")</f>
        <v>EPAY05025PB</v>
      </c>
      <c r="D3763" s="340">
        <v>10369</v>
      </c>
      <c r="E3763" s="343"/>
    </row>
    <row r="3764" spans="1:5" s="335" customFormat="1" ht="48">
      <c r="A3764" s="342" t="s">
        <v>2464</v>
      </c>
      <c r="B3764" s="342" t="s">
        <v>2464</v>
      </c>
      <c r="C3764" s="342" t="str">
        <f>("EPAY08023PB")</f>
        <v>EPAY08023PB</v>
      </c>
      <c r="D3764" s="340">
        <v>2122</v>
      </c>
      <c r="E3764" s="343"/>
    </row>
    <row r="3765" spans="1:5" s="335" customFormat="1" ht="48">
      <c r="A3765" s="342" t="s">
        <v>2465</v>
      </c>
      <c r="B3765" s="342" t="s">
        <v>2465</v>
      </c>
      <c r="C3765" s="342" t="str">
        <f>("EPAY08024PB")</f>
        <v>EPAY08024PB</v>
      </c>
      <c r="D3765" s="340">
        <v>2285</v>
      </c>
      <c r="E3765" s="343"/>
    </row>
    <row r="3766" spans="1:5" s="335" customFormat="1" ht="48">
      <c r="A3766" s="342" t="s">
        <v>2466</v>
      </c>
      <c r="B3766" s="342" t="s">
        <v>2466</v>
      </c>
      <c r="C3766" s="342" t="str">
        <f>("EPAY08025PB")</f>
        <v>EPAY08025PB</v>
      </c>
      <c r="D3766" s="340">
        <v>2448</v>
      </c>
      <c r="E3766" s="343"/>
    </row>
    <row r="3767" spans="1:5" s="335" customFormat="1" ht="36">
      <c r="A3767" s="342" t="s">
        <v>2467</v>
      </c>
      <c r="B3767" s="342" t="s">
        <v>2467</v>
      </c>
      <c r="C3767" s="342" t="str">
        <f>("EPAY08043PB")</f>
        <v>EPAY08043PB</v>
      </c>
      <c r="D3767" s="340">
        <v>2889</v>
      </c>
      <c r="E3767" s="343"/>
    </row>
    <row r="3768" spans="1:5" s="335" customFormat="1" ht="36">
      <c r="A3768" s="342" t="s">
        <v>2468</v>
      </c>
      <c r="B3768" s="342" t="s">
        <v>2468</v>
      </c>
      <c r="C3768" s="342" t="str">
        <f>("EPAY08044PB")</f>
        <v>EPAY08044PB</v>
      </c>
      <c r="D3768" s="340">
        <v>3111</v>
      </c>
      <c r="E3768" s="343"/>
    </row>
    <row r="3769" spans="1:5" s="335" customFormat="1" ht="36">
      <c r="A3769" s="342" t="s">
        <v>2469</v>
      </c>
      <c r="B3769" s="342" t="s">
        <v>2469</v>
      </c>
      <c r="C3769" s="342" t="str">
        <f>("EPAY08045PB")</f>
        <v>EPAY08045PB</v>
      </c>
      <c r="D3769" s="340">
        <v>3333</v>
      </c>
      <c r="E3769" s="343"/>
    </row>
    <row r="3770" spans="1:5" s="335" customFormat="1" ht="60">
      <c r="A3770" s="342" t="s">
        <v>2470</v>
      </c>
      <c r="B3770" s="342" t="s">
        <v>2470</v>
      </c>
      <c r="C3770" s="342" t="str">
        <f>("EPAY08203PB")</f>
        <v>EPAY08203PB</v>
      </c>
      <c r="D3770" s="340">
        <v>5682</v>
      </c>
      <c r="E3770" s="343"/>
    </row>
    <row r="3771" spans="1:5" s="335" customFormat="1" ht="60">
      <c r="A3771" s="342" t="s">
        <v>2471</v>
      </c>
      <c r="B3771" s="342" t="s">
        <v>2471</v>
      </c>
      <c r="C3771" s="342" t="str">
        <f>("EPAY08204PB")</f>
        <v>EPAY08204PB</v>
      </c>
      <c r="D3771" s="340">
        <v>6119</v>
      </c>
      <c r="E3771" s="343"/>
    </row>
    <row r="3772" spans="1:5" s="335" customFormat="1" ht="60">
      <c r="A3772" s="342" t="s">
        <v>2472</v>
      </c>
      <c r="B3772" s="342" t="s">
        <v>2472</v>
      </c>
      <c r="C3772" s="342" t="str">
        <f>("EPAY08205PB")</f>
        <v>EPAY08205PB</v>
      </c>
      <c r="D3772" s="340">
        <v>6556</v>
      </c>
      <c r="E3772" s="343"/>
    </row>
    <row r="3773" spans="1:5" s="335" customFormat="1" ht="60">
      <c r="A3773" s="342" t="s">
        <v>2473</v>
      </c>
      <c r="B3773" s="342" t="s">
        <v>2473</v>
      </c>
      <c r="C3773" s="342" t="str">
        <f>("EPAY08213PB")</f>
        <v>EPAY08213PB</v>
      </c>
      <c r="D3773" s="340">
        <v>5682</v>
      </c>
      <c r="E3773" s="343"/>
    </row>
    <row r="3774" spans="1:5" s="335" customFormat="1" ht="60">
      <c r="A3774" s="342" t="s">
        <v>2474</v>
      </c>
      <c r="B3774" s="342" t="s">
        <v>2474</v>
      </c>
      <c r="C3774" s="342" t="str">
        <f>("EPAY08214PB")</f>
        <v>EPAY08214PB</v>
      </c>
      <c r="D3774" s="340">
        <v>6119</v>
      </c>
      <c r="E3774" s="343"/>
    </row>
    <row r="3775" spans="1:5" s="335" customFormat="1" ht="60">
      <c r="A3775" s="342" t="s">
        <v>2475</v>
      </c>
      <c r="B3775" s="342" t="s">
        <v>2475</v>
      </c>
      <c r="C3775" s="342" t="str">
        <f>("EPAY08215PB")</f>
        <v>EPAY08215PB</v>
      </c>
      <c r="D3775" s="340">
        <v>6556</v>
      </c>
      <c r="E3775" s="343"/>
    </row>
    <row r="3776" spans="1:5" s="335" customFormat="1" ht="60">
      <c r="A3776" s="342" t="s">
        <v>2476</v>
      </c>
      <c r="B3776" s="342" t="s">
        <v>2476</v>
      </c>
      <c r="C3776" s="342" t="str">
        <f>("EPAY08243PB")</f>
        <v>EPAY08243PB</v>
      </c>
      <c r="D3776" s="340">
        <v>4160</v>
      </c>
      <c r="E3776" s="343"/>
    </row>
    <row r="3777" spans="1:5" s="335" customFormat="1" ht="60">
      <c r="A3777" s="342" t="s">
        <v>2477</v>
      </c>
      <c r="B3777" s="342" t="s">
        <v>2477</v>
      </c>
      <c r="C3777" s="342" t="str">
        <f>("EPAY08244PB")</f>
        <v>EPAY08244PB</v>
      </c>
      <c r="D3777" s="340">
        <v>4480</v>
      </c>
      <c r="E3777" s="343"/>
    </row>
    <row r="3778" spans="1:5" s="335" customFormat="1" ht="60">
      <c r="A3778" s="342" t="s">
        <v>2478</v>
      </c>
      <c r="B3778" s="342" t="s">
        <v>2478</v>
      </c>
      <c r="C3778" s="342" t="str">
        <f>("EPAY08245PB")</f>
        <v>EPAY08245PB</v>
      </c>
      <c r="D3778" s="340">
        <v>4800</v>
      </c>
      <c r="E3778" s="343"/>
    </row>
    <row r="3779" spans="1:5" s="335" customFormat="1" ht="60">
      <c r="A3779" s="342" t="s">
        <v>2479</v>
      </c>
      <c r="B3779" s="342" t="s">
        <v>2479</v>
      </c>
      <c r="C3779" s="342" t="str">
        <f>("EPAY08253PB")</f>
        <v>EPAY08253PB</v>
      </c>
      <c r="D3779" s="340">
        <v>4160</v>
      </c>
      <c r="E3779" s="343"/>
    </row>
    <row r="3780" spans="1:5" s="335" customFormat="1" ht="60">
      <c r="A3780" s="342" t="s">
        <v>2480</v>
      </c>
      <c r="B3780" s="342" t="s">
        <v>2480</v>
      </c>
      <c r="C3780" s="342" t="str">
        <f>("EPAY08254PB")</f>
        <v>EPAY08254PB</v>
      </c>
      <c r="D3780" s="340">
        <v>4480</v>
      </c>
      <c r="E3780" s="343"/>
    </row>
    <row r="3781" spans="1:5" s="335" customFormat="1" ht="60">
      <c r="A3781" s="342" t="s">
        <v>2481</v>
      </c>
      <c r="B3781" s="342" t="s">
        <v>2481</v>
      </c>
      <c r="C3781" s="342" t="str">
        <f>("EPAY08255PB")</f>
        <v>EPAY08255PB</v>
      </c>
      <c r="D3781" s="340">
        <v>4800</v>
      </c>
      <c r="E3781" s="343"/>
    </row>
    <row r="3782" spans="1:5" s="335" customFormat="1" ht="60">
      <c r="A3782" s="342" t="s">
        <v>2482</v>
      </c>
      <c r="B3782" s="342" t="s">
        <v>2482</v>
      </c>
      <c r="C3782" s="342" t="str">
        <f>("EPAY08263PB")</f>
        <v>EPAY08263PB</v>
      </c>
      <c r="D3782" s="340">
        <v>2998</v>
      </c>
      <c r="E3782" s="343"/>
    </row>
    <row r="3783" spans="1:5" s="335" customFormat="1" ht="60">
      <c r="A3783" s="342" t="s">
        <v>2483</v>
      </c>
      <c r="B3783" s="342" t="s">
        <v>2483</v>
      </c>
      <c r="C3783" s="342" t="str">
        <f>("EPAY08264PB")</f>
        <v>EPAY08264PB</v>
      </c>
      <c r="D3783" s="340">
        <v>3229</v>
      </c>
      <c r="E3783" s="343"/>
    </row>
    <row r="3784" spans="1:5" s="335" customFormat="1" ht="60">
      <c r="A3784" s="342" t="s">
        <v>2484</v>
      </c>
      <c r="B3784" s="342" t="s">
        <v>2484</v>
      </c>
      <c r="C3784" s="342" t="str">
        <f>("EPAY08265PB")</f>
        <v>EPAY08265PB</v>
      </c>
      <c r="D3784" s="340">
        <v>3460</v>
      </c>
      <c r="E3784" s="343"/>
    </row>
    <row r="3785" spans="1:5" s="335" customFormat="1" ht="60">
      <c r="A3785" s="342" t="s">
        <v>2485</v>
      </c>
      <c r="B3785" s="342" t="s">
        <v>2485</v>
      </c>
      <c r="C3785" s="342" t="str">
        <f>("EPAY08273PB")</f>
        <v>EPAY08273PB</v>
      </c>
      <c r="D3785" s="340">
        <v>2998</v>
      </c>
      <c r="E3785" s="343"/>
    </row>
    <row r="3786" spans="1:5" s="335" customFormat="1" ht="60">
      <c r="A3786" s="342" t="s">
        <v>2486</v>
      </c>
      <c r="B3786" s="342" t="s">
        <v>2486</v>
      </c>
      <c r="C3786" s="342" t="str">
        <f>("EPAY08274PB")</f>
        <v>EPAY08274PB</v>
      </c>
      <c r="D3786" s="340">
        <v>3229</v>
      </c>
      <c r="E3786" s="343"/>
    </row>
    <row r="3787" spans="1:5" s="335" customFormat="1" ht="60">
      <c r="A3787" s="342" t="s">
        <v>2487</v>
      </c>
      <c r="B3787" s="342" t="s">
        <v>2487</v>
      </c>
      <c r="C3787" s="342" t="str">
        <f>("EPAY08275PB")</f>
        <v>EPAY08275PB</v>
      </c>
      <c r="D3787" s="340">
        <v>3460</v>
      </c>
      <c r="E3787" s="343"/>
    </row>
    <row r="3788" spans="1:5" s="335" customFormat="1" ht="48">
      <c r="A3788" s="342" t="s">
        <v>2488</v>
      </c>
      <c r="B3788" s="342" t="s">
        <v>2488</v>
      </c>
      <c r="C3788" s="342" t="str">
        <f>("EPAYC5023PB")</f>
        <v>EPAYC5023PB</v>
      </c>
      <c r="D3788" s="340">
        <v>11189</v>
      </c>
      <c r="E3788" s="343"/>
    </row>
    <row r="3789" spans="1:5" s="335" customFormat="1" ht="48">
      <c r="A3789" s="342" t="s">
        <v>2489</v>
      </c>
      <c r="B3789" s="342" t="s">
        <v>2489</v>
      </c>
      <c r="C3789" s="342" t="str">
        <f>("EPAYC5024PB")</f>
        <v>EPAYC5024PB</v>
      </c>
      <c r="D3789" s="340">
        <v>12050</v>
      </c>
      <c r="E3789" s="343"/>
    </row>
    <row r="3790" spans="1:5" s="335" customFormat="1" ht="48">
      <c r="A3790" s="342" t="s">
        <v>2490</v>
      </c>
      <c r="B3790" s="342" t="s">
        <v>2490</v>
      </c>
      <c r="C3790" s="342" t="str">
        <f>("EPAYC5025PB")</f>
        <v>EPAYC5025PB</v>
      </c>
      <c r="D3790" s="340">
        <v>12911</v>
      </c>
      <c r="E3790" s="343"/>
    </row>
    <row r="3791" spans="1:5" s="335" customFormat="1" ht="48">
      <c r="A3791" s="342" t="s">
        <v>2491</v>
      </c>
      <c r="B3791" s="342" t="s">
        <v>2491</v>
      </c>
      <c r="C3791" s="342" t="str">
        <f>("EPAYC8263PB")</f>
        <v>EPAYC8263PB</v>
      </c>
      <c r="D3791" s="340">
        <v>3226</v>
      </c>
      <c r="E3791" s="343"/>
    </row>
    <row r="3792" spans="1:5" s="335" customFormat="1" ht="48">
      <c r="A3792" s="342" t="s">
        <v>2492</v>
      </c>
      <c r="B3792" s="342" t="s">
        <v>2492</v>
      </c>
      <c r="C3792" s="342" t="str">
        <f>("EPAYC8264PB")</f>
        <v>EPAYC8264PB</v>
      </c>
      <c r="D3792" s="340">
        <v>3473</v>
      </c>
      <c r="E3792" s="343"/>
    </row>
    <row r="3793" spans="1:5" s="335" customFormat="1" ht="48">
      <c r="A3793" s="342" t="s">
        <v>2493</v>
      </c>
      <c r="B3793" s="342" t="s">
        <v>2493</v>
      </c>
      <c r="C3793" s="342" t="str">
        <f>("EPAYC8265PB")</f>
        <v>EPAYC8265PB</v>
      </c>
      <c r="D3793" s="340">
        <v>3722</v>
      </c>
      <c r="E3793" s="343"/>
    </row>
    <row r="3794" spans="1:5" s="335" customFormat="1" ht="48">
      <c r="A3794" s="342" t="s">
        <v>2494</v>
      </c>
      <c r="B3794" s="342" t="s">
        <v>2494</v>
      </c>
      <c r="C3794" s="342" t="str">
        <f>("EPAYC8273PB")</f>
        <v>EPAYC8273PB</v>
      </c>
      <c r="D3794" s="340">
        <v>3226</v>
      </c>
      <c r="E3794" s="343"/>
    </row>
    <row r="3795" spans="1:5" s="335" customFormat="1" ht="48">
      <c r="A3795" s="342" t="s">
        <v>2495</v>
      </c>
      <c r="B3795" s="342" t="s">
        <v>2495</v>
      </c>
      <c r="C3795" s="342" t="str">
        <f>("EPAYC8274PB")</f>
        <v>EPAYC8274PB</v>
      </c>
      <c r="D3795" s="340">
        <v>3474</v>
      </c>
      <c r="E3795" s="343"/>
    </row>
    <row r="3796" spans="1:5" s="335" customFormat="1" ht="48">
      <c r="A3796" s="342" t="s">
        <v>2496</v>
      </c>
      <c r="B3796" s="342" t="s">
        <v>2496</v>
      </c>
      <c r="C3796" s="342" t="str">
        <f>("EPAYC8275PB")</f>
        <v>EPAYC8275PB</v>
      </c>
      <c r="D3796" s="340">
        <v>3722</v>
      </c>
      <c r="E3796" s="343"/>
    </row>
    <row r="3797" spans="1:5" s="335" customFormat="1" ht="48">
      <c r="A3797" s="342" t="s">
        <v>2497</v>
      </c>
      <c r="B3797" s="342" t="s">
        <v>2497</v>
      </c>
      <c r="C3797" s="342" t="str">
        <f>("EPAYCB003PB")</f>
        <v>EPAYCB003PB</v>
      </c>
      <c r="D3797" s="340">
        <v>8752</v>
      </c>
      <c r="E3797" s="343"/>
    </row>
    <row r="3798" spans="1:5" s="335" customFormat="1" ht="48">
      <c r="A3798" s="342" t="s">
        <v>2498</v>
      </c>
      <c r="B3798" s="342" t="s">
        <v>2498</v>
      </c>
      <c r="C3798" s="342" t="str">
        <f>("EPAYCB004PB")</f>
        <v>EPAYCB004PB</v>
      </c>
      <c r="D3798" s="340">
        <v>9425</v>
      </c>
      <c r="E3798" s="343"/>
    </row>
    <row r="3799" spans="1:5" s="335" customFormat="1" ht="48">
      <c r="A3799" s="342" t="s">
        <v>2499</v>
      </c>
      <c r="B3799" s="342" t="s">
        <v>2499</v>
      </c>
      <c r="C3799" s="342" t="str">
        <f>("EPAYCB005PB")</f>
        <v>EPAYCB005PB</v>
      </c>
      <c r="D3799" s="340">
        <v>10098</v>
      </c>
      <c r="E3799" s="343"/>
    </row>
    <row r="3800" spans="1:5" s="335" customFormat="1" ht="48">
      <c r="A3800" s="342" t="s">
        <v>2500</v>
      </c>
      <c r="B3800" s="342" t="s">
        <v>2500</v>
      </c>
      <c r="C3800" s="342" t="str">
        <f>("EPAYCB0M3PB")</f>
        <v>EPAYCB0M3PB</v>
      </c>
      <c r="D3800" s="340">
        <v>7841</v>
      </c>
      <c r="E3800" s="343"/>
    </row>
    <row r="3801" spans="1:5" s="335" customFormat="1" ht="48">
      <c r="A3801" s="342" t="s">
        <v>2501</v>
      </c>
      <c r="B3801" s="342" t="s">
        <v>2501</v>
      </c>
      <c r="C3801" s="342" t="str">
        <f>("EPAYCB0M4PB")</f>
        <v>EPAYCB0M4PB</v>
      </c>
      <c r="D3801" s="340">
        <v>8444</v>
      </c>
      <c r="E3801" s="343"/>
    </row>
    <row r="3802" spans="1:5" s="335" customFormat="1" ht="48">
      <c r="A3802" s="342" t="s">
        <v>2502</v>
      </c>
      <c r="B3802" s="342" t="s">
        <v>2502</v>
      </c>
      <c r="C3802" s="342" t="str">
        <f>("EPAYCB0M5PB")</f>
        <v>EPAYCB0M5PB</v>
      </c>
      <c r="D3802" s="340">
        <v>9047</v>
      </c>
      <c r="E3802" s="343"/>
    </row>
    <row r="3803" spans="1:5" s="335" customFormat="1" ht="60">
      <c r="A3803" s="342" t="s">
        <v>2503</v>
      </c>
      <c r="B3803" s="342" t="s">
        <v>2503</v>
      </c>
      <c r="C3803" s="342" t="str">
        <f>("EPAYCBCM3PB")</f>
        <v>EPAYCBCM3PB</v>
      </c>
      <c r="D3803" s="340">
        <v>9360</v>
      </c>
      <c r="E3803" s="343"/>
    </row>
    <row r="3804" spans="1:5" s="335" customFormat="1" ht="60">
      <c r="A3804" s="342" t="s">
        <v>2504</v>
      </c>
      <c r="B3804" s="342" t="s">
        <v>2504</v>
      </c>
      <c r="C3804" s="342" t="str">
        <f>("EPAYCBCM4PB")</f>
        <v>EPAYCBCM4PB</v>
      </c>
      <c r="D3804" s="340">
        <v>10080</v>
      </c>
      <c r="E3804" s="343"/>
    </row>
    <row r="3805" spans="1:5" s="335" customFormat="1" ht="60">
      <c r="A3805" s="342" t="s">
        <v>2505</v>
      </c>
      <c r="B3805" s="342" t="s">
        <v>2505</v>
      </c>
      <c r="C3805" s="342" t="str">
        <f>("EPAYCBCM5PB")</f>
        <v>EPAYCBCM5PB</v>
      </c>
      <c r="D3805" s="340">
        <v>10800</v>
      </c>
      <c r="E3805" s="343"/>
    </row>
    <row r="3806" spans="1:5" s="335" customFormat="1" ht="48">
      <c r="A3806" s="342" t="s">
        <v>2506</v>
      </c>
      <c r="B3806" s="342" t="s">
        <v>2506</v>
      </c>
      <c r="C3806" s="342" t="str">
        <f>("EPAYUB003PB")</f>
        <v>EPAYUB003PB</v>
      </c>
      <c r="D3806" s="340">
        <v>7158</v>
      </c>
      <c r="E3806" s="343"/>
    </row>
    <row r="3807" spans="1:5" s="335" customFormat="1" ht="48">
      <c r="A3807" s="342" t="s">
        <v>2507</v>
      </c>
      <c r="B3807" s="342" t="s">
        <v>2507</v>
      </c>
      <c r="C3807" s="342" t="str">
        <f>("EPAYUB004PB")</f>
        <v>EPAYUB004PB</v>
      </c>
      <c r="D3807" s="340">
        <v>7709</v>
      </c>
      <c r="E3807" s="343"/>
    </row>
    <row r="3808" spans="1:5" s="335" customFormat="1" ht="48">
      <c r="A3808" s="342" t="s">
        <v>2508</v>
      </c>
      <c r="B3808" s="342" t="s">
        <v>2508</v>
      </c>
      <c r="C3808" s="342" t="str">
        <f>("EPAYUB005PB")</f>
        <v>EPAYUB005PB</v>
      </c>
      <c r="D3808" s="340">
        <v>8260</v>
      </c>
      <c r="E3808" s="343"/>
    </row>
    <row r="3809" spans="1:5" s="335" customFormat="1" ht="48">
      <c r="A3809" s="342" t="s">
        <v>2509</v>
      </c>
      <c r="B3809" s="342" t="s">
        <v>2509</v>
      </c>
      <c r="C3809" s="342" t="str">
        <f>("EPAYUB0M3PB")</f>
        <v>EPAYUB0M3PB</v>
      </c>
      <c r="D3809" s="340">
        <v>7540</v>
      </c>
      <c r="E3809" s="343"/>
    </row>
    <row r="3810" spans="1:5" s="335" customFormat="1" ht="48">
      <c r="A3810" s="342" t="s">
        <v>2510</v>
      </c>
      <c r="B3810" s="342" t="s">
        <v>2510</v>
      </c>
      <c r="C3810" s="342" t="str">
        <f>("EPAYUB0M4PB")</f>
        <v>EPAYUB0M4PB</v>
      </c>
      <c r="D3810" s="340">
        <v>8120</v>
      </c>
      <c r="E3810" s="343"/>
    </row>
    <row r="3811" spans="1:5" s="335" customFormat="1" ht="48">
      <c r="A3811" s="342" t="s">
        <v>2511</v>
      </c>
      <c r="B3811" s="342" t="s">
        <v>2511</v>
      </c>
      <c r="C3811" s="342" t="str">
        <f>("EPAYUB0M5PB")</f>
        <v>EPAYUB0M5PB</v>
      </c>
      <c r="D3811" s="340">
        <v>8700</v>
      </c>
      <c r="E3811" s="343"/>
    </row>
    <row r="3812" spans="1:5" s="335" customFormat="1" ht="60">
      <c r="A3812" s="342" t="s">
        <v>2512</v>
      </c>
      <c r="B3812" s="342" t="s">
        <v>2512</v>
      </c>
      <c r="C3812" s="342" t="str">
        <f>("EPAYUBCM3PB")</f>
        <v>EPAYUBCM3PB</v>
      </c>
      <c r="D3812" s="340">
        <v>9360</v>
      </c>
      <c r="E3812" s="343"/>
    </row>
    <row r="3813" spans="1:5" s="335" customFormat="1" ht="60">
      <c r="A3813" s="342" t="s">
        <v>2513</v>
      </c>
      <c r="B3813" s="342" t="s">
        <v>2513</v>
      </c>
      <c r="C3813" s="342" t="str">
        <f>("EPAYUBCM4PB")</f>
        <v>EPAYUBCM4PB</v>
      </c>
      <c r="D3813" s="340">
        <v>10080</v>
      </c>
      <c r="E3813" s="343"/>
    </row>
    <row r="3814" spans="1:5" s="335" customFormat="1" ht="60">
      <c r="A3814" s="342" t="s">
        <v>2514</v>
      </c>
      <c r="B3814" s="342" t="s">
        <v>2514</v>
      </c>
      <c r="C3814" s="342" t="str">
        <f>("EPAYUBCM5PB")</f>
        <v>EPAYUBCM5PB</v>
      </c>
      <c r="D3814" s="340">
        <v>10800</v>
      </c>
      <c r="E3814" s="343"/>
    </row>
    <row r="3815" spans="1:5" s="335" customFormat="1" ht="60">
      <c r="A3815" s="342" t="s">
        <v>2515</v>
      </c>
      <c r="B3815" s="342" t="s">
        <v>2515</v>
      </c>
      <c r="C3815" s="342" t="str">
        <f>("EPAYUBMD3PB")</f>
        <v>EPAYUBMD3PB</v>
      </c>
      <c r="D3815" s="340">
        <v>9490</v>
      </c>
      <c r="E3815" s="343"/>
    </row>
    <row r="3816" spans="1:5" s="335" customFormat="1" ht="60">
      <c r="A3816" s="342" t="s">
        <v>2516</v>
      </c>
      <c r="B3816" s="342" t="s">
        <v>2516</v>
      </c>
      <c r="C3816" s="342" t="str">
        <f>("EPAYUBMD4PB")</f>
        <v>EPAYUBMD4PB</v>
      </c>
      <c r="D3816" s="340">
        <v>10220</v>
      </c>
      <c r="E3816" s="343"/>
    </row>
    <row r="3817" spans="1:5" s="335" customFormat="1" ht="60">
      <c r="A3817" s="342" t="s">
        <v>2517</v>
      </c>
      <c r="B3817" s="342" t="s">
        <v>2517</v>
      </c>
      <c r="C3817" s="342" t="str">
        <f>("EPAYUBMD5PB")</f>
        <v>EPAYUBMD5PB</v>
      </c>
      <c r="D3817" s="340">
        <v>10950</v>
      </c>
      <c r="E3817" s="343"/>
    </row>
    <row r="3818" spans="1:5" s="335" customFormat="1" ht="12.75">
      <c r="A3818" s="403" t="s">
        <v>792</v>
      </c>
      <c r="B3818" s="403"/>
      <c r="C3818" s="403"/>
      <c r="D3818" s="403"/>
      <c r="E3818" s="343"/>
    </row>
    <row r="3819" spans="1:5" s="335" customFormat="1" ht="48">
      <c r="A3819" s="342" t="s">
        <v>2801</v>
      </c>
      <c r="B3819" s="342" t="s">
        <v>2801</v>
      </c>
      <c r="C3819" s="342" t="str">
        <f>("EQ5EFSB13PB")</f>
        <v>EQ5EFSB13PB</v>
      </c>
      <c r="D3819" s="340">
        <v>1100</v>
      </c>
      <c r="E3819" s="343"/>
    </row>
    <row r="3820" spans="1:5" s="335" customFormat="1" ht="48">
      <c r="A3820" s="342" t="s">
        <v>2802</v>
      </c>
      <c r="B3820" s="342" t="s">
        <v>2802</v>
      </c>
      <c r="C3820" s="342" t="str">
        <f>("EQ5EFSB14PB")</f>
        <v>EQ5EFSB14PB</v>
      </c>
      <c r="D3820" s="340">
        <v>1185</v>
      </c>
      <c r="E3820" s="343"/>
    </row>
    <row r="3821" spans="1:5" s="335" customFormat="1" ht="48">
      <c r="A3821" s="342" t="s">
        <v>2803</v>
      </c>
      <c r="B3821" s="342" t="s">
        <v>2803</v>
      </c>
      <c r="C3821" s="342" t="str">
        <f>("EQ5EFSB15PB")</f>
        <v>EQ5EFSB15PB</v>
      </c>
      <c r="D3821" s="340">
        <v>1270</v>
      </c>
      <c r="E3821" s="343"/>
    </row>
    <row r="3822" spans="1:5" s="335" customFormat="1" ht="12.75">
      <c r="A3822" s="403" t="s">
        <v>2518</v>
      </c>
      <c r="B3822" s="403"/>
      <c r="C3822" s="403"/>
      <c r="D3822" s="403"/>
      <c r="E3822" s="343"/>
    </row>
    <row r="3823" spans="1:5" s="335" customFormat="1" ht="24">
      <c r="A3823" s="342" t="s">
        <v>2519</v>
      </c>
      <c r="B3823" s="342" t="s">
        <v>2519</v>
      </c>
      <c r="C3823" s="342" t="str">
        <f>("CABX0094")</f>
        <v>CABX0094</v>
      </c>
      <c r="D3823" s="340">
        <v>95</v>
      </c>
      <c r="E3823" s="343"/>
    </row>
    <row r="3824" spans="1:5" s="335" customFormat="1" ht="24">
      <c r="A3824" s="342" t="s">
        <v>2520</v>
      </c>
      <c r="B3824" s="342" t="s">
        <v>2520</v>
      </c>
      <c r="C3824" s="342" t="str">
        <f>("CABX0813")</f>
        <v>CABX0813</v>
      </c>
      <c r="D3824" s="340">
        <v>95</v>
      </c>
      <c r="E3824" s="343"/>
    </row>
    <row r="3825" spans="1:5" s="335" customFormat="1" ht="24">
      <c r="A3825" s="342" t="s">
        <v>2521</v>
      </c>
      <c r="B3825" s="342" t="s">
        <v>2521</v>
      </c>
      <c r="C3825" s="342" t="str">
        <f>("COPCABLE")</f>
        <v>COPCABLE</v>
      </c>
      <c r="D3825" s="340">
        <v>95</v>
      </c>
      <c r="E3825" s="343"/>
    </row>
    <row r="3826" spans="1:5" s="335" customFormat="1" ht="48">
      <c r="A3826" s="342" t="s">
        <v>2522</v>
      </c>
      <c r="B3826" s="342" t="s">
        <v>2522</v>
      </c>
      <c r="C3826" s="342" t="str">
        <f>("EPAY0551")</f>
        <v>EPAY0551</v>
      </c>
      <c r="D3826" s="340">
        <v>950</v>
      </c>
      <c r="E3826" s="343"/>
    </row>
    <row r="3827" spans="1:5" s="335" customFormat="1" ht="48">
      <c r="A3827" s="342" t="s">
        <v>2523</v>
      </c>
      <c r="B3827" s="342" t="s">
        <v>2523</v>
      </c>
      <c r="C3827" s="342" t="str">
        <f>("EPAY0801")</f>
        <v>EPAY0801</v>
      </c>
      <c r="D3827" s="340">
        <v>186</v>
      </c>
      <c r="E3827" s="343"/>
    </row>
    <row r="3828" spans="1:5" s="335" customFormat="1" ht="36">
      <c r="A3828" s="342" t="s">
        <v>2524</v>
      </c>
      <c r="B3828" s="342" t="s">
        <v>2524</v>
      </c>
      <c r="C3828" s="342" t="str">
        <f>("EPAY1002")</f>
        <v>EPAY1002</v>
      </c>
      <c r="D3828" s="340">
        <v>1</v>
      </c>
      <c r="E3828" s="343"/>
    </row>
    <row r="3829" spans="1:5" s="335" customFormat="1" ht="36">
      <c r="A3829" s="342" t="s">
        <v>2525</v>
      </c>
      <c r="B3829" s="342" t="s">
        <v>2525</v>
      </c>
      <c r="C3829" s="342" t="str">
        <f>("EPAY1012")</f>
        <v>EPAY1012</v>
      </c>
      <c r="D3829" s="340">
        <v>1.1000000000000001</v>
      </c>
      <c r="E3829" s="343"/>
    </row>
    <row r="3830" spans="1:5" s="335" customFormat="1" ht="36">
      <c r="A3830" s="342" t="s">
        <v>2526</v>
      </c>
      <c r="B3830" s="342" t="s">
        <v>2526</v>
      </c>
      <c r="C3830" s="342" t="str">
        <f>("EPAY1013")</f>
        <v>EPAY1013</v>
      </c>
      <c r="D3830" s="340">
        <v>2</v>
      </c>
      <c r="E3830" s="343"/>
    </row>
    <row r="3831" spans="1:5" s="335" customFormat="1" ht="36">
      <c r="A3831" s="342" t="s">
        <v>2527</v>
      </c>
      <c r="B3831" s="342" t="s">
        <v>2527</v>
      </c>
      <c r="C3831" s="342" t="str">
        <f>("EPAY1020")</f>
        <v>EPAY1020</v>
      </c>
      <c r="D3831" s="340">
        <v>75</v>
      </c>
      <c r="E3831" s="343"/>
    </row>
    <row r="3832" spans="1:5" s="335" customFormat="1" ht="60">
      <c r="A3832" s="342" t="s">
        <v>2528</v>
      </c>
      <c r="B3832" s="342" t="s">
        <v>2528</v>
      </c>
      <c r="C3832" s="342" t="str">
        <f>("EPAYCB06")</f>
        <v>EPAYCB06</v>
      </c>
      <c r="D3832" s="340">
        <v>95</v>
      </c>
      <c r="E3832" s="343"/>
    </row>
    <row r="3833" spans="1:5" s="335" customFormat="1" ht="24">
      <c r="A3833" s="342" t="s">
        <v>2529</v>
      </c>
      <c r="B3833" s="342" t="s">
        <v>2529</v>
      </c>
      <c r="C3833" s="342" t="str">
        <f>("EPAYRBSH")</f>
        <v>EPAYRBSH</v>
      </c>
      <c r="D3833" s="340">
        <v>815</v>
      </c>
      <c r="E3833" s="343"/>
    </row>
    <row r="3834" spans="1:5" s="335" customFormat="1" ht="36">
      <c r="A3834" s="342" t="s">
        <v>2530</v>
      </c>
      <c r="B3834" s="342" t="s">
        <v>2530</v>
      </c>
      <c r="C3834" s="342" t="str">
        <f>("MSCCRDPR")</f>
        <v>MSCCRDPR</v>
      </c>
      <c r="D3834" s="340">
        <v>1</v>
      </c>
      <c r="E3834" s="343"/>
    </row>
    <row r="3835" spans="1:5" s="335" customFormat="1" ht="12.75">
      <c r="A3835" s="403" t="s">
        <v>2531</v>
      </c>
      <c r="B3835" s="403"/>
      <c r="C3835" s="403"/>
      <c r="D3835" s="403"/>
      <c r="E3835" s="343"/>
    </row>
    <row r="3836" spans="1:5" s="335" customFormat="1" ht="36">
      <c r="A3836" s="342" t="s">
        <v>2532</v>
      </c>
      <c r="B3836" s="342" t="s">
        <v>2532</v>
      </c>
      <c r="C3836" s="342" t="str">
        <f>("EQ5CC0013PB")</f>
        <v>EQ5CC0013PB</v>
      </c>
      <c r="D3836" s="340">
        <v>5507</v>
      </c>
      <c r="E3836" s="343"/>
    </row>
    <row r="3837" spans="1:5" s="335" customFormat="1" ht="36">
      <c r="A3837" s="342" t="s">
        <v>2533</v>
      </c>
      <c r="B3837" s="342" t="s">
        <v>2533</v>
      </c>
      <c r="C3837" s="342" t="str">
        <f>("EQ5CC0014PB")</f>
        <v>EQ5CC0014PB</v>
      </c>
      <c r="D3837" s="340">
        <v>5931</v>
      </c>
      <c r="E3837" s="343"/>
    </row>
    <row r="3838" spans="1:5" s="335" customFormat="1" ht="36">
      <c r="A3838" s="342" t="s">
        <v>2534</v>
      </c>
      <c r="B3838" s="342" t="s">
        <v>2534</v>
      </c>
      <c r="C3838" s="342" t="str">
        <f>("EQ5CC0015PB")</f>
        <v>EQ5CC0015PB</v>
      </c>
      <c r="D3838" s="340">
        <v>6355</v>
      </c>
      <c r="E3838" s="343"/>
    </row>
    <row r="3839" spans="1:5" s="335" customFormat="1" ht="48">
      <c r="A3839" s="342" t="s">
        <v>2535</v>
      </c>
      <c r="B3839" s="342" t="s">
        <v>2535</v>
      </c>
      <c r="C3839" s="342" t="str">
        <f>("EQ5CC01U3PB")</f>
        <v>EQ5CC01U3PB</v>
      </c>
      <c r="D3839" s="340">
        <v>2543</v>
      </c>
      <c r="E3839" s="343"/>
    </row>
    <row r="3840" spans="1:5" s="335" customFormat="1" ht="48">
      <c r="A3840" s="342" t="s">
        <v>2536</v>
      </c>
      <c r="B3840" s="342" t="s">
        <v>2536</v>
      </c>
      <c r="C3840" s="342" t="str">
        <f>("EQ5CC01U4PB")</f>
        <v>EQ5CC01U4PB</v>
      </c>
      <c r="D3840" s="340">
        <v>2967</v>
      </c>
      <c r="E3840" s="343"/>
    </row>
    <row r="3841" spans="1:5" s="335" customFormat="1" ht="48">
      <c r="A3841" s="342" t="s">
        <v>2537</v>
      </c>
      <c r="B3841" s="342" t="s">
        <v>2537</v>
      </c>
      <c r="C3841" s="342" t="str">
        <f>("EQ5CC01U5PB")</f>
        <v>EQ5CC01U5PB</v>
      </c>
      <c r="D3841" s="340">
        <v>3391</v>
      </c>
      <c r="E3841" s="343"/>
    </row>
    <row r="3842" spans="1:5" s="335" customFormat="1" ht="36">
      <c r="A3842" s="342" t="s">
        <v>2538</v>
      </c>
      <c r="B3842" s="342" t="s">
        <v>2538</v>
      </c>
      <c r="C3842" s="342" t="str">
        <f>("EQ5DC0013PB")</f>
        <v>EQ5DC0013PB</v>
      </c>
      <c r="D3842" s="340">
        <v>767</v>
      </c>
      <c r="E3842" s="343"/>
    </row>
    <row r="3843" spans="1:5" s="335" customFormat="1" ht="36">
      <c r="A3843" s="342" t="s">
        <v>2539</v>
      </c>
      <c r="B3843" s="342" t="s">
        <v>2539</v>
      </c>
      <c r="C3843" s="342" t="str">
        <f>("EQ5DC0014PB")</f>
        <v>EQ5DC0014PB</v>
      </c>
      <c r="D3843" s="340">
        <v>826</v>
      </c>
      <c r="E3843" s="343"/>
    </row>
    <row r="3844" spans="1:5" s="335" customFormat="1" ht="36">
      <c r="A3844" s="342" t="s">
        <v>2540</v>
      </c>
      <c r="B3844" s="342" t="s">
        <v>2540</v>
      </c>
      <c r="C3844" s="342" t="str">
        <f>("EQ5DC0015PB")</f>
        <v>EQ5DC0015PB</v>
      </c>
      <c r="D3844" s="340">
        <v>885</v>
      </c>
      <c r="E3844" s="343"/>
    </row>
    <row r="3845" spans="1:5" s="335" customFormat="1" ht="48">
      <c r="A3845" s="342" t="s">
        <v>2541</v>
      </c>
      <c r="B3845" s="342" t="s">
        <v>2541</v>
      </c>
      <c r="C3845" s="342" t="str">
        <f>("EQ5DC01U3PB")</f>
        <v>EQ5DC01U3PB</v>
      </c>
      <c r="D3845" s="340">
        <v>354</v>
      </c>
      <c r="E3845" s="343"/>
    </row>
    <row r="3846" spans="1:5" s="335" customFormat="1" ht="48">
      <c r="A3846" s="342" t="s">
        <v>2542</v>
      </c>
      <c r="B3846" s="342" t="s">
        <v>2542</v>
      </c>
      <c r="C3846" s="342" t="str">
        <f>("EQ5DC01U4PB")</f>
        <v>EQ5DC01U4PB</v>
      </c>
      <c r="D3846" s="340">
        <v>413</v>
      </c>
      <c r="E3846" s="343"/>
    </row>
    <row r="3847" spans="1:5" s="335" customFormat="1" ht="48">
      <c r="A3847" s="342" t="s">
        <v>2543</v>
      </c>
      <c r="B3847" s="342" t="s">
        <v>2543</v>
      </c>
      <c r="C3847" s="342" t="str">
        <f>("EQ5DC01U5PB")</f>
        <v>EQ5DC01U5PB</v>
      </c>
      <c r="D3847" s="340">
        <v>472</v>
      </c>
      <c r="E3847" s="343"/>
    </row>
    <row r="3848" spans="1:5" s="335" customFormat="1" ht="36">
      <c r="A3848" s="342" t="s">
        <v>2544</v>
      </c>
      <c r="B3848" s="342" t="s">
        <v>2544</v>
      </c>
      <c r="C3848" s="342" t="str">
        <f>("PC1CFE003PB")</f>
        <v>PC1CFE003PB</v>
      </c>
      <c r="D3848" s="340">
        <v>910</v>
      </c>
      <c r="E3848" s="343"/>
    </row>
    <row r="3849" spans="1:5" s="335" customFormat="1" ht="36">
      <c r="A3849" s="342" t="s">
        <v>2545</v>
      </c>
      <c r="B3849" s="342" t="s">
        <v>2545</v>
      </c>
      <c r="C3849" s="342" t="str">
        <f>("PC1CFE004PB")</f>
        <v>PC1CFE004PB</v>
      </c>
      <c r="D3849" s="340">
        <v>980</v>
      </c>
      <c r="E3849" s="343"/>
    </row>
    <row r="3850" spans="1:5" s="335" customFormat="1" ht="36">
      <c r="A3850" s="342" t="s">
        <v>2546</v>
      </c>
      <c r="B3850" s="342" t="s">
        <v>2546</v>
      </c>
      <c r="C3850" s="342" t="str">
        <f>("PC1CFE005PB")</f>
        <v>PC1CFE005PB</v>
      </c>
      <c r="D3850" s="340">
        <v>1050</v>
      </c>
      <c r="E3850" s="343"/>
    </row>
    <row r="3851" spans="1:5" s="335" customFormat="1" ht="36">
      <c r="A3851" s="342" t="s">
        <v>2547</v>
      </c>
      <c r="B3851" s="342" t="s">
        <v>2547</v>
      </c>
      <c r="C3851" s="342" t="str">
        <f>("PC1CFME03PB")</f>
        <v>PC1CFME03PB</v>
      </c>
      <c r="D3851" s="340">
        <v>1040</v>
      </c>
      <c r="E3851" s="343"/>
    </row>
    <row r="3852" spans="1:5" s="335" customFormat="1" ht="36">
      <c r="A3852" s="342" t="s">
        <v>2548</v>
      </c>
      <c r="B3852" s="342" t="s">
        <v>2548</v>
      </c>
      <c r="C3852" s="342" t="str">
        <f>("PC1CFME04PB")</f>
        <v>PC1CFME04PB</v>
      </c>
      <c r="D3852" s="340">
        <v>1120</v>
      </c>
      <c r="E3852" s="343"/>
    </row>
    <row r="3853" spans="1:5" s="335" customFormat="1" ht="36">
      <c r="A3853" s="342" t="s">
        <v>2549</v>
      </c>
      <c r="B3853" s="342" t="s">
        <v>2549</v>
      </c>
      <c r="C3853" s="342" t="str">
        <f>("PC1CFME05PB")</f>
        <v>PC1CFME05PB</v>
      </c>
      <c r="D3853" s="340">
        <v>1200</v>
      </c>
      <c r="E3853" s="343"/>
    </row>
    <row r="3854" spans="1:5" s="335" customFormat="1" ht="36">
      <c r="A3854" s="342" t="s">
        <v>2550</v>
      </c>
      <c r="B3854" s="342" t="s">
        <v>2550</v>
      </c>
      <c r="C3854" s="342" t="str">
        <f>("PC1CFX003PB")</f>
        <v>PC1CFX003PB</v>
      </c>
      <c r="D3854" s="340">
        <v>1235</v>
      </c>
      <c r="E3854" s="343"/>
    </row>
    <row r="3855" spans="1:5" s="335" customFormat="1" ht="36">
      <c r="A3855" s="342" t="s">
        <v>2551</v>
      </c>
      <c r="B3855" s="342" t="s">
        <v>2551</v>
      </c>
      <c r="C3855" s="342" t="str">
        <f>("PC1CFX004PB")</f>
        <v>PC1CFX004PB</v>
      </c>
      <c r="D3855" s="340">
        <v>1330</v>
      </c>
      <c r="E3855" s="343"/>
    </row>
    <row r="3856" spans="1:5" s="335" customFormat="1" ht="36">
      <c r="A3856" s="342" t="s">
        <v>2552</v>
      </c>
      <c r="B3856" s="342" t="s">
        <v>2552</v>
      </c>
      <c r="C3856" s="342" t="str">
        <f>("PC1CFX005PB")</f>
        <v>PC1CFX005PB</v>
      </c>
      <c r="D3856" s="340">
        <v>1425</v>
      </c>
      <c r="E3856" s="343"/>
    </row>
    <row r="3857" spans="1:5" s="335" customFormat="1" ht="36">
      <c r="A3857" s="342" t="s">
        <v>2553</v>
      </c>
      <c r="B3857" s="342" t="s">
        <v>2553</v>
      </c>
      <c r="C3857" s="342" t="str">
        <f>("PC1CFY003PB")</f>
        <v>PC1CFY003PB</v>
      </c>
      <c r="D3857" s="340">
        <v>1365</v>
      </c>
      <c r="E3857" s="343"/>
    </row>
    <row r="3858" spans="1:5" s="335" customFormat="1" ht="36">
      <c r="A3858" s="342" t="s">
        <v>2554</v>
      </c>
      <c r="B3858" s="342" t="s">
        <v>2554</v>
      </c>
      <c r="C3858" s="342" t="str">
        <f>("PC1CFY004PB")</f>
        <v>PC1CFY004PB</v>
      </c>
      <c r="D3858" s="340">
        <v>1470</v>
      </c>
      <c r="E3858" s="343"/>
    </row>
    <row r="3859" spans="1:5" s="335" customFormat="1" ht="36">
      <c r="A3859" s="342" t="s">
        <v>2555</v>
      </c>
      <c r="B3859" s="342" t="s">
        <v>2555</v>
      </c>
      <c r="C3859" s="342" t="str">
        <f>("PC1CFY005PB")</f>
        <v>PC1CFY005PB</v>
      </c>
      <c r="D3859" s="340">
        <v>1575</v>
      </c>
      <c r="E3859" s="343"/>
    </row>
    <row r="3860" spans="1:5" s="335" customFormat="1" ht="36">
      <c r="A3860" s="342" t="s">
        <v>2556</v>
      </c>
      <c r="B3860" s="342" t="s">
        <v>2556</v>
      </c>
      <c r="C3860" s="342" t="str">
        <f>("PC1CFZ003PB")</f>
        <v>PC1CFZ003PB</v>
      </c>
      <c r="D3860" s="340">
        <v>1300</v>
      </c>
      <c r="E3860" s="343"/>
    </row>
    <row r="3861" spans="1:5" s="335" customFormat="1" ht="36">
      <c r="A3861" s="342" t="s">
        <v>2557</v>
      </c>
      <c r="B3861" s="342" t="s">
        <v>2557</v>
      </c>
      <c r="C3861" s="342" t="str">
        <f>("PC1CFZ004PB")</f>
        <v>PC1CFZ004PB</v>
      </c>
      <c r="D3861" s="340">
        <v>1400</v>
      </c>
      <c r="E3861" s="343"/>
    </row>
    <row r="3862" spans="1:5" s="335" customFormat="1" ht="36">
      <c r="A3862" s="342" t="s">
        <v>2558</v>
      </c>
      <c r="B3862" s="342" t="s">
        <v>2558</v>
      </c>
      <c r="C3862" s="342" t="str">
        <f>("PC1CFZ005PB")</f>
        <v>PC1CFZ005PB</v>
      </c>
      <c r="D3862" s="340">
        <v>1500</v>
      </c>
      <c r="E3862" s="343"/>
    </row>
    <row r="3863" spans="1:5" s="335" customFormat="1" ht="36">
      <c r="A3863" s="342" t="s">
        <v>2559</v>
      </c>
      <c r="B3863" s="342" t="s">
        <v>2559</v>
      </c>
      <c r="C3863" s="342" t="str">
        <f>("PC3CFE003PB")</f>
        <v>PC3CFE003PB</v>
      </c>
      <c r="D3863" s="340">
        <v>1235</v>
      </c>
      <c r="E3863" s="343"/>
    </row>
    <row r="3864" spans="1:5" s="335" customFormat="1" ht="36">
      <c r="A3864" s="342" t="s">
        <v>2560</v>
      </c>
      <c r="B3864" s="342" t="s">
        <v>2560</v>
      </c>
      <c r="C3864" s="342" t="str">
        <f>("PC3CFE004PB")</f>
        <v>PC3CFE004PB</v>
      </c>
      <c r="D3864" s="340">
        <v>1330</v>
      </c>
      <c r="E3864" s="343"/>
    </row>
    <row r="3865" spans="1:5" s="335" customFormat="1" ht="36">
      <c r="A3865" s="342" t="s">
        <v>2561</v>
      </c>
      <c r="B3865" s="342" t="s">
        <v>2561</v>
      </c>
      <c r="C3865" s="342" t="str">
        <f>("PC3CFE005PB")</f>
        <v>PC3CFE005PB</v>
      </c>
      <c r="D3865" s="340">
        <v>1425</v>
      </c>
      <c r="E3865" s="343"/>
    </row>
    <row r="3866" spans="1:5" s="335" customFormat="1" ht="48">
      <c r="A3866" s="342" t="s">
        <v>2562</v>
      </c>
      <c r="B3866" s="342" t="s">
        <v>2562</v>
      </c>
      <c r="C3866" s="342" t="str">
        <f>("PC3CFME03PB")</f>
        <v>PC3CFME03PB</v>
      </c>
      <c r="D3866" s="340">
        <v>1300</v>
      </c>
      <c r="E3866" s="343"/>
    </row>
    <row r="3867" spans="1:5" s="335" customFormat="1" ht="48">
      <c r="A3867" s="342" t="s">
        <v>2563</v>
      </c>
      <c r="B3867" s="342" t="s">
        <v>2563</v>
      </c>
      <c r="C3867" s="342" t="str">
        <f>("PC3CFME04PB")</f>
        <v>PC3CFME04PB</v>
      </c>
      <c r="D3867" s="340">
        <v>1400</v>
      </c>
      <c r="E3867" s="343"/>
    </row>
    <row r="3868" spans="1:5" s="335" customFormat="1" ht="48">
      <c r="A3868" s="342" t="s">
        <v>2564</v>
      </c>
      <c r="B3868" s="342" t="s">
        <v>2564</v>
      </c>
      <c r="C3868" s="342" t="str">
        <f>("PC3CFME05PB")</f>
        <v>PC3CFME05PB</v>
      </c>
      <c r="D3868" s="340">
        <v>1500</v>
      </c>
      <c r="E3868" s="343"/>
    </row>
    <row r="3869" spans="1:5" s="335" customFormat="1" ht="48">
      <c r="A3869" s="342" t="s">
        <v>2565</v>
      </c>
      <c r="B3869" s="342" t="s">
        <v>2565</v>
      </c>
      <c r="C3869" s="342" t="str">
        <f>("PC3CFX003PB")</f>
        <v>PC3CFX003PB</v>
      </c>
      <c r="D3869" s="340">
        <v>1560</v>
      </c>
      <c r="E3869" s="343"/>
    </row>
    <row r="3870" spans="1:5" s="335" customFormat="1" ht="48">
      <c r="A3870" s="342" t="s">
        <v>2566</v>
      </c>
      <c r="B3870" s="342" t="s">
        <v>2566</v>
      </c>
      <c r="C3870" s="342" t="str">
        <f>("PC3CFX004PB")</f>
        <v>PC3CFX004PB</v>
      </c>
      <c r="D3870" s="340">
        <v>1680</v>
      </c>
      <c r="E3870" s="343"/>
    </row>
    <row r="3871" spans="1:5" s="335" customFormat="1" ht="48">
      <c r="A3871" s="342" t="s">
        <v>2567</v>
      </c>
      <c r="B3871" s="342" t="s">
        <v>2567</v>
      </c>
      <c r="C3871" s="342" t="str">
        <f>("PC3CFX005PB")</f>
        <v>PC3CFX005PB</v>
      </c>
      <c r="D3871" s="340">
        <v>1800</v>
      </c>
      <c r="E3871" s="343"/>
    </row>
    <row r="3872" spans="1:5" s="335" customFormat="1" ht="36">
      <c r="A3872" s="342" t="s">
        <v>2568</v>
      </c>
      <c r="B3872" s="342" t="s">
        <v>2568</v>
      </c>
      <c r="C3872" s="342" t="str">
        <f>("PC3CFY003PB")</f>
        <v>PC3CFY003PB</v>
      </c>
      <c r="D3872" s="340">
        <v>1755</v>
      </c>
      <c r="E3872" s="343"/>
    </row>
    <row r="3873" spans="1:5" s="335" customFormat="1" ht="36">
      <c r="A3873" s="342" t="s">
        <v>2569</v>
      </c>
      <c r="B3873" s="342" t="s">
        <v>2569</v>
      </c>
      <c r="C3873" s="342" t="str">
        <f>("PC3CFY004PB")</f>
        <v>PC3CFY004PB</v>
      </c>
      <c r="D3873" s="340">
        <v>1890</v>
      </c>
      <c r="E3873" s="343"/>
    </row>
    <row r="3874" spans="1:5" s="335" customFormat="1" ht="36">
      <c r="A3874" s="342" t="s">
        <v>2570</v>
      </c>
      <c r="B3874" s="342" t="s">
        <v>2570</v>
      </c>
      <c r="C3874" s="342" t="str">
        <f>("PC3CFY005PB")</f>
        <v>PC3CFY005PB</v>
      </c>
      <c r="D3874" s="340">
        <v>2025</v>
      </c>
      <c r="E3874" s="343"/>
    </row>
    <row r="3875" spans="1:5" s="335" customFormat="1" ht="36">
      <c r="A3875" s="342" t="s">
        <v>2571</v>
      </c>
      <c r="B3875" s="342" t="s">
        <v>2571</v>
      </c>
      <c r="C3875" s="342" t="str">
        <f>("PC3CFZ003PB")</f>
        <v>PC3CFZ003PB</v>
      </c>
      <c r="D3875" s="340">
        <v>1560</v>
      </c>
      <c r="E3875" s="343"/>
    </row>
    <row r="3876" spans="1:5" s="335" customFormat="1" ht="36">
      <c r="A3876" s="342" t="s">
        <v>2572</v>
      </c>
      <c r="B3876" s="342" t="s">
        <v>2572</v>
      </c>
      <c r="C3876" s="342" t="str">
        <f>("PC3CFZ004PB")</f>
        <v>PC3CFZ004PB</v>
      </c>
      <c r="D3876" s="340">
        <v>1680</v>
      </c>
      <c r="E3876" s="343"/>
    </row>
    <row r="3877" spans="1:5" s="335" customFormat="1" ht="36">
      <c r="A3877" s="342" t="s">
        <v>2573</v>
      </c>
      <c r="B3877" s="342" t="s">
        <v>2573</v>
      </c>
      <c r="C3877" s="342" t="str">
        <f>("PC3CFZ005PB")</f>
        <v>PC3CFZ005PB</v>
      </c>
      <c r="D3877" s="340">
        <v>1800</v>
      </c>
      <c r="E3877" s="343"/>
    </row>
    <row r="3878" spans="1:5" s="335" customFormat="1" ht="12.75">
      <c r="A3878" s="403" t="s">
        <v>856</v>
      </c>
      <c r="B3878" s="403"/>
      <c r="C3878" s="403"/>
      <c r="D3878" s="403"/>
      <c r="E3878" s="343"/>
    </row>
    <row r="3879" spans="1:5" s="335" customFormat="1" ht="36">
      <c r="A3879" s="342" t="s">
        <v>2574</v>
      </c>
      <c r="B3879" s="342" t="s">
        <v>2574</v>
      </c>
      <c r="C3879" s="342" t="str">
        <f>("EQIN1DAY")</f>
        <v>EQIN1DAY</v>
      </c>
      <c r="D3879" s="340">
        <v>1600</v>
      </c>
      <c r="E3879" s="343"/>
    </row>
    <row r="3880" spans="1:5" s="335" customFormat="1" ht="36">
      <c r="A3880" s="342" t="s">
        <v>2575</v>
      </c>
      <c r="B3880" s="342" t="s">
        <v>2575</v>
      </c>
      <c r="C3880" s="342" t="str">
        <f>("EQINS4HR")</f>
        <v>EQINS4HR</v>
      </c>
      <c r="D3880" s="340">
        <v>800</v>
      </c>
      <c r="E3880" s="343"/>
    </row>
    <row r="3881" spans="1:5" s="335" customFormat="1" ht="36">
      <c r="A3881" s="342" t="s">
        <v>2576</v>
      </c>
      <c r="B3881" s="342" t="s">
        <v>2576</v>
      </c>
      <c r="C3881" s="342" t="str">
        <f>("EQPD1AIR")</f>
        <v>EQPD1AIR</v>
      </c>
      <c r="D3881" s="340">
        <v>1000</v>
      </c>
      <c r="E3881" s="343"/>
    </row>
    <row r="3882" spans="1:5" s="335" customFormat="1" ht="24">
      <c r="A3882" s="342" t="s">
        <v>2577</v>
      </c>
      <c r="B3882" s="342" t="s">
        <v>2577</v>
      </c>
      <c r="C3882" s="342" t="str">
        <f>("EQPD1DAY")</f>
        <v>EQPD1DAY</v>
      </c>
      <c r="D3882" s="340">
        <v>200</v>
      </c>
      <c r="E3882" s="343"/>
    </row>
    <row r="3883" spans="1:5" s="335" customFormat="1" ht="36">
      <c r="A3883" s="342" t="s">
        <v>2578</v>
      </c>
      <c r="B3883" s="342" t="s">
        <v>2578</v>
      </c>
      <c r="C3883" s="342" t="str">
        <f>("EQPD1NGT")</f>
        <v>EQPD1NGT</v>
      </c>
      <c r="D3883" s="340">
        <v>400</v>
      </c>
      <c r="E3883" s="343"/>
    </row>
    <row r="3884" spans="1:5" s="335" customFormat="1" ht="72">
      <c r="A3884" s="342" t="s">
        <v>2579</v>
      </c>
      <c r="B3884" s="342" t="s">
        <v>2579</v>
      </c>
      <c r="C3884" s="342" t="str">
        <f>("EQPSLARG")</f>
        <v>EQPSLARG</v>
      </c>
      <c r="D3884" s="340">
        <v>1000</v>
      </c>
      <c r="E3884" s="343"/>
    </row>
    <row r="3885" spans="1:5" s="335" customFormat="1" ht="72">
      <c r="A3885" s="342" t="s">
        <v>2580</v>
      </c>
      <c r="B3885" s="342" t="s">
        <v>2580</v>
      </c>
      <c r="C3885" s="342" t="str">
        <f>("EQPSSMAL")</f>
        <v>EQPSSMAL</v>
      </c>
      <c r="D3885" s="340">
        <v>100</v>
      </c>
      <c r="E3885" s="343"/>
    </row>
    <row r="3886" spans="1:5" s="335" customFormat="1" ht="36">
      <c r="A3886" s="342" t="s">
        <v>2581</v>
      </c>
      <c r="B3886" s="342" t="s">
        <v>2581</v>
      </c>
      <c r="C3886" s="342" t="str">
        <f>("EQTR1DAY")</f>
        <v>EQTR1DAY</v>
      </c>
      <c r="D3886" s="340">
        <v>1600</v>
      </c>
      <c r="E3886" s="343"/>
    </row>
    <row r="3887" spans="1:5" s="335" customFormat="1" ht="24">
      <c r="A3887" s="342" t="s">
        <v>2582</v>
      </c>
      <c r="B3887" s="342" t="s">
        <v>2582</v>
      </c>
      <c r="C3887" s="342" t="str">
        <f>("EQTRAIN1")</f>
        <v>EQTRAIN1</v>
      </c>
      <c r="D3887" s="340">
        <v>33</v>
      </c>
      <c r="E3887" s="343"/>
    </row>
    <row r="3888" spans="1:5" s="335" customFormat="1" ht="24">
      <c r="A3888" s="342" t="s">
        <v>2583</v>
      </c>
      <c r="B3888" s="342" t="s">
        <v>2583</v>
      </c>
      <c r="C3888" s="342" t="str">
        <f>("EQTRAIN5")</f>
        <v>EQTRAIN5</v>
      </c>
      <c r="D3888" s="340">
        <v>165</v>
      </c>
      <c r="E3888" s="343"/>
    </row>
    <row r="3889" spans="1:5" s="335" customFormat="1" ht="24">
      <c r="A3889" s="342" t="s">
        <v>2584</v>
      </c>
      <c r="B3889" s="342" t="s">
        <v>2584</v>
      </c>
      <c r="C3889" s="342" t="str">
        <f>("EQTRN010")</f>
        <v>EQTRN010</v>
      </c>
      <c r="D3889" s="340">
        <v>330</v>
      </c>
      <c r="E3889" s="343"/>
    </row>
    <row r="3890" spans="1:5" s="335" customFormat="1" ht="36">
      <c r="A3890" s="342" t="s">
        <v>2585</v>
      </c>
      <c r="B3890" s="342" t="s">
        <v>2585</v>
      </c>
      <c r="C3890" s="342" t="str">
        <f>("EQWBN1HR")</f>
        <v>EQWBN1HR</v>
      </c>
      <c r="D3890" s="340">
        <v>200</v>
      </c>
      <c r="E3890" s="343"/>
    </row>
    <row r="3891" spans="1:5" s="335" customFormat="1" ht="12.75">
      <c r="A3891" s="403" t="s">
        <v>1565</v>
      </c>
      <c r="B3891" s="403"/>
      <c r="C3891" s="403"/>
      <c r="D3891" s="403"/>
      <c r="E3891" s="343"/>
    </row>
    <row r="3892" spans="1:5" s="335" customFormat="1" ht="60">
      <c r="A3892" s="342" t="s">
        <v>2804</v>
      </c>
      <c r="B3892" s="342" t="s">
        <v>2804</v>
      </c>
      <c r="C3892" s="342" t="str">
        <f>("EQ5EFSB11PB")</f>
        <v>EQ5EFSB11PB</v>
      </c>
      <c r="D3892" s="340">
        <v>85</v>
      </c>
      <c r="E3892" s="343"/>
    </row>
    <row r="3893" spans="1:5" s="335" customFormat="1" ht="12.75">
      <c r="A3893" s="403" t="s">
        <v>2586</v>
      </c>
      <c r="B3893" s="403"/>
      <c r="C3893" s="403"/>
      <c r="D3893" s="403"/>
      <c r="E3893" s="343"/>
    </row>
    <row r="3894" spans="1:5" s="335" customFormat="1" ht="48">
      <c r="A3894" s="342" t="s">
        <v>2587</v>
      </c>
      <c r="B3894" s="342" t="s">
        <v>2587</v>
      </c>
      <c r="C3894" s="342" t="str">
        <f>("EQ5CC0011PB")</f>
        <v>EQ5CC0011PB</v>
      </c>
      <c r="D3894" s="340">
        <v>424</v>
      </c>
      <c r="E3894" s="343"/>
    </row>
    <row r="3895" spans="1:5" s="335" customFormat="1" ht="48">
      <c r="A3895" s="342" t="s">
        <v>2588</v>
      </c>
      <c r="B3895" s="342" t="s">
        <v>2588</v>
      </c>
      <c r="C3895" s="342" t="str">
        <f>("EQ5CC01U1PB")</f>
        <v>EQ5CC01U1PB</v>
      </c>
      <c r="D3895" s="340">
        <v>424</v>
      </c>
      <c r="E3895" s="343"/>
    </row>
    <row r="3896" spans="1:5" s="335" customFormat="1" ht="48">
      <c r="A3896" s="342" t="s">
        <v>2589</v>
      </c>
      <c r="B3896" s="342" t="s">
        <v>2589</v>
      </c>
      <c r="C3896" s="342" t="str">
        <f>("EQ5CLS011PB")</f>
        <v>EQ5CLS011PB</v>
      </c>
      <c r="D3896" s="340">
        <v>381</v>
      </c>
      <c r="E3896" s="343"/>
    </row>
    <row r="3897" spans="1:5" s="335" customFormat="1" ht="36">
      <c r="A3897" s="342" t="s">
        <v>2590</v>
      </c>
      <c r="B3897" s="342" t="s">
        <v>2590</v>
      </c>
      <c r="C3897" s="342" t="str">
        <f>("EQ5CLS0U1PB")</f>
        <v>EQ5CLS0U1PB</v>
      </c>
      <c r="D3897" s="340">
        <v>381</v>
      </c>
      <c r="E3897" s="343"/>
    </row>
    <row r="3898" spans="1:5" s="335" customFormat="1" ht="48">
      <c r="A3898" s="342" t="s">
        <v>2591</v>
      </c>
      <c r="B3898" s="342" t="s">
        <v>2591</v>
      </c>
      <c r="C3898" s="342" t="str">
        <f>("EQ5DC0011PB")</f>
        <v>EQ5DC0011PB</v>
      </c>
      <c r="D3898" s="340">
        <v>59</v>
      </c>
      <c r="E3898" s="343"/>
    </row>
    <row r="3899" spans="1:5" s="335" customFormat="1" ht="60">
      <c r="A3899" s="342" t="s">
        <v>2592</v>
      </c>
      <c r="B3899" s="342" t="s">
        <v>2592</v>
      </c>
      <c r="C3899" s="342" t="str">
        <f>("EQ5DC01U1PB")</f>
        <v>EQ5DC01U1PB</v>
      </c>
      <c r="D3899" s="340">
        <v>59</v>
      </c>
      <c r="E3899" s="343"/>
    </row>
    <row r="3900" spans="1:5" s="335" customFormat="1" ht="48">
      <c r="A3900" s="342" t="s">
        <v>2593</v>
      </c>
      <c r="B3900" s="342" t="s">
        <v>2593</v>
      </c>
      <c r="C3900" s="342" t="str">
        <f>("EQ5ED0011PB")</f>
        <v>EQ5ED0011PB</v>
      </c>
      <c r="D3900" s="340">
        <v>50</v>
      </c>
      <c r="E3900" s="343"/>
    </row>
    <row r="3901" spans="1:5" s="335" customFormat="1" ht="48">
      <c r="A3901" s="342" t="s">
        <v>2594</v>
      </c>
      <c r="B3901" s="342" t="s">
        <v>2594</v>
      </c>
      <c r="C3901" s="342" t="str">
        <f>("EQ5ED0101PB")</f>
        <v>EQ5ED0101PB</v>
      </c>
      <c r="D3901" s="340">
        <v>430</v>
      </c>
      <c r="E3901" s="343"/>
    </row>
    <row r="3902" spans="1:5" s="335" customFormat="1" ht="48">
      <c r="A3902" s="342" t="s">
        <v>2595</v>
      </c>
      <c r="B3902" s="342" t="s">
        <v>2595</v>
      </c>
      <c r="C3902" s="342" t="str">
        <f>("EQ5ED01U13PB")</f>
        <v>EQ5ED01U13PB</v>
      </c>
      <c r="D3902" s="340">
        <v>50</v>
      </c>
      <c r="E3902" s="343"/>
    </row>
    <row r="3903" spans="1:5" s="335" customFormat="1" ht="60">
      <c r="A3903" s="342" t="s">
        <v>2596</v>
      </c>
      <c r="B3903" s="342" t="s">
        <v>2596</v>
      </c>
      <c r="C3903" s="342" t="str">
        <f>("EQ5ED0CU1PB")</f>
        <v>EQ5ED0CU1PB</v>
      </c>
      <c r="D3903" s="340">
        <v>3390</v>
      </c>
      <c r="E3903" s="343"/>
    </row>
    <row r="3904" spans="1:5" s="335" customFormat="1" ht="60">
      <c r="A3904" s="342" t="s">
        <v>2597</v>
      </c>
      <c r="B3904" s="342" t="s">
        <v>2597</v>
      </c>
      <c r="C3904" s="342" t="str">
        <f>("EQ5ED0DU1PB")</f>
        <v>EQ5ED0DU1PB</v>
      </c>
      <c r="D3904" s="340">
        <v>15254</v>
      </c>
      <c r="E3904" s="343"/>
    </row>
    <row r="3905" spans="1:5" s="335" customFormat="1" ht="48">
      <c r="A3905" s="342" t="s">
        <v>2598</v>
      </c>
      <c r="B3905" s="342" t="s">
        <v>2598</v>
      </c>
      <c r="C3905" s="342" t="str">
        <f>("EQ5ED1001PB")</f>
        <v>EQ5ED1001PB</v>
      </c>
      <c r="D3905" s="340">
        <v>3390</v>
      </c>
      <c r="E3905" s="343"/>
    </row>
    <row r="3906" spans="1:5" s="335" customFormat="1" ht="48">
      <c r="A3906" s="342" t="s">
        <v>2599</v>
      </c>
      <c r="B3906" s="342" t="s">
        <v>2599</v>
      </c>
      <c r="C3906" s="342" t="str">
        <f>("EQ5ED5001PB")</f>
        <v>EQ5ED5001PB</v>
      </c>
      <c r="D3906" s="340">
        <v>15254</v>
      </c>
      <c r="E3906" s="343"/>
    </row>
    <row r="3907" spans="1:5" s="335" customFormat="1" ht="60">
      <c r="A3907" s="342" t="s">
        <v>2600</v>
      </c>
      <c r="B3907" s="342" t="s">
        <v>2600</v>
      </c>
      <c r="C3907" s="342" t="str">
        <f>("EQ5EDOXU1PB")</f>
        <v>EQ5EDOXU1PB</v>
      </c>
      <c r="D3907" s="340">
        <v>430</v>
      </c>
      <c r="E3907" s="343"/>
    </row>
    <row r="3908" spans="1:5" s="335" customFormat="1" ht="72">
      <c r="A3908" s="342" t="s">
        <v>2628</v>
      </c>
      <c r="B3908" s="342" t="s">
        <v>2628</v>
      </c>
      <c r="C3908" s="342" t="str">
        <f>("EQ5EFEU11PB")</f>
        <v>EQ5EFEU11PB</v>
      </c>
      <c r="D3908" s="340">
        <v>1.02</v>
      </c>
      <c r="E3908" s="343"/>
    </row>
    <row r="3909" spans="1:5" s="335" customFormat="1" ht="72">
      <c r="A3909" s="342" t="s">
        <v>2629</v>
      </c>
      <c r="B3909" s="342" t="s">
        <v>2629</v>
      </c>
      <c r="C3909" s="342" t="str">
        <f>("EQ5EFEU21PB")</f>
        <v>EQ5EFEU21PB</v>
      </c>
      <c r="D3909" s="340">
        <v>0.89</v>
      </c>
      <c r="E3909" s="343"/>
    </row>
    <row r="3910" spans="1:5" s="335" customFormat="1" ht="72">
      <c r="A3910" s="342" t="s">
        <v>2630</v>
      </c>
      <c r="B3910" s="342" t="s">
        <v>2630</v>
      </c>
      <c r="C3910" s="342" t="str">
        <f>("EQ5EFEU31PB")</f>
        <v>EQ5EFEU31PB</v>
      </c>
      <c r="D3910" s="340">
        <v>0.76</v>
      </c>
      <c r="E3910" s="343"/>
    </row>
    <row r="3911" spans="1:5" s="335" customFormat="1" ht="72">
      <c r="A3911" s="342" t="s">
        <v>2631</v>
      </c>
      <c r="B3911" s="342" t="s">
        <v>2631</v>
      </c>
      <c r="C3911" s="342" t="str">
        <f>("EQ5EFEU41PB")</f>
        <v>EQ5EFEU41PB</v>
      </c>
      <c r="D3911" s="340">
        <v>0.7</v>
      </c>
      <c r="E3911" s="343"/>
    </row>
    <row r="3912" spans="1:5" s="335" customFormat="1" ht="72">
      <c r="A3912" s="342" t="s">
        <v>2632</v>
      </c>
      <c r="B3912" s="342" t="s">
        <v>2632</v>
      </c>
      <c r="C3912" s="342" t="str">
        <f>("EQ5EFEU51PB")</f>
        <v>EQ5EFEU51PB</v>
      </c>
      <c r="D3912" s="340">
        <v>0.64</v>
      </c>
      <c r="E3912" s="343"/>
    </row>
    <row r="3913" spans="1:5" s="335" customFormat="1" ht="72">
      <c r="A3913" s="342" t="s">
        <v>2633</v>
      </c>
      <c r="B3913" s="342" t="s">
        <v>2633</v>
      </c>
      <c r="C3913" s="342" t="str">
        <f>("EQ5EFEUK1PB")</f>
        <v>EQ5EFEUK1PB</v>
      </c>
      <c r="D3913" s="340">
        <v>1.53</v>
      </c>
      <c r="E3913" s="343"/>
    </row>
    <row r="3914" spans="1:5" s="335" customFormat="1" ht="60">
      <c r="A3914" s="342" t="s">
        <v>2634</v>
      </c>
      <c r="B3914" s="342" t="s">
        <v>2634</v>
      </c>
      <c r="C3914" s="342" t="str">
        <f>("EQ5EFNC11PB")</f>
        <v>EQ5EFNC11PB</v>
      </c>
      <c r="D3914" s="340">
        <v>0.63</v>
      </c>
      <c r="E3914" s="343"/>
    </row>
    <row r="3915" spans="1:5" s="335" customFormat="1" ht="60">
      <c r="A3915" s="342" t="s">
        <v>2635</v>
      </c>
      <c r="B3915" s="342" t="s">
        <v>2635</v>
      </c>
      <c r="C3915" s="342" t="str">
        <f>("EQ5EFNC21PB")</f>
        <v>EQ5EFNC21PB</v>
      </c>
      <c r="D3915" s="340">
        <v>0.55000000000000004</v>
      </c>
      <c r="E3915" s="343"/>
    </row>
    <row r="3916" spans="1:5" s="335" customFormat="1" ht="60">
      <c r="A3916" s="342" t="s">
        <v>2636</v>
      </c>
      <c r="B3916" s="342" t="s">
        <v>2636</v>
      </c>
      <c r="C3916" s="342" t="str">
        <f>("EQ5EFNC31PB")</f>
        <v>EQ5EFNC31PB</v>
      </c>
      <c r="D3916" s="340">
        <v>0.51</v>
      </c>
      <c r="E3916" s="343"/>
    </row>
    <row r="3917" spans="1:5" s="335" customFormat="1" ht="72">
      <c r="A3917" s="342" t="s">
        <v>2637</v>
      </c>
      <c r="B3917" s="342" t="s">
        <v>2637</v>
      </c>
      <c r="C3917" s="342" t="str">
        <f>("EQ5EFNC41PB")</f>
        <v>EQ5EFNC41PB</v>
      </c>
      <c r="D3917" s="340">
        <v>0.47</v>
      </c>
      <c r="E3917" s="343"/>
    </row>
    <row r="3918" spans="1:5" s="335" customFormat="1" ht="72">
      <c r="A3918" s="342" t="s">
        <v>2637</v>
      </c>
      <c r="B3918" s="342" t="s">
        <v>2637</v>
      </c>
      <c r="C3918" s="342" t="str">
        <f>("EQ5EFNC51PB")</f>
        <v>EQ5EFNC51PB</v>
      </c>
      <c r="D3918" s="340">
        <v>0.43</v>
      </c>
      <c r="E3918" s="343"/>
    </row>
    <row r="3919" spans="1:5" s="335" customFormat="1" ht="60">
      <c r="A3919" s="342" t="s">
        <v>2638</v>
      </c>
      <c r="B3919" s="342" t="s">
        <v>2638</v>
      </c>
      <c r="C3919" s="342" t="str">
        <f>("EQ5EFNCK1PB")</f>
        <v>EQ5EFNCK1PB</v>
      </c>
      <c r="D3919" s="340">
        <v>0.93</v>
      </c>
      <c r="E3919" s="343"/>
    </row>
    <row r="3920" spans="1:5" s="335" customFormat="1" ht="72">
      <c r="A3920" s="342" t="s">
        <v>2639</v>
      </c>
      <c r="B3920" s="342" t="s">
        <v>2639</v>
      </c>
      <c r="C3920" s="342" t="str">
        <f>("EQ5EFNE11PB")</f>
        <v>EQ5EFNE11PB</v>
      </c>
      <c r="D3920" s="340">
        <v>1.02</v>
      </c>
      <c r="E3920" s="343"/>
    </row>
    <row r="3921" spans="1:5" s="335" customFormat="1" ht="72">
      <c r="A3921" s="342" t="s">
        <v>2640</v>
      </c>
      <c r="B3921" s="342" t="s">
        <v>2640</v>
      </c>
      <c r="C3921" s="342" t="str">
        <f>("EQ5EFNE21PB")</f>
        <v>EQ5EFNE21PB</v>
      </c>
      <c r="D3921" s="340">
        <v>0.89</v>
      </c>
      <c r="E3921" s="343"/>
    </row>
    <row r="3922" spans="1:5" s="335" customFormat="1" ht="72">
      <c r="A3922" s="342" t="s">
        <v>2641</v>
      </c>
      <c r="B3922" s="342" t="s">
        <v>2641</v>
      </c>
      <c r="C3922" s="342" t="str">
        <f>("EQ5EFNE31PB")</f>
        <v>EQ5EFNE31PB</v>
      </c>
      <c r="D3922" s="340">
        <v>0.76</v>
      </c>
      <c r="E3922" s="343"/>
    </row>
    <row r="3923" spans="1:5" s="335" customFormat="1" ht="72">
      <c r="A3923" s="342" t="s">
        <v>2642</v>
      </c>
      <c r="B3923" s="342" t="s">
        <v>2642</v>
      </c>
      <c r="C3923" s="342" t="str">
        <f>("EQ5EFNE41PB")</f>
        <v>EQ5EFNE41PB</v>
      </c>
      <c r="D3923" s="340">
        <v>0.7</v>
      </c>
      <c r="E3923" s="343"/>
    </row>
    <row r="3924" spans="1:5" s="335" customFormat="1" ht="72">
      <c r="A3924" s="342" t="s">
        <v>2643</v>
      </c>
      <c r="B3924" s="342" t="s">
        <v>2643</v>
      </c>
      <c r="C3924" s="342" t="str">
        <f>("EQ5EFNE51PB")</f>
        <v>EQ5EFNE51PB</v>
      </c>
      <c r="D3924" s="340">
        <v>0.64</v>
      </c>
      <c r="E3924" s="343"/>
    </row>
    <row r="3925" spans="1:5" s="335" customFormat="1" ht="72">
      <c r="A3925" s="342" t="s">
        <v>2644</v>
      </c>
      <c r="B3925" s="342" t="s">
        <v>2644</v>
      </c>
      <c r="C3925" s="342" t="str">
        <f>("EQ5EFNEK1PB")</f>
        <v>EQ5EFNEK1PB</v>
      </c>
      <c r="D3925" s="340">
        <v>1.53</v>
      </c>
      <c r="E3925" s="343"/>
    </row>
    <row r="3926" spans="1:5" s="335" customFormat="1" ht="72">
      <c r="A3926" s="342" t="s">
        <v>2645</v>
      </c>
      <c r="B3926" s="342" t="s">
        <v>2645</v>
      </c>
      <c r="C3926" s="342" t="str">
        <f>("EQ5EFNU11PB")</f>
        <v>EQ5EFNU11PB</v>
      </c>
      <c r="D3926" s="340">
        <v>0.63</v>
      </c>
      <c r="E3926" s="343"/>
    </row>
    <row r="3927" spans="1:5" s="335" customFormat="1" ht="72">
      <c r="A3927" s="342" t="s">
        <v>2646</v>
      </c>
      <c r="B3927" s="342" t="s">
        <v>2646</v>
      </c>
      <c r="C3927" s="342" t="str">
        <f>("EQ5EFNU21PB")</f>
        <v>EQ5EFNU21PB</v>
      </c>
      <c r="D3927" s="340">
        <v>0.55000000000000004</v>
      </c>
      <c r="E3927" s="343"/>
    </row>
    <row r="3928" spans="1:5" s="335" customFormat="1" ht="72">
      <c r="A3928" s="342" t="s">
        <v>2647</v>
      </c>
      <c r="B3928" s="342" t="s">
        <v>2647</v>
      </c>
      <c r="C3928" s="342" t="str">
        <f>("EQ5EFNU31PB")</f>
        <v>EQ5EFNU31PB</v>
      </c>
      <c r="D3928" s="340">
        <v>0.51</v>
      </c>
      <c r="E3928" s="343"/>
    </row>
    <row r="3929" spans="1:5" s="335" customFormat="1" ht="72">
      <c r="A3929" s="342" t="s">
        <v>2648</v>
      </c>
      <c r="B3929" s="342" t="s">
        <v>2648</v>
      </c>
      <c r="C3929" s="342" t="str">
        <f>("EQ5EFNU41PB")</f>
        <v>EQ5EFNU41PB</v>
      </c>
      <c r="D3929" s="340">
        <v>0.47</v>
      </c>
      <c r="E3929" s="343"/>
    </row>
    <row r="3930" spans="1:5" s="335" customFormat="1" ht="72">
      <c r="A3930" s="342" t="s">
        <v>2649</v>
      </c>
      <c r="B3930" s="342" t="s">
        <v>2649</v>
      </c>
      <c r="C3930" s="342" t="str">
        <f>("EQ5EFNU51PB")</f>
        <v>EQ5EFNU51PB</v>
      </c>
      <c r="D3930" s="340">
        <v>0.43</v>
      </c>
      <c r="E3930" s="343"/>
    </row>
    <row r="3931" spans="1:5" s="335" customFormat="1" ht="72">
      <c r="A3931" s="342" t="s">
        <v>2650</v>
      </c>
      <c r="B3931" s="342" t="s">
        <v>2650</v>
      </c>
      <c r="C3931" s="342" t="str">
        <f>("EQ5EFNUK1PB")</f>
        <v>EQ5EFNUK1PB</v>
      </c>
      <c r="D3931" s="340">
        <v>0.93</v>
      </c>
      <c r="E3931" s="343"/>
    </row>
    <row r="3932" spans="1:5" s="335" customFormat="1" ht="48">
      <c r="A3932" s="342" t="s">
        <v>2805</v>
      </c>
      <c r="B3932" s="342" t="s">
        <v>2805</v>
      </c>
      <c r="C3932" s="342" t="str">
        <f>("EQ5EFSBU1PB")</f>
        <v>EQ5EFSBU1PB</v>
      </c>
      <c r="D3932" s="340">
        <v>85</v>
      </c>
      <c r="E3932" s="343"/>
    </row>
    <row r="3933" spans="1:5" s="335" customFormat="1" ht="60">
      <c r="A3933" s="342" t="s">
        <v>2806</v>
      </c>
      <c r="B3933" s="342" t="s">
        <v>2806</v>
      </c>
      <c r="C3933" s="342" t="str">
        <f>("EQ5EFSMB1PB")</f>
        <v>EQ5EFSMB1PB</v>
      </c>
      <c r="D3933" s="340">
        <v>95</v>
      </c>
      <c r="E3933" s="343"/>
    </row>
    <row r="3934" spans="1:5" s="335" customFormat="1" ht="48">
      <c r="A3934" s="342" t="s">
        <v>2807</v>
      </c>
      <c r="B3934" s="342" t="s">
        <v>2807</v>
      </c>
      <c r="C3934" s="342" t="s">
        <v>6214</v>
      </c>
      <c r="D3934" s="340">
        <v>237</v>
      </c>
      <c r="E3934" s="343"/>
    </row>
    <row r="3935" spans="1:5" s="335" customFormat="1" ht="72">
      <c r="A3935" s="342" t="s">
        <v>2808</v>
      </c>
      <c r="B3935" s="342" t="s">
        <v>2808</v>
      </c>
      <c r="C3935" s="342" t="str">
        <f>("EQ5EFSUB1PB")</f>
        <v>EQ5EFSUB1PB</v>
      </c>
      <c r="D3935" s="340">
        <v>95</v>
      </c>
      <c r="E3935" s="343"/>
    </row>
    <row r="3936" spans="1:5" s="335" customFormat="1" ht="60">
      <c r="A3936" s="342" t="s">
        <v>2809</v>
      </c>
      <c r="B3936" s="342" t="s">
        <v>2809</v>
      </c>
      <c r="C3936" s="342" t="str">
        <f>("EQ5EFSUU1PB")</f>
        <v>EQ5EFSUU1PB</v>
      </c>
      <c r="D3936" s="340">
        <v>237</v>
      </c>
      <c r="E3936" s="343"/>
    </row>
    <row r="3937" spans="1:5" s="335" customFormat="1" ht="48">
      <c r="A3937" s="342" t="s">
        <v>2651</v>
      </c>
      <c r="B3937" s="342" t="s">
        <v>2651</v>
      </c>
      <c r="C3937" s="342" t="str">
        <f>("EQ5EL0011PB")</f>
        <v>EQ5EL0011PB</v>
      </c>
      <c r="D3937" s="340">
        <v>50</v>
      </c>
      <c r="E3937" s="343"/>
    </row>
    <row r="3938" spans="1:5" s="335" customFormat="1" ht="48">
      <c r="A3938" s="342" t="s">
        <v>2652</v>
      </c>
      <c r="B3938" s="342" t="s">
        <v>2652</v>
      </c>
      <c r="C3938" s="342" t="str">
        <f>("EQ5EL0101PB")</f>
        <v>EQ5EL0101PB</v>
      </c>
      <c r="D3938" s="340">
        <v>430</v>
      </c>
      <c r="E3938" s="343"/>
    </row>
    <row r="3939" spans="1:5" s="335" customFormat="1" ht="60">
      <c r="A3939" s="342" t="s">
        <v>2653</v>
      </c>
      <c r="B3939" s="342" t="s">
        <v>2653</v>
      </c>
      <c r="C3939" s="342" t="str">
        <f>("EQ5EL01U1PB")</f>
        <v>EQ5EL01U1PB</v>
      </c>
      <c r="D3939" s="340">
        <v>50</v>
      </c>
      <c r="E3939" s="343"/>
    </row>
    <row r="3940" spans="1:5" s="335" customFormat="1" ht="60">
      <c r="A3940" s="342" t="s">
        <v>2654</v>
      </c>
      <c r="B3940" s="342" t="s">
        <v>2654</v>
      </c>
      <c r="C3940" s="342" t="str">
        <f>("EQ5EL0CU1PB")</f>
        <v>EQ5EL0CU1PB</v>
      </c>
      <c r="D3940" s="340">
        <v>3390</v>
      </c>
      <c r="E3940" s="343"/>
    </row>
    <row r="3941" spans="1:5" s="335" customFormat="1" ht="60">
      <c r="A3941" s="342" t="s">
        <v>2655</v>
      </c>
      <c r="B3941" s="342" t="s">
        <v>2655</v>
      </c>
      <c r="C3941" s="342" t="str">
        <f>("EQ5EL0XU1PB")</f>
        <v>EQ5EL0XU1PB</v>
      </c>
      <c r="D3941" s="340">
        <v>430</v>
      </c>
      <c r="E3941" s="343"/>
    </row>
    <row r="3942" spans="1:5" s="335" customFormat="1" ht="48">
      <c r="A3942" s="342" t="s">
        <v>2656</v>
      </c>
      <c r="B3942" s="342" t="s">
        <v>2656</v>
      </c>
      <c r="C3942" s="342" t="str">
        <f>("EQ5EL1001PB")</f>
        <v>EQ5EL1001PB</v>
      </c>
      <c r="D3942" s="340">
        <v>3390</v>
      </c>
      <c r="E3942" s="343"/>
    </row>
    <row r="3943" spans="1:5" s="335" customFormat="1" ht="48">
      <c r="A3943" s="342" t="s">
        <v>2657</v>
      </c>
      <c r="B3943" s="342" t="s">
        <v>2657</v>
      </c>
      <c r="C3943" s="342" t="str">
        <f>("EQ5PO0101PB")</f>
        <v>EQ5PO0101PB</v>
      </c>
      <c r="D3943" s="340">
        <v>800</v>
      </c>
      <c r="E3943" s="343"/>
    </row>
    <row r="3944" spans="1:5" s="335" customFormat="1" ht="60">
      <c r="A3944" s="342" t="s">
        <v>2658</v>
      </c>
      <c r="B3944" s="342" t="s">
        <v>2658</v>
      </c>
      <c r="C3944" s="342" t="str">
        <f>("EQ5PO01K1PB")</f>
        <v>EQ5PO01K1PB</v>
      </c>
      <c r="D3944" s="340">
        <v>20000</v>
      </c>
      <c r="E3944" s="343"/>
    </row>
    <row r="3945" spans="1:5" s="335" customFormat="1" ht="48">
      <c r="A3945" s="342" t="s">
        <v>2659</v>
      </c>
      <c r="B3945" s="342" t="s">
        <v>2659</v>
      </c>
      <c r="C3945" s="342" t="str">
        <f>("EQ5PO0251PB")</f>
        <v>EQ5PO0251PB</v>
      </c>
      <c r="D3945" s="340">
        <v>1500</v>
      </c>
      <c r="E3945" s="343"/>
    </row>
    <row r="3946" spans="1:5" s="335" customFormat="1" ht="48">
      <c r="A3946" s="342" t="s">
        <v>2660</v>
      </c>
      <c r="B3946" s="342" t="s">
        <v>2660</v>
      </c>
      <c r="C3946" s="342" t="str">
        <f>("EQ5PO1001PB")</f>
        <v>EQ5PO1001PB</v>
      </c>
      <c r="D3946" s="340">
        <v>4000</v>
      </c>
      <c r="E3946" s="343"/>
    </row>
    <row r="3947" spans="1:5" s="335" customFormat="1" ht="48">
      <c r="A3947" s="342" t="s">
        <v>2661</v>
      </c>
      <c r="B3947" s="342" t="s">
        <v>2661</v>
      </c>
      <c r="C3947" s="342" t="str">
        <f>("EQ5PO5001PB")</f>
        <v>EQ5PO5001PB</v>
      </c>
      <c r="D3947" s="340">
        <v>15000</v>
      </c>
      <c r="E3947" s="343"/>
    </row>
    <row r="3948" spans="1:5" s="335" customFormat="1" ht="36">
      <c r="A3948" s="342" t="s">
        <v>2662</v>
      </c>
      <c r="B3948" s="342" t="s">
        <v>2662</v>
      </c>
      <c r="C3948" s="342" t="str">
        <f>("EQ5PS0011PB")</f>
        <v>EQ5PS0011PB</v>
      </c>
      <c r="D3948" s="340">
        <v>135</v>
      </c>
      <c r="E3948" s="343"/>
    </row>
    <row r="3949" spans="1:5" s="335" customFormat="1" ht="36">
      <c r="A3949" s="342" t="s">
        <v>2663</v>
      </c>
      <c r="B3949" s="342" t="s">
        <v>2663</v>
      </c>
      <c r="C3949" s="342" t="str">
        <f>("EQ5PS0101PB")</f>
        <v>EQ5PS0101PB</v>
      </c>
      <c r="D3949" s="340">
        <v>1102</v>
      </c>
      <c r="E3949" s="343"/>
    </row>
    <row r="3950" spans="1:5" s="335" customFormat="1" ht="48">
      <c r="A3950" s="342" t="s">
        <v>2664</v>
      </c>
      <c r="B3950" s="342" t="s">
        <v>2664</v>
      </c>
      <c r="C3950" s="342" t="str">
        <f>("EQ5PS01U1PB")</f>
        <v>EQ5PS01U1PB</v>
      </c>
      <c r="D3950" s="340">
        <v>135</v>
      </c>
      <c r="E3950" s="343"/>
    </row>
    <row r="3951" spans="1:5" s="335" customFormat="1" ht="48">
      <c r="A3951" s="342" t="s">
        <v>2665</v>
      </c>
      <c r="B3951" s="342" t="s">
        <v>2665</v>
      </c>
      <c r="C3951" s="342" t="str">
        <f>("EQ5PSU101PB")</f>
        <v>EQ5PSU101PB</v>
      </c>
      <c r="D3951" s="340">
        <v>1102</v>
      </c>
      <c r="E3951" s="343"/>
    </row>
    <row r="3952" spans="1:5" s="335" customFormat="1" ht="48">
      <c r="A3952" s="342" t="s">
        <v>2666</v>
      </c>
      <c r="B3952" s="342" t="s">
        <v>2666</v>
      </c>
      <c r="C3952" s="342" t="str">
        <f>("EQ5RS0011PB")</f>
        <v>EQ5RS0011PB</v>
      </c>
      <c r="D3952" s="340">
        <v>59</v>
      </c>
      <c r="E3952" s="343"/>
    </row>
    <row r="3953" spans="1:5" s="335" customFormat="1" ht="48">
      <c r="A3953" s="342" t="s">
        <v>2667</v>
      </c>
      <c r="B3953" s="342" t="s">
        <v>2667</v>
      </c>
      <c r="C3953" s="342" t="str">
        <f>("EQ5RS0101PB")</f>
        <v>EQ5RS0101PB</v>
      </c>
      <c r="D3953" s="340">
        <v>508</v>
      </c>
      <c r="E3953" s="343"/>
    </row>
    <row r="3954" spans="1:5" s="335" customFormat="1" ht="48">
      <c r="A3954" s="342" t="s">
        <v>2668</v>
      </c>
      <c r="B3954" s="342" t="s">
        <v>2668</v>
      </c>
      <c r="C3954" s="342" t="str">
        <f>("EQ5RS01U1PB")</f>
        <v>EQ5RS01U1PB</v>
      </c>
      <c r="D3954" s="340">
        <v>59</v>
      </c>
      <c r="E3954" s="343"/>
    </row>
    <row r="3955" spans="1:5" s="335" customFormat="1" ht="48">
      <c r="A3955" s="342" t="s">
        <v>2669</v>
      </c>
      <c r="B3955" s="342" t="s">
        <v>2669</v>
      </c>
      <c r="C3955" s="342" t="str">
        <f>("EQ5RSU101PB")</f>
        <v>EQ5RSU101PB</v>
      </c>
      <c r="D3955" s="340">
        <v>508</v>
      </c>
      <c r="E3955" s="343"/>
    </row>
    <row r="3956" spans="1:5" s="335" customFormat="1" ht="60">
      <c r="A3956" s="342" t="s">
        <v>2810</v>
      </c>
      <c r="B3956" s="342" t="s">
        <v>2810</v>
      </c>
      <c r="C3956" s="342" t="str">
        <f>("EQ5SG0251PB")</f>
        <v>EQ5SG0251PB</v>
      </c>
      <c r="D3956" s="340">
        <v>65</v>
      </c>
      <c r="E3956" s="343"/>
    </row>
    <row r="3957" spans="1:5" s="335" customFormat="1" ht="60">
      <c r="A3957" s="342" t="s">
        <v>2811</v>
      </c>
      <c r="B3957" s="342" t="s">
        <v>2811</v>
      </c>
      <c r="C3957" s="342" t="str">
        <f>("EQ5SG1001PB")</f>
        <v>EQ5SG1001PB</v>
      </c>
      <c r="D3957" s="340">
        <v>230</v>
      </c>
      <c r="E3957" s="343"/>
    </row>
    <row r="3958" spans="1:5" s="335" customFormat="1" ht="60">
      <c r="A3958" s="342" t="s">
        <v>2812</v>
      </c>
      <c r="B3958" s="342" t="s">
        <v>2812</v>
      </c>
      <c r="C3958" s="342" t="str">
        <f>("EQ5SG2501PB")</f>
        <v>EQ5SG2501PB</v>
      </c>
      <c r="D3958" s="340">
        <v>500</v>
      </c>
      <c r="E3958" s="343"/>
    </row>
    <row r="3959" spans="1:5" s="335" customFormat="1" ht="48">
      <c r="A3959" s="342" t="s">
        <v>2813</v>
      </c>
      <c r="B3959" s="342" t="s">
        <v>2813</v>
      </c>
      <c r="C3959" s="342" t="str">
        <f>("EQ5SU0251PB")</f>
        <v>EQ5SU0251PB</v>
      </c>
      <c r="D3959" s="340">
        <v>65</v>
      </c>
      <c r="E3959" s="343"/>
    </row>
    <row r="3960" spans="1:5" s="335" customFormat="1" ht="48">
      <c r="A3960" s="342" t="s">
        <v>2814</v>
      </c>
      <c r="B3960" s="342" t="s">
        <v>2814</v>
      </c>
      <c r="C3960" s="342" t="str">
        <f>("EQ5SU1001PB")</f>
        <v>EQ5SU1001PB</v>
      </c>
      <c r="D3960" s="340">
        <v>230</v>
      </c>
      <c r="E3960" s="343"/>
    </row>
    <row r="3961" spans="1:5" s="335" customFormat="1" ht="48">
      <c r="A3961" s="342" t="s">
        <v>2815</v>
      </c>
      <c r="B3961" s="342" t="s">
        <v>2815</v>
      </c>
      <c r="C3961" s="342" t="str">
        <f>("EQ5SU2501PB")</f>
        <v>EQ5SU2501PB</v>
      </c>
      <c r="D3961" s="340">
        <v>500</v>
      </c>
      <c r="E3961" s="343"/>
    </row>
    <row r="3962" spans="1:5" s="335" customFormat="1" ht="48">
      <c r="A3962" s="342" t="s">
        <v>2670</v>
      </c>
      <c r="B3962" s="342" t="s">
        <v>2670</v>
      </c>
      <c r="C3962" s="342" t="str">
        <f>("EQ5WR0011PB")</f>
        <v>EQ5WR0011PB</v>
      </c>
      <c r="D3962" s="340">
        <v>28</v>
      </c>
      <c r="E3962" s="343"/>
    </row>
    <row r="3963" spans="1:5" s="335" customFormat="1" ht="48">
      <c r="A3963" s="342" t="s">
        <v>2671</v>
      </c>
      <c r="B3963" s="342" t="s">
        <v>2671</v>
      </c>
      <c r="C3963" s="342" t="str">
        <f>("EQ5WR0101PB")</f>
        <v>EQ5WR0101PB</v>
      </c>
      <c r="D3963" s="340">
        <v>223</v>
      </c>
      <c r="E3963" s="343"/>
    </row>
    <row r="3964" spans="1:5" s="335" customFormat="1" ht="60">
      <c r="A3964" s="342" t="s">
        <v>2672</v>
      </c>
      <c r="B3964" s="342" t="s">
        <v>2672</v>
      </c>
      <c r="C3964" s="342" t="str">
        <f>("EQ5WR01U1PB")</f>
        <v>EQ5WR01U1PB</v>
      </c>
      <c r="D3964" s="340">
        <v>28</v>
      </c>
      <c r="E3964" s="343"/>
    </row>
    <row r="3965" spans="1:5" s="335" customFormat="1" ht="60">
      <c r="A3965" s="342" t="s">
        <v>2673</v>
      </c>
      <c r="B3965" s="342" t="s">
        <v>2673</v>
      </c>
      <c r="C3965" s="342" t="str">
        <f>("EQ5WR0CU1PB")</f>
        <v>EQ5WR0CU1PB</v>
      </c>
      <c r="D3965" s="340">
        <v>1695</v>
      </c>
      <c r="E3965" s="343"/>
    </row>
    <row r="3966" spans="1:5" s="335" customFormat="1" ht="60">
      <c r="A3966" s="342" t="s">
        <v>2674</v>
      </c>
      <c r="B3966" s="342" t="s">
        <v>2674</v>
      </c>
      <c r="C3966" s="342" t="str">
        <f>("EQ5WR0DU1PB")</f>
        <v>EQ5WR0DU1PB</v>
      </c>
      <c r="D3966" s="340">
        <v>7627</v>
      </c>
      <c r="E3966" s="343"/>
    </row>
    <row r="3967" spans="1:5" s="335" customFormat="1" ht="60">
      <c r="A3967" s="342" t="s">
        <v>2675</v>
      </c>
      <c r="B3967" s="342" t="s">
        <v>2675</v>
      </c>
      <c r="C3967" s="342" t="str">
        <f>("EQ5WR0XU1PB")</f>
        <v>EQ5WR0XU1PB</v>
      </c>
      <c r="D3967" s="340">
        <v>223</v>
      </c>
      <c r="E3967" s="343"/>
    </row>
    <row r="3968" spans="1:5" s="335" customFormat="1" ht="48">
      <c r="A3968" s="342" t="s">
        <v>2676</v>
      </c>
      <c r="B3968" s="342" t="s">
        <v>2676</v>
      </c>
      <c r="C3968" s="342" t="str">
        <f>("EQ5WR1001PB")</f>
        <v>EQ5WR1001PB</v>
      </c>
      <c r="D3968" s="340">
        <v>1695</v>
      </c>
      <c r="E3968" s="343"/>
    </row>
    <row r="3969" spans="1:5" s="335" customFormat="1" ht="48">
      <c r="A3969" s="342" t="s">
        <v>2677</v>
      </c>
      <c r="B3969" s="342" t="s">
        <v>2677</v>
      </c>
      <c r="C3969" s="342" t="str">
        <f>("EQ5WR5001PB")</f>
        <v>EQ5WR5001PB</v>
      </c>
      <c r="D3969" s="340">
        <v>7627</v>
      </c>
      <c r="E3969" s="343"/>
    </row>
    <row r="3970" spans="1:5" s="335" customFormat="1" ht="48">
      <c r="A3970" s="342" t="s">
        <v>2678</v>
      </c>
      <c r="B3970" s="342" t="s">
        <v>2678</v>
      </c>
      <c r="C3970" s="342" t="str">
        <f>("EQ5WS0101PB")</f>
        <v>EQ5WS0101PB</v>
      </c>
      <c r="D3970" s="340">
        <v>51</v>
      </c>
      <c r="E3970" s="343"/>
    </row>
    <row r="3971" spans="1:5" s="335" customFormat="1" ht="48">
      <c r="A3971" s="342" t="s">
        <v>2679</v>
      </c>
      <c r="B3971" s="342" t="s">
        <v>2679</v>
      </c>
      <c r="C3971" s="342" t="str">
        <f>("EQ5WS01K1PB")</f>
        <v>EQ5WS01K1PB</v>
      </c>
      <c r="D3971" s="340">
        <v>1017</v>
      </c>
      <c r="E3971" s="343"/>
    </row>
    <row r="3972" spans="1:5" s="335" customFormat="1" ht="48">
      <c r="A3972" s="342" t="s">
        <v>2680</v>
      </c>
      <c r="B3972" s="342" t="s">
        <v>2680</v>
      </c>
      <c r="C3972" s="342" t="str">
        <f>("EQ5WS1001PB")</f>
        <v>EQ5WS1001PB</v>
      </c>
      <c r="D3972" s="340">
        <v>237</v>
      </c>
      <c r="E3972" s="343"/>
    </row>
    <row r="3973" spans="1:5" s="335" customFormat="1" ht="48">
      <c r="A3973" s="342" t="s">
        <v>2681</v>
      </c>
      <c r="B3973" s="342" t="s">
        <v>2681</v>
      </c>
      <c r="C3973" s="342" t="str">
        <f>("EQ5WU0101PB")</f>
        <v>EQ5WU0101PB</v>
      </c>
      <c r="D3973" s="340">
        <v>51</v>
      </c>
      <c r="E3973" s="343"/>
    </row>
    <row r="3974" spans="1:5" s="335" customFormat="1" ht="48">
      <c r="A3974" s="342" t="s">
        <v>2682</v>
      </c>
      <c r="B3974" s="342" t="s">
        <v>2682</v>
      </c>
      <c r="C3974" s="342" t="str">
        <f>("EQ5WU01K1PB ")</f>
        <v xml:space="preserve">EQ5WU01K1PB </v>
      </c>
      <c r="D3974" s="340">
        <v>1017</v>
      </c>
      <c r="E3974" s="343"/>
    </row>
    <row r="3975" spans="1:5" s="335" customFormat="1" ht="48">
      <c r="A3975" s="342" t="s">
        <v>2683</v>
      </c>
      <c r="B3975" s="342" t="s">
        <v>2683</v>
      </c>
      <c r="C3975" s="342" t="str">
        <f>("EQ5WU1001PB")</f>
        <v>EQ5WU1001PB</v>
      </c>
      <c r="D3975" s="340">
        <v>237</v>
      </c>
      <c r="E3975" s="343"/>
    </row>
    <row r="3976" spans="1:5" s="335" customFormat="1" ht="36">
      <c r="A3976" s="342" t="s">
        <v>2684</v>
      </c>
      <c r="B3976" s="342" t="s">
        <v>2684</v>
      </c>
      <c r="C3976" s="342" t="str">
        <f>("PC1CFE001PB")</f>
        <v>PC1CFE001PB</v>
      </c>
      <c r="D3976" s="340">
        <v>70</v>
      </c>
      <c r="E3976" s="343"/>
    </row>
    <row r="3977" spans="1:5" s="335" customFormat="1" ht="48">
      <c r="A3977" s="342" t="s">
        <v>2685</v>
      </c>
      <c r="B3977" s="342" t="s">
        <v>2685</v>
      </c>
      <c r="C3977" s="342" t="str">
        <f>("PC1CFME01PB")</f>
        <v>PC1CFME01PB</v>
      </c>
      <c r="D3977" s="340">
        <v>80</v>
      </c>
      <c r="E3977" s="343"/>
    </row>
    <row r="3978" spans="1:5" s="335" customFormat="1" ht="48">
      <c r="A3978" s="342" t="s">
        <v>2686</v>
      </c>
      <c r="B3978" s="342" t="s">
        <v>2686</v>
      </c>
      <c r="C3978" s="342" t="str">
        <f>("PC1CFX001PB")</f>
        <v>PC1CFX001PB</v>
      </c>
      <c r="D3978" s="340">
        <v>95</v>
      </c>
      <c r="E3978" s="343"/>
    </row>
    <row r="3979" spans="1:5" s="335" customFormat="1" ht="48">
      <c r="A3979" s="342" t="s">
        <v>2687</v>
      </c>
      <c r="B3979" s="342" t="s">
        <v>2687</v>
      </c>
      <c r="C3979" s="342" t="str">
        <f>("PC1CFY001PB")</f>
        <v>PC1CFY001PB</v>
      </c>
      <c r="D3979" s="340">
        <v>105</v>
      </c>
      <c r="E3979" s="343"/>
    </row>
    <row r="3980" spans="1:5" s="335" customFormat="1" ht="36">
      <c r="A3980" s="342" t="s">
        <v>2688</v>
      </c>
      <c r="B3980" s="342" t="s">
        <v>2688</v>
      </c>
      <c r="C3980" s="342" t="str">
        <f>("PC1CFZ001PB")</f>
        <v>PC1CFZ001PB</v>
      </c>
      <c r="D3980" s="340">
        <v>100</v>
      </c>
      <c r="E3980" s="343"/>
    </row>
    <row r="3981" spans="1:5" s="335" customFormat="1" ht="48">
      <c r="A3981" s="342" t="s">
        <v>2689</v>
      </c>
      <c r="B3981" s="342" t="s">
        <v>2689</v>
      </c>
      <c r="C3981" s="342" t="str">
        <f>("PC3CFE001PB")</f>
        <v>PC3CFE001PB</v>
      </c>
      <c r="D3981" s="340">
        <v>95</v>
      </c>
      <c r="E3981" s="343"/>
    </row>
    <row r="3982" spans="1:5" s="335" customFormat="1" ht="48">
      <c r="A3982" s="342" t="s">
        <v>2690</v>
      </c>
      <c r="B3982" s="342" t="s">
        <v>2690</v>
      </c>
      <c r="C3982" s="342" t="str">
        <f>("PC3CFME01PB")</f>
        <v>PC3CFME01PB</v>
      </c>
      <c r="D3982" s="340">
        <v>100</v>
      </c>
      <c r="E3982" s="343"/>
    </row>
    <row r="3983" spans="1:5" s="335" customFormat="1" ht="60">
      <c r="A3983" s="342" t="s">
        <v>2691</v>
      </c>
      <c r="B3983" s="342" t="s">
        <v>2691</v>
      </c>
      <c r="C3983" s="342" t="str">
        <f>("PC3CFX001PB")</f>
        <v>PC3CFX001PB</v>
      </c>
      <c r="D3983" s="340">
        <v>120</v>
      </c>
      <c r="E3983" s="343"/>
    </row>
    <row r="3984" spans="1:5" s="335" customFormat="1" ht="48">
      <c r="A3984" s="342" t="s">
        <v>2692</v>
      </c>
      <c r="B3984" s="342" t="s">
        <v>2692</v>
      </c>
      <c r="C3984" s="342" t="str">
        <f>("PC3CFY001PB")</f>
        <v>PC3CFY001PB</v>
      </c>
      <c r="D3984" s="340">
        <v>135</v>
      </c>
      <c r="E3984" s="343"/>
    </row>
    <row r="3985" spans="1:5" s="335" customFormat="1" ht="48">
      <c r="A3985" s="342" t="s">
        <v>2693</v>
      </c>
      <c r="B3985" s="342" t="s">
        <v>2693</v>
      </c>
      <c r="C3985" s="342" t="str">
        <f>("PC3CFZ001PB")</f>
        <v>PC3CFZ001PB</v>
      </c>
      <c r="D3985" s="340">
        <v>120</v>
      </c>
      <c r="E3985" s="343"/>
    </row>
    <row r="3986" spans="1:5" s="335" customFormat="1" ht="12.75">
      <c r="A3986" s="344"/>
      <c r="B3986" s="343"/>
      <c r="C3986" s="343"/>
      <c r="D3986" s="395"/>
      <c r="E3986" s="343"/>
    </row>
    <row r="3987" spans="1:5" s="335" customFormat="1" ht="15" customHeight="1">
      <c r="A3987" s="345"/>
      <c r="B3987" s="404" t="s">
        <v>2816</v>
      </c>
      <c r="C3987" s="404"/>
      <c r="D3987" s="404"/>
      <c r="E3987" s="404"/>
    </row>
    <row r="3988" spans="1:5" s="335" customFormat="1" ht="25.5">
      <c r="A3988" s="346" t="s">
        <v>789</v>
      </c>
      <c r="B3988" s="346" t="s">
        <v>409</v>
      </c>
      <c r="C3988" s="346" t="s">
        <v>26</v>
      </c>
      <c r="D3988" s="337" t="s">
        <v>6425</v>
      </c>
      <c r="E3988" s="343"/>
    </row>
    <row r="3989" spans="1:5" s="335" customFormat="1" ht="24">
      <c r="A3989" s="342" t="s">
        <v>2817</v>
      </c>
      <c r="B3989" s="342"/>
      <c r="C3989" s="342" t="str">
        <f>("EquitracPro5")</f>
        <v>EquitracPro5</v>
      </c>
      <c r="D3989" s="340">
        <v>0</v>
      </c>
      <c r="E3989" s="343"/>
    </row>
    <row r="3990" spans="1:5" s="335" customFormat="1" ht="12.75">
      <c r="A3990" s="402" t="s">
        <v>1587</v>
      </c>
      <c r="B3990" s="402"/>
      <c r="C3990" s="402"/>
      <c r="D3990" s="402"/>
      <c r="E3990" s="343"/>
    </row>
    <row r="3991" spans="1:5" s="335" customFormat="1" ht="24">
      <c r="A3991" s="342" t="s">
        <v>2818</v>
      </c>
      <c r="B3991" s="342" t="s">
        <v>2819</v>
      </c>
      <c r="C3991" s="342" t="str">
        <f>("7640002335")</f>
        <v>7640002335</v>
      </c>
      <c r="D3991" s="340">
        <v>2995</v>
      </c>
      <c r="E3991" s="343"/>
    </row>
    <row r="3992" spans="1:5" s="335" customFormat="1" ht="24">
      <c r="A3992" s="342" t="s">
        <v>2820</v>
      </c>
      <c r="B3992" s="342" t="s">
        <v>2821</v>
      </c>
      <c r="C3992" s="342" t="str">
        <f>("7640002336")</f>
        <v>7640002336</v>
      </c>
      <c r="D3992" s="340">
        <v>5995</v>
      </c>
      <c r="E3992" s="343"/>
    </row>
    <row r="3993" spans="1:5" s="335" customFormat="1" ht="24">
      <c r="A3993" s="342" t="s">
        <v>2822</v>
      </c>
      <c r="B3993" s="342" t="s">
        <v>2823</v>
      </c>
      <c r="C3993" s="342" t="str">
        <f>("7640002337")</f>
        <v>7640002337</v>
      </c>
      <c r="D3993" s="340">
        <v>22995</v>
      </c>
      <c r="E3993" s="343"/>
    </row>
    <row r="3994" spans="1:5" s="335" customFormat="1" ht="12.75">
      <c r="A3994" s="403" t="s">
        <v>2330</v>
      </c>
      <c r="B3994" s="403"/>
      <c r="C3994" s="403"/>
      <c r="D3994" s="403"/>
      <c r="E3994" s="343"/>
    </row>
    <row r="3995" spans="1:5" s="335" customFormat="1" ht="48">
      <c r="A3995" s="342" t="s">
        <v>2824</v>
      </c>
      <c r="B3995" s="342" t="s">
        <v>2824</v>
      </c>
      <c r="C3995" s="342" t="s">
        <v>6215</v>
      </c>
      <c r="D3995" s="340">
        <v>1</v>
      </c>
      <c r="E3995" s="343"/>
    </row>
    <row r="3996" spans="1:5" s="335" customFormat="1" ht="48">
      <c r="A3996" s="342" t="s">
        <v>2825</v>
      </c>
      <c r="B3996" s="342" t="s">
        <v>2826</v>
      </c>
      <c r="C3996" s="342" t="str">
        <f>("7640002222")</f>
        <v>7640002222</v>
      </c>
      <c r="D3996" s="340">
        <v>0</v>
      </c>
      <c r="E3996" s="343"/>
    </row>
    <row r="3997" spans="1:5" s="335" customFormat="1" ht="24">
      <c r="A3997" s="342" t="s">
        <v>2827</v>
      </c>
      <c r="B3997" s="342" t="s">
        <v>2828</v>
      </c>
      <c r="C3997" s="342" t="s">
        <v>6216</v>
      </c>
      <c r="D3997" s="340">
        <v>1</v>
      </c>
      <c r="E3997" s="343"/>
    </row>
    <row r="3998" spans="1:5" s="335" customFormat="1" ht="36">
      <c r="A3998" s="342" t="s">
        <v>2829</v>
      </c>
      <c r="B3998" s="342" t="s">
        <v>2830</v>
      </c>
      <c r="C3998" s="342" t="str">
        <f>("7640002398")</f>
        <v>7640002398</v>
      </c>
      <c r="D3998" s="340">
        <v>1</v>
      </c>
      <c r="E3998" s="343"/>
    </row>
    <row r="3999" spans="1:5" s="335" customFormat="1" ht="24">
      <c r="A3999" s="342" t="s">
        <v>2831</v>
      </c>
      <c r="B3999" s="342" t="s">
        <v>2832</v>
      </c>
      <c r="C3999" s="342" t="str">
        <f>("7640002399")</f>
        <v>7640002399</v>
      </c>
      <c r="D3999" s="340">
        <v>0</v>
      </c>
      <c r="E3999" s="343"/>
    </row>
    <row r="4000" spans="1:5" s="335" customFormat="1" ht="36">
      <c r="A4000" s="342" t="s">
        <v>2833</v>
      </c>
      <c r="B4000" s="342" t="s">
        <v>2834</v>
      </c>
      <c r="C4000" s="342" t="str">
        <f>("7640002400")</f>
        <v>7640002400</v>
      </c>
      <c r="D4000" s="340">
        <v>0</v>
      </c>
      <c r="E4000" s="343"/>
    </row>
    <row r="4001" spans="1:5" s="335" customFormat="1" ht="36">
      <c r="A4001" s="342" t="s">
        <v>2835</v>
      </c>
      <c r="B4001" s="342" t="s">
        <v>2836</v>
      </c>
      <c r="C4001" s="342" t="str">
        <f>("7640002401")</f>
        <v>7640002401</v>
      </c>
      <c r="D4001" s="340">
        <v>0</v>
      </c>
      <c r="E4001" s="343"/>
    </row>
    <row r="4002" spans="1:5" s="335" customFormat="1" ht="24">
      <c r="A4002" s="342" t="s">
        <v>2837</v>
      </c>
      <c r="B4002" s="342" t="s">
        <v>2838</v>
      </c>
      <c r="C4002" s="342" t="str">
        <f>("7640002402")</f>
        <v>7640002402</v>
      </c>
      <c r="D4002" s="340">
        <v>0</v>
      </c>
      <c r="E4002" s="343"/>
    </row>
    <row r="4003" spans="1:5" s="335" customFormat="1" ht="36">
      <c r="A4003" s="342" t="s">
        <v>2331</v>
      </c>
      <c r="B4003" s="342" t="s">
        <v>2332</v>
      </c>
      <c r="C4003" s="342" t="str">
        <f>("EQINS1HR")</f>
        <v>EQINS1HR</v>
      </c>
      <c r="D4003" s="340">
        <v>200</v>
      </c>
      <c r="E4003" s="343"/>
    </row>
    <row r="4004" spans="1:5" s="335" customFormat="1" ht="12.75">
      <c r="A4004" s="403" t="s">
        <v>2839</v>
      </c>
      <c r="B4004" s="403"/>
      <c r="C4004" s="403"/>
      <c r="D4004" s="403"/>
      <c r="E4004" s="343"/>
    </row>
    <row r="4005" spans="1:5" s="335" customFormat="1" ht="60">
      <c r="A4005" s="342" t="s">
        <v>2840</v>
      </c>
      <c r="B4005" s="342" t="s">
        <v>2841</v>
      </c>
      <c r="C4005" s="342" t="str">
        <f>("7640002374")</f>
        <v>7640002374</v>
      </c>
      <c r="D4005" s="340">
        <v>99</v>
      </c>
      <c r="E4005" s="343"/>
    </row>
    <row r="4006" spans="1:5" s="335" customFormat="1" ht="36">
      <c r="A4006" s="342" t="s">
        <v>2842</v>
      </c>
      <c r="B4006" s="342" t="s">
        <v>2843</v>
      </c>
      <c r="C4006" s="342" t="str">
        <f>("7640002375")</f>
        <v>7640002375</v>
      </c>
      <c r="D4006" s="340">
        <v>1</v>
      </c>
      <c r="E4006" s="343"/>
    </row>
    <row r="4007" spans="1:5" s="335" customFormat="1" ht="36">
      <c r="A4007" s="342" t="s">
        <v>2844</v>
      </c>
      <c r="B4007" s="342" t="s">
        <v>2845</v>
      </c>
      <c r="C4007" s="342" t="str">
        <f>("7640002376")</f>
        <v>7640002376</v>
      </c>
      <c r="D4007" s="340">
        <v>1</v>
      </c>
      <c r="E4007" s="343"/>
    </row>
    <row r="4008" spans="1:5" s="335" customFormat="1" ht="36">
      <c r="A4008" s="342" t="s">
        <v>2846</v>
      </c>
      <c r="B4008" s="342" t="s">
        <v>2847</v>
      </c>
      <c r="C4008" s="342" t="str">
        <f>("7640002377")</f>
        <v>7640002377</v>
      </c>
      <c r="D4008" s="340">
        <v>1</v>
      </c>
      <c r="E4008" s="343"/>
    </row>
    <row r="4009" spans="1:5" s="335" customFormat="1" ht="24">
      <c r="A4009" s="342" t="s">
        <v>2848</v>
      </c>
      <c r="B4009" s="342" t="s">
        <v>2848</v>
      </c>
      <c r="C4009" s="342" t="str">
        <f>("7640016083")</f>
        <v>7640016083</v>
      </c>
      <c r="D4009" s="340">
        <v>450</v>
      </c>
      <c r="E4009" s="343"/>
    </row>
    <row r="4010" spans="1:5" s="335" customFormat="1" ht="12.75">
      <c r="A4010" s="403" t="s">
        <v>2849</v>
      </c>
      <c r="B4010" s="403"/>
      <c r="C4010" s="403"/>
      <c r="D4010" s="403"/>
      <c r="E4010" s="343"/>
    </row>
    <row r="4011" spans="1:5" s="335" customFormat="1" ht="48">
      <c r="A4011" s="342" t="s">
        <v>2850</v>
      </c>
      <c r="B4011" s="342" t="s">
        <v>2851</v>
      </c>
      <c r="C4011" s="342" t="str">
        <f>("7640001776")</f>
        <v>7640001776</v>
      </c>
      <c r="D4011" s="340">
        <v>1595</v>
      </c>
      <c r="E4011" s="343"/>
    </row>
    <row r="4012" spans="1:5" s="335" customFormat="1" ht="36">
      <c r="A4012" s="342" t="s">
        <v>2852</v>
      </c>
      <c r="B4012" s="342" t="s">
        <v>2853</v>
      </c>
      <c r="C4012" s="342" t="str">
        <f>("7640001777")</f>
        <v>7640001777</v>
      </c>
      <c r="D4012" s="340">
        <v>1295</v>
      </c>
      <c r="E4012" s="343"/>
    </row>
    <row r="4013" spans="1:5" s="335" customFormat="1" ht="36">
      <c r="A4013" s="342" t="s">
        <v>2854</v>
      </c>
      <c r="B4013" s="342" t="s">
        <v>2855</v>
      </c>
      <c r="C4013" s="342" t="str">
        <f>("7640001778")</f>
        <v>7640001778</v>
      </c>
      <c r="D4013" s="340">
        <v>4995</v>
      </c>
      <c r="E4013" s="343"/>
    </row>
    <row r="4014" spans="1:5" s="335" customFormat="1" ht="48">
      <c r="A4014" s="342" t="s">
        <v>2856</v>
      </c>
      <c r="B4014" s="342" t="s">
        <v>2857</v>
      </c>
      <c r="C4014" s="342" t="str">
        <f>("7640001779")</f>
        <v>7640001779</v>
      </c>
      <c r="D4014" s="340">
        <v>7995</v>
      </c>
      <c r="E4014" s="343"/>
    </row>
    <row r="4015" spans="1:5" s="335" customFormat="1" ht="48">
      <c r="A4015" s="342" t="s">
        <v>2858</v>
      </c>
      <c r="B4015" s="342" t="s">
        <v>2859</v>
      </c>
      <c r="C4015" s="342" t="str">
        <f>("7640001780")</f>
        <v>7640001780</v>
      </c>
      <c r="D4015" s="340">
        <v>34995</v>
      </c>
      <c r="E4015" s="343"/>
    </row>
    <row r="4016" spans="1:5" s="335" customFormat="1" ht="36">
      <c r="A4016" s="342" t="s">
        <v>2860</v>
      </c>
      <c r="B4016" s="342" t="s">
        <v>2861</v>
      </c>
      <c r="C4016" s="342" t="str">
        <f>("7640001781")</f>
        <v>7640001781</v>
      </c>
      <c r="D4016" s="340">
        <v>1250</v>
      </c>
      <c r="E4016" s="343"/>
    </row>
    <row r="4017" spans="1:5" s="335" customFormat="1" ht="36">
      <c r="A4017" s="342" t="s">
        <v>2862</v>
      </c>
      <c r="B4017" s="342" t="s">
        <v>2863</v>
      </c>
      <c r="C4017" s="342" t="str">
        <f>("7640001782")</f>
        <v>7640001782</v>
      </c>
      <c r="D4017" s="340">
        <v>100</v>
      </c>
      <c r="E4017" s="343"/>
    </row>
    <row r="4018" spans="1:5" s="335" customFormat="1" ht="36">
      <c r="A4018" s="342" t="s">
        <v>2864</v>
      </c>
      <c r="B4018" s="342" t="s">
        <v>2865</v>
      </c>
      <c r="C4018" s="342" t="str">
        <f>("7640001783")</f>
        <v>7640001783</v>
      </c>
      <c r="D4018" s="340">
        <v>595</v>
      </c>
      <c r="E4018" s="343"/>
    </row>
    <row r="4019" spans="1:5" s="335" customFormat="1" ht="36">
      <c r="A4019" s="342" t="s">
        <v>2866</v>
      </c>
      <c r="B4019" s="342" t="s">
        <v>2867</v>
      </c>
      <c r="C4019" s="342" t="str">
        <f>("7640001834")</f>
        <v>7640001834</v>
      </c>
      <c r="D4019" s="340">
        <v>995</v>
      </c>
      <c r="E4019" s="343"/>
    </row>
    <row r="4020" spans="1:5" s="335" customFormat="1" ht="60">
      <c r="A4020" s="342" t="s">
        <v>2868</v>
      </c>
      <c r="B4020" s="342" t="s">
        <v>2869</v>
      </c>
      <c r="C4020" s="342" t="str">
        <f>("7640002405")</f>
        <v>7640002405</v>
      </c>
      <c r="D4020" s="340">
        <v>2695</v>
      </c>
      <c r="E4020" s="343"/>
    </row>
    <row r="4021" spans="1:5" s="335" customFormat="1" ht="12.75">
      <c r="A4021" s="403" t="s">
        <v>2870</v>
      </c>
      <c r="B4021" s="403"/>
      <c r="C4021" s="403"/>
      <c r="D4021" s="403"/>
      <c r="E4021" s="343"/>
    </row>
    <row r="4022" spans="1:5" s="335" customFormat="1" ht="36">
      <c r="A4022" s="342" t="s">
        <v>2871</v>
      </c>
      <c r="B4022" s="342" t="s">
        <v>2872</v>
      </c>
      <c r="C4022" s="342" t="str">
        <f>("7640000525")</f>
        <v>7640000525</v>
      </c>
      <c r="D4022" s="340">
        <v>500</v>
      </c>
      <c r="E4022" s="343"/>
    </row>
    <row r="4023" spans="1:5" s="335" customFormat="1" ht="36">
      <c r="A4023" s="342" t="s">
        <v>2873</v>
      </c>
      <c r="B4023" s="342" t="s">
        <v>2874</v>
      </c>
      <c r="C4023" s="342" t="str">
        <f>("7640000526")</f>
        <v>7640000526</v>
      </c>
      <c r="D4023" s="340">
        <v>2400</v>
      </c>
      <c r="E4023" s="343"/>
    </row>
    <row r="4024" spans="1:5" s="335" customFormat="1" ht="36">
      <c r="A4024" s="342" t="s">
        <v>2875</v>
      </c>
      <c r="B4024" s="342" t="s">
        <v>2876</v>
      </c>
      <c r="C4024" s="342" t="str">
        <f>("7640000527")</f>
        <v>7640000527</v>
      </c>
      <c r="D4024" s="340">
        <v>4500</v>
      </c>
      <c r="E4024" s="343"/>
    </row>
    <row r="4025" spans="1:5" s="335" customFormat="1" ht="36">
      <c r="A4025" s="342" t="s">
        <v>2877</v>
      </c>
      <c r="B4025" s="342" t="s">
        <v>2878</v>
      </c>
      <c r="C4025" s="342" t="str">
        <f>("7640000528")</f>
        <v>7640000528</v>
      </c>
      <c r="D4025" s="340">
        <v>8500</v>
      </c>
      <c r="E4025" s="343"/>
    </row>
    <row r="4026" spans="1:5" s="335" customFormat="1" ht="36">
      <c r="A4026" s="342" t="s">
        <v>2879</v>
      </c>
      <c r="B4026" s="342" t="s">
        <v>2880</v>
      </c>
      <c r="C4026" s="342" t="str">
        <f>("7640000529")</f>
        <v>7640000529</v>
      </c>
      <c r="D4026" s="340">
        <v>12500</v>
      </c>
      <c r="E4026" s="343"/>
    </row>
    <row r="4027" spans="1:5" s="335" customFormat="1" ht="36">
      <c r="A4027" s="342" t="s">
        <v>2881</v>
      </c>
      <c r="B4027" s="342" t="s">
        <v>2882</v>
      </c>
      <c r="C4027" s="342" t="str">
        <f>("7640000530")</f>
        <v>7640000530</v>
      </c>
      <c r="D4027" s="340">
        <v>3500</v>
      </c>
      <c r="E4027" s="343"/>
    </row>
    <row r="4028" spans="1:5" s="335" customFormat="1" ht="36">
      <c r="A4028" s="342" t="s">
        <v>2883</v>
      </c>
      <c r="B4028" s="342" t="s">
        <v>2884</v>
      </c>
      <c r="C4028" s="342" t="str">
        <f>("7640000531")</f>
        <v>7640000531</v>
      </c>
      <c r="D4028" s="340">
        <v>2495</v>
      </c>
      <c r="E4028" s="343"/>
    </row>
    <row r="4029" spans="1:5" s="335" customFormat="1" ht="36">
      <c r="A4029" s="342" t="s">
        <v>2885</v>
      </c>
      <c r="B4029" s="342" t="s">
        <v>2886</v>
      </c>
      <c r="C4029" s="342" t="str">
        <f>("7640000532")</f>
        <v>7640000532</v>
      </c>
      <c r="D4029" s="340">
        <v>1995</v>
      </c>
      <c r="E4029" s="343"/>
    </row>
    <row r="4030" spans="1:5" s="335" customFormat="1" ht="24">
      <c r="A4030" s="342" t="s">
        <v>2887</v>
      </c>
      <c r="B4030" s="342" t="s">
        <v>2888</v>
      </c>
      <c r="C4030" s="342" t="str">
        <f>("7640000533")</f>
        <v>7640000533</v>
      </c>
      <c r="D4030" s="340">
        <v>750</v>
      </c>
      <c r="E4030" s="343"/>
    </row>
    <row r="4031" spans="1:5" s="335" customFormat="1" ht="36">
      <c r="A4031" s="342" t="s">
        <v>2889</v>
      </c>
      <c r="B4031" s="342" t="s">
        <v>2890</v>
      </c>
      <c r="C4031" s="342" t="str">
        <f>("7640000534")</f>
        <v>7640000534</v>
      </c>
      <c r="D4031" s="340">
        <v>750</v>
      </c>
      <c r="E4031" s="343"/>
    </row>
    <row r="4032" spans="1:5" s="335" customFormat="1" ht="36">
      <c r="A4032" s="342" t="s">
        <v>2891</v>
      </c>
      <c r="B4032" s="342" t="s">
        <v>2892</v>
      </c>
      <c r="C4032" s="342" t="str">
        <f>("7640000535")</f>
        <v>7640000535</v>
      </c>
      <c r="D4032" s="340">
        <v>750</v>
      </c>
      <c r="E4032" s="343"/>
    </row>
    <row r="4033" spans="1:5" s="335" customFormat="1" ht="24">
      <c r="A4033" s="342" t="s">
        <v>2893</v>
      </c>
      <c r="B4033" s="342" t="s">
        <v>2894</v>
      </c>
      <c r="C4033" s="342" t="str">
        <f>("7640000536")</f>
        <v>7640000536</v>
      </c>
      <c r="D4033" s="340">
        <v>999</v>
      </c>
      <c r="E4033" s="343"/>
    </row>
    <row r="4034" spans="1:5" s="335" customFormat="1" ht="48">
      <c r="A4034" s="342" t="s">
        <v>2895</v>
      </c>
      <c r="B4034" s="342" t="s">
        <v>2896</v>
      </c>
      <c r="C4034" s="342" t="str">
        <f>("7640000537")</f>
        <v>7640000537</v>
      </c>
      <c r="D4034" s="340">
        <v>750</v>
      </c>
      <c r="E4034" s="343"/>
    </row>
    <row r="4035" spans="1:5" s="335" customFormat="1" ht="48">
      <c r="A4035" s="342" t="s">
        <v>2897</v>
      </c>
      <c r="B4035" s="342" t="s">
        <v>2898</v>
      </c>
      <c r="C4035" s="342" t="str">
        <f>("7640000538")</f>
        <v>7640000538</v>
      </c>
      <c r="D4035" s="340">
        <v>995</v>
      </c>
      <c r="E4035" s="343"/>
    </row>
    <row r="4036" spans="1:5" s="335" customFormat="1" ht="48">
      <c r="A4036" s="342" t="s">
        <v>2899</v>
      </c>
      <c r="B4036" s="342" t="s">
        <v>2900</v>
      </c>
      <c r="C4036" s="342" t="str">
        <f>("7640000539")</f>
        <v>7640000539</v>
      </c>
      <c r="D4036" s="340">
        <v>995</v>
      </c>
      <c r="E4036" s="343"/>
    </row>
    <row r="4037" spans="1:5" s="335" customFormat="1" ht="24">
      <c r="A4037" s="342" t="s">
        <v>2901</v>
      </c>
      <c r="B4037" s="342" t="s">
        <v>2902</v>
      </c>
      <c r="C4037" s="342" t="str">
        <f>("7640000540")</f>
        <v>7640000540</v>
      </c>
      <c r="D4037" s="340">
        <v>15</v>
      </c>
      <c r="E4037" s="343"/>
    </row>
    <row r="4038" spans="1:5" s="335" customFormat="1" ht="24">
      <c r="A4038" s="342" t="s">
        <v>2903</v>
      </c>
      <c r="B4038" s="342" t="s">
        <v>2903</v>
      </c>
      <c r="C4038" s="342" t="str">
        <f>("7640015349")</f>
        <v>7640015349</v>
      </c>
      <c r="D4038" s="340">
        <v>500</v>
      </c>
      <c r="E4038" s="343"/>
    </row>
    <row r="4039" spans="1:5" s="335" customFormat="1" ht="12.75">
      <c r="A4039" s="403" t="s">
        <v>2904</v>
      </c>
      <c r="B4039" s="403"/>
      <c r="C4039" s="403"/>
      <c r="D4039" s="403"/>
      <c r="E4039" s="343"/>
    </row>
    <row r="4040" spans="1:5" s="335" customFormat="1" ht="36">
      <c r="A4040" s="342" t="s">
        <v>2905</v>
      </c>
      <c r="B4040" s="342" t="s">
        <v>2906</v>
      </c>
      <c r="C4040" s="342" t="str">
        <f>("7640002346")</f>
        <v>7640002346</v>
      </c>
      <c r="D4040" s="340">
        <v>5995</v>
      </c>
      <c r="E4040" s="343"/>
    </row>
    <row r="4041" spans="1:5" s="335" customFormat="1" ht="12.75">
      <c r="A4041" s="342" t="s">
        <v>2907</v>
      </c>
      <c r="B4041" s="342" t="s">
        <v>2908</v>
      </c>
      <c r="C4041" s="342" t="str">
        <f>("7640002347")</f>
        <v>7640002347</v>
      </c>
      <c r="D4041" s="340">
        <v>2695</v>
      </c>
      <c r="E4041" s="343"/>
    </row>
    <row r="4042" spans="1:5" s="335" customFormat="1" ht="12.75">
      <c r="A4042" s="342" t="s">
        <v>2909</v>
      </c>
      <c r="B4042" s="342" t="s">
        <v>2910</v>
      </c>
      <c r="C4042" s="342" t="str">
        <f>("7640002348")</f>
        <v>7640002348</v>
      </c>
      <c r="D4042" s="340">
        <v>6995</v>
      </c>
      <c r="E4042" s="343"/>
    </row>
    <row r="4043" spans="1:5" s="335" customFormat="1" ht="12.75">
      <c r="A4043" s="342" t="s">
        <v>2911</v>
      </c>
      <c r="B4043" s="342" t="s">
        <v>2912</v>
      </c>
      <c r="C4043" s="342" t="str">
        <f>("7640002349")</f>
        <v>7640002349</v>
      </c>
      <c r="D4043" s="340">
        <v>8995</v>
      </c>
      <c r="E4043" s="343"/>
    </row>
    <row r="4044" spans="1:5" s="335" customFormat="1" ht="36">
      <c r="A4044" s="342" t="s">
        <v>2913</v>
      </c>
      <c r="B4044" s="342" t="s">
        <v>2914</v>
      </c>
      <c r="C4044" s="342" t="str">
        <f>("7640002350")</f>
        <v>7640002350</v>
      </c>
      <c r="D4044" s="340">
        <v>2000</v>
      </c>
      <c r="E4044" s="343"/>
    </row>
    <row r="4045" spans="1:5" s="335" customFormat="1" ht="24">
      <c r="A4045" s="342" t="s">
        <v>2915</v>
      </c>
      <c r="B4045" s="342" t="s">
        <v>2916</v>
      </c>
      <c r="C4045" s="342" t="str">
        <f>("7640002351")</f>
        <v>7640002351</v>
      </c>
      <c r="D4045" s="340">
        <v>1750</v>
      </c>
      <c r="E4045" s="343"/>
    </row>
    <row r="4046" spans="1:5" s="335" customFormat="1" ht="12.75">
      <c r="A4046" s="342" t="s">
        <v>2917</v>
      </c>
      <c r="B4046" s="342" t="s">
        <v>2918</v>
      </c>
      <c r="C4046" s="342" t="str">
        <f>("7640002352")</f>
        <v>7640002352</v>
      </c>
      <c r="D4046" s="340">
        <v>948</v>
      </c>
      <c r="E4046" s="343"/>
    </row>
    <row r="4047" spans="1:5" s="335" customFormat="1" ht="24">
      <c r="A4047" s="342" t="s">
        <v>2919</v>
      </c>
      <c r="B4047" s="342" t="s">
        <v>2920</v>
      </c>
      <c r="C4047" s="342" t="str">
        <f>("7640002353")</f>
        <v>7640002353</v>
      </c>
      <c r="D4047" s="340">
        <v>79</v>
      </c>
      <c r="E4047" s="343"/>
    </row>
    <row r="4048" spans="1:5" s="335" customFormat="1" ht="24">
      <c r="A4048" s="342" t="s">
        <v>2921</v>
      </c>
      <c r="B4048" s="342" t="s">
        <v>2922</v>
      </c>
      <c r="C4048" s="342" t="str">
        <f>("7640002354")</f>
        <v>7640002354</v>
      </c>
      <c r="D4048" s="340">
        <v>1188</v>
      </c>
      <c r="E4048" s="343"/>
    </row>
    <row r="4049" spans="1:5" s="335" customFormat="1" ht="36">
      <c r="A4049" s="342" t="s">
        <v>2923</v>
      </c>
      <c r="B4049" s="342" t="s">
        <v>2924</v>
      </c>
      <c r="C4049" s="342" t="str">
        <f>("7640002355")</f>
        <v>7640002355</v>
      </c>
      <c r="D4049" s="340">
        <v>99</v>
      </c>
      <c r="E4049" s="343"/>
    </row>
    <row r="4050" spans="1:5" s="335" customFormat="1" ht="12.75">
      <c r="A4050" s="403" t="s">
        <v>2925</v>
      </c>
      <c r="B4050" s="403"/>
      <c r="C4050" s="403"/>
      <c r="D4050" s="403"/>
      <c r="E4050" s="343"/>
    </row>
    <row r="4051" spans="1:5" s="335" customFormat="1" ht="12.75">
      <c r="A4051" s="342" t="s">
        <v>2926</v>
      </c>
      <c r="B4051" s="342" t="s">
        <v>2927</v>
      </c>
      <c r="C4051" s="342" t="str">
        <f>("7640002356")</f>
        <v>7640002356</v>
      </c>
      <c r="D4051" s="340">
        <v>4500</v>
      </c>
      <c r="E4051" s="343"/>
    </row>
    <row r="4052" spans="1:5" s="335" customFormat="1" ht="12.75">
      <c r="A4052" s="342" t="s">
        <v>2928</v>
      </c>
      <c r="B4052" s="342" t="s">
        <v>2929</v>
      </c>
      <c r="C4052" s="342" t="str">
        <f>("7640002357")</f>
        <v>7640002357</v>
      </c>
      <c r="D4052" s="340">
        <v>2500</v>
      </c>
      <c r="E4052" s="343"/>
    </row>
    <row r="4053" spans="1:5" s="335" customFormat="1" ht="12.75">
      <c r="A4053" s="342" t="s">
        <v>2930</v>
      </c>
      <c r="B4053" s="342" t="s">
        <v>2931</v>
      </c>
      <c r="C4053" s="342" t="str">
        <f>("7640002358")</f>
        <v>7640002358</v>
      </c>
      <c r="D4053" s="340">
        <v>3995</v>
      </c>
      <c r="E4053" s="343"/>
    </row>
    <row r="4054" spans="1:5" s="335" customFormat="1" ht="36">
      <c r="A4054" s="342" t="s">
        <v>2932</v>
      </c>
      <c r="B4054" s="342" t="s">
        <v>2933</v>
      </c>
      <c r="C4054" s="342" t="str">
        <f>("7640002359")</f>
        <v>7640002359</v>
      </c>
      <c r="D4054" s="340">
        <v>1495</v>
      </c>
      <c r="E4054" s="343"/>
    </row>
    <row r="4055" spans="1:5" s="335" customFormat="1" ht="36">
      <c r="A4055" s="342" t="s">
        <v>2934</v>
      </c>
      <c r="B4055" s="342" t="s">
        <v>2935</v>
      </c>
      <c r="C4055" s="342" t="str">
        <f>("7640002360")</f>
        <v>7640002360</v>
      </c>
      <c r="D4055" s="340">
        <v>995</v>
      </c>
      <c r="E4055" s="343"/>
    </row>
    <row r="4056" spans="1:5" s="335" customFormat="1" ht="24">
      <c r="A4056" s="342" t="s">
        <v>2936</v>
      </c>
      <c r="B4056" s="342" t="s">
        <v>2937</v>
      </c>
      <c r="C4056" s="342" t="str">
        <f>("7640002361")</f>
        <v>7640002361</v>
      </c>
      <c r="D4056" s="340">
        <v>995</v>
      </c>
      <c r="E4056" s="343"/>
    </row>
    <row r="4057" spans="1:5" s="335" customFormat="1" ht="24">
      <c r="A4057" s="342" t="s">
        <v>2938</v>
      </c>
      <c r="B4057" s="342" t="s">
        <v>2939</v>
      </c>
      <c r="C4057" s="342" t="str">
        <f>("7640002362")</f>
        <v>7640002362</v>
      </c>
      <c r="D4057" s="340">
        <v>3995</v>
      </c>
      <c r="E4057" s="343"/>
    </row>
    <row r="4058" spans="1:5" s="335" customFormat="1" ht="24">
      <c r="A4058" s="342" t="s">
        <v>2940</v>
      </c>
      <c r="B4058" s="342" t="s">
        <v>2941</v>
      </c>
      <c r="C4058" s="342" t="str">
        <f>("7640002363")</f>
        <v>7640002363</v>
      </c>
      <c r="D4058" s="340">
        <v>1500</v>
      </c>
      <c r="E4058" s="343"/>
    </row>
    <row r="4059" spans="1:5" s="335" customFormat="1" ht="24">
      <c r="A4059" s="342" t="s">
        <v>2942</v>
      </c>
      <c r="B4059" s="342" t="s">
        <v>2943</v>
      </c>
      <c r="C4059" s="342" t="str">
        <f>("7640002364")</f>
        <v>7640002364</v>
      </c>
      <c r="D4059" s="340">
        <v>500</v>
      </c>
      <c r="E4059" s="343"/>
    </row>
    <row r="4060" spans="1:5" s="335" customFormat="1" ht="24">
      <c r="A4060" s="342" t="s">
        <v>2944</v>
      </c>
      <c r="B4060" s="342" t="s">
        <v>2945</v>
      </c>
      <c r="C4060" s="342" t="str">
        <f>("7640002365")</f>
        <v>7640002365</v>
      </c>
      <c r="D4060" s="340">
        <v>495</v>
      </c>
      <c r="E4060" s="343"/>
    </row>
    <row r="4061" spans="1:5" s="335" customFormat="1" ht="24">
      <c r="A4061" s="342" t="s">
        <v>2946</v>
      </c>
      <c r="B4061" s="342" t="s">
        <v>2947</v>
      </c>
      <c r="C4061" s="342" t="str">
        <f>("7640002366")</f>
        <v>7640002366</v>
      </c>
      <c r="D4061" s="340">
        <v>100</v>
      </c>
      <c r="E4061" s="343"/>
    </row>
    <row r="4062" spans="1:5" s="335" customFormat="1" ht="12.75">
      <c r="A4062" s="403" t="s">
        <v>2948</v>
      </c>
      <c r="B4062" s="403"/>
      <c r="C4062" s="403"/>
      <c r="D4062" s="403"/>
      <c r="E4062" s="343"/>
    </row>
    <row r="4063" spans="1:5" s="335" customFormat="1" ht="24">
      <c r="A4063" s="342" t="s">
        <v>2949</v>
      </c>
      <c r="B4063" s="342" t="s">
        <v>2950</v>
      </c>
      <c r="C4063" s="342" t="str">
        <f>("7640002338")</f>
        <v>7640002338</v>
      </c>
      <c r="D4063" s="340">
        <v>250</v>
      </c>
      <c r="E4063" s="343"/>
    </row>
    <row r="4064" spans="1:5" s="335" customFormat="1" ht="24">
      <c r="A4064" s="342" t="s">
        <v>2951</v>
      </c>
      <c r="B4064" s="342" t="s">
        <v>2952</v>
      </c>
      <c r="C4064" s="342" t="str">
        <f>("7640002339")</f>
        <v>7640002339</v>
      </c>
      <c r="D4064" s="340">
        <v>1295</v>
      </c>
      <c r="E4064" s="343"/>
    </row>
    <row r="4065" spans="1:5" s="335" customFormat="1" ht="36">
      <c r="A4065" s="342" t="s">
        <v>2953</v>
      </c>
      <c r="B4065" s="342" t="s">
        <v>2954</v>
      </c>
      <c r="C4065" s="342" t="str">
        <f>("7640002340")</f>
        <v>7640002340</v>
      </c>
      <c r="D4065" s="340">
        <v>4995</v>
      </c>
      <c r="E4065" s="343"/>
    </row>
    <row r="4066" spans="1:5" s="335" customFormat="1" ht="24">
      <c r="A4066" s="342" t="s">
        <v>2955</v>
      </c>
      <c r="B4066" s="342" t="s">
        <v>2956</v>
      </c>
      <c r="C4066" s="342" t="str">
        <f>("7640002341")</f>
        <v>7640002341</v>
      </c>
      <c r="D4066" s="340">
        <v>7995</v>
      </c>
      <c r="E4066" s="343"/>
    </row>
    <row r="4067" spans="1:5" s="335" customFormat="1" ht="24">
      <c r="A4067" s="342" t="s">
        <v>2957</v>
      </c>
      <c r="B4067" s="342" t="s">
        <v>2958</v>
      </c>
      <c r="C4067" s="342" t="str">
        <f>("7640002342")</f>
        <v>7640002342</v>
      </c>
      <c r="D4067" s="340">
        <v>34995</v>
      </c>
      <c r="E4067" s="343"/>
    </row>
    <row r="4068" spans="1:5" s="335" customFormat="1" ht="24">
      <c r="A4068" s="342" t="s">
        <v>2959</v>
      </c>
      <c r="B4068" s="342" t="s">
        <v>2960</v>
      </c>
      <c r="C4068" s="342" t="str">
        <f>("7640002343")</f>
        <v>7640002343</v>
      </c>
      <c r="D4068" s="340">
        <v>64994</v>
      </c>
      <c r="E4068" s="343"/>
    </row>
    <row r="4069" spans="1:5" s="335" customFormat="1" ht="24">
      <c r="A4069" s="342" t="s">
        <v>2961</v>
      </c>
      <c r="B4069" s="342" t="s">
        <v>2962</v>
      </c>
      <c r="C4069" s="342" t="str">
        <f>("7640002344")</f>
        <v>7640002344</v>
      </c>
      <c r="D4069" s="340">
        <v>1250</v>
      </c>
      <c r="E4069" s="343"/>
    </row>
    <row r="4070" spans="1:5" s="335" customFormat="1" ht="12.75">
      <c r="A4070" s="342" t="s">
        <v>2963</v>
      </c>
      <c r="B4070" s="342" t="s">
        <v>2964</v>
      </c>
      <c r="C4070" s="342" t="str">
        <f>("7640002345")</f>
        <v>7640002345</v>
      </c>
      <c r="D4070" s="340">
        <v>695</v>
      </c>
      <c r="E4070" s="343"/>
    </row>
    <row r="4071" spans="1:5" s="335" customFormat="1" ht="12.75">
      <c r="A4071" s="403" t="s">
        <v>2965</v>
      </c>
      <c r="B4071" s="403"/>
      <c r="C4071" s="403"/>
      <c r="D4071" s="403"/>
      <c r="E4071" s="343"/>
    </row>
    <row r="4072" spans="1:5" s="335" customFormat="1" ht="36">
      <c r="A4072" s="342" t="s">
        <v>2966</v>
      </c>
      <c r="B4072" s="342" t="s">
        <v>2967</v>
      </c>
      <c r="C4072" s="342" t="str">
        <f>("7640000541")</f>
        <v>7640000541</v>
      </c>
      <c r="D4072" s="340">
        <v>2495</v>
      </c>
      <c r="E4072" s="343"/>
    </row>
    <row r="4073" spans="1:5" s="335" customFormat="1" ht="36">
      <c r="A4073" s="342" t="s">
        <v>2968</v>
      </c>
      <c r="B4073" s="342" t="s">
        <v>2969</v>
      </c>
      <c r="C4073" s="342" t="str">
        <f>("7640000542")</f>
        <v>7640000542</v>
      </c>
      <c r="D4073" s="340">
        <v>4495</v>
      </c>
      <c r="E4073" s="343"/>
    </row>
    <row r="4074" spans="1:5" s="335" customFormat="1" ht="36">
      <c r="A4074" s="342" t="s">
        <v>2970</v>
      </c>
      <c r="B4074" s="342" t="s">
        <v>2971</v>
      </c>
      <c r="C4074" s="342" t="str">
        <f>("7640000543")</f>
        <v>7640000543</v>
      </c>
      <c r="D4074" s="340">
        <v>6495</v>
      </c>
      <c r="E4074" s="343"/>
    </row>
    <row r="4075" spans="1:5" s="335" customFormat="1" ht="36">
      <c r="A4075" s="342" t="s">
        <v>2972</v>
      </c>
      <c r="B4075" s="342" t="s">
        <v>2973</v>
      </c>
      <c r="C4075" s="342" t="str">
        <f>("7640000544")</f>
        <v>7640000544</v>
      </c>
      <c r="D4075" s="340">
        <v>8495</v>
      </c>
      <c r="E4075" s="343"/>
    </row>
    <row r="4076" spans="1:5" s="335" customFormat="1" ht="36">
      <c r="A4076" s="342" t="s">
        <v>2974</v>
      </c>
      <c r="B4076" s="342" t="s">
        <v>2975</v>
      </c>
      <c r="C4076" s="342" t="str">
        <f>("7640000545")</f>
        <v>7640000545</v>
      </c>
      <c r="D4076" s="340">
        <v>12495</v>
      </c>
      <c r="E4076" s="343"/>
    </row>
    <row r="4077" spans="1:5" s="335" customFormat="1" ht="36">
      <c r="A4077" s="342" t="s">
        <v>2976</v>
      </c>
      <c r="B4077" s="342" t="s">
        <v>2977</v>
      </c>
      <c r="C4077" s="342" t="str">
        <f>("7640000546")</f>
        <v>7640000546</v>
      </c>
      <c r="D4077" s="340">
        <v>948</v>
      </c>
      <c r="E4077" s="343"/>
    </row>
    <row r="4078" spans="1:5" s="335" customFormat="1" ht="48">
      <c r="A4078" s="342" t="s">
        <v>2978</v>
      </c>
      <c r="B4078" s="342" t="s">
        <v>2979</v>
      </c>
      <c r="C4078" s="342" t="str">
        <f>("7640000547")</f>
        <v>7640000547</v>
      </c>
      <c r="D4078" s="340">
        <v>1188</v>
      </c>
      <c r="E4078" s="343"/>
    </row>
    <row r="4079" spans="1:5" s="335" customFormat="1" ht="36">
      <c r="A4079" s="342" t="s">
        <v>2980</v>
      </c>
      <c r="B4079" s="342" t="s">
        <v>2981</v>
      </c>
      <c r="C4079" s="342" t="str">
        <f>("7640000548")</f>
        <v>7640000548</v>
      </c>
      <c r="D4079" s="340">
        <v>2000</v>
      </c>
      <c r="E4079" s="343"/>
    </row>
    <row r="4080" spans="1:5" s="335" customFormat="1" ht="36">
      <c r="A4080" s="342" t="s">
        <v>2982</v>
      </c>
      <c r="B4080" s="342" t="s">
        <v>2983</v>
      </c>
      <c r="C4080" s="342" t="str">
        <f>("7640000549")</f>
        <v>7640000549</v>
      </c>
      <c r="D4080" s="340">
        <v>1300</v>
      </c>
      <c r="E4080" s="343"/>
    </row>
    <row r="4081" spans="1:5" s="335" customFormat="1" ht="36">
      <c r="A4081" s="342" t="s">
        <v>2984</v>
      </c>
      <c r="B4081" s="342" t="s">
        <v>2985</v>
      </c>
      <c r="C4081" s="342" t="str">
        <f>("7640000551")</f>
        <v>7640000551</v>
      </c>
      <c r="D4081" s="340">
        <v>250</v>
      </c>
      <c r="E4081" s="343"/>
    </row>
    <row r="4082" spans="1:5" s="335" customFormat="1" ht="36">
      <c r="A4082" s="342" t="s">
        <v>2986</v>
      </c>
      <c r="B4082" s="342" t="s">
        <v>2987</v>
      </c>
      <c r="C4082" s="342" t="str">
        <f>("7640000552")</f>
        <v>7640000552</v>
      </c>
      <c r="D4082" s="340">
        <v>1500</v>
      </c>
      <c r="E4082" s="343"/>
    </row>
    <row r="4083" spans="1:5" s="335" customFormat="1" ht="36">
      <c r="A4083" s="342" t="s">
        <v>2988</v>
      </c>
      <c r="B4083" s="342" t="s">
        <v>2989</v>
      </c>
      <c r="C4083" s="342" t="str">
        <f>("7640000553")</f>
        <v>7640000553</v>
      </c>
      <c r="D4083" s="340">
        <v>4500</v>
      </c>
      <c r="E4083" s="343"/>
    </row>
    <row r="4084" spans="1:5" s="335" customFormat="1" ht="36">
      <c r="A4084" s="342" t="s">
        <v>2990</v>
      </c>
      <c r="B4084" s="342" t="s">
        <v>2991</v>
      </c>
      <c r="C4084" s="342" t="str">
        <f>("7640000554")</f>
        <v>7640000554</v>
      </c>
      <c r="D4084" s="340">
        <v>6250</v>
      </c>
      <c r="E4084" s="343"/>
    </row>
    <row r="4085" spans="1:5" s="335" customFormat="1" ht="36">
      <c r="A4085" s="342" t="s">
        <v>2992</v>
      </c>
      <c r="B4085" s="342" t="s">
        <v>2993</v>
      </c>
      <c r="C4085" s="342" t="str">
        <f>("7640000555")</f>
        <v>7640000555</v>
      </c>
      <c r="D4085" s="340">
        <v>7500</v>
      </c>
      <c r="E4085" s="343"/>
    </row>
    <row r="4086" spans="1:5" s="335" customFormat="1" ht="36">
      <c r="A4086" s="342" t="s">
        <v>2994</v>
      </c>
      <c r="B4086" s="342" t="s">
        <v>2995</v>
      </c>
      <c r="C4086" s="342" t="str">
        <f>("7640000556")</f>
        <v>7640000556</v>
      </c>
      <c r="D4086" s="340">
        <v>10000</v>
      </c>
      <c r="E4086" s="343"/>
    </row>
    <row r="4087" spans="1:5" s="335" customFormat="1" ht="36">
      <c r="A4087" s="342" t="s">
        <v>2996</v>
      </c>
      <c r="B4087" s="342" t="s">
        <v>2997</v>
      </c>
      <c r="C4087" s="342" t="str">
        <f>("7640000558")</f>
        <v>7640000558</v>
      </c>
      <c r="D4087" s="340">
        <v>500</v>
      </c>
      <c r="E4087" s="343"/>
    </row>
    <row r="4088" spans="1:5" s="335" customFormat="1" ht="36">
      <c r="A4088" s="342" t="s">
        <v>2998</v>
      </c>
      <c r="B4088" s="342" t="s">
        <v>2999</v>
      </c>
      <c r="C4088" s="342" t="str">
        <f>("7640001772")</f>
        <v>7640001772</v>
      </c>
      <c r="D4088" s="340">
        <v>79</v>
      </c>
      <c r="E4088" s="343"/>
    </row>
    <row r="4089" spans="1:5" s="335" customFormat="1" ht="48">
      <c r="A4089" s="342" t="s">
        <v>3000</v>
      </c>
      <c r="B4089" s="342" t="s">
        <v>3001</v>
      </c>
      <c r="C4089" s="342" t="str">
        <f>("7640001773")</f>
        <v>7640001773</v>
      </c>
      <c r="D4089" s="340">
        <v>99</v>
      </c>
      <c r="E4089" s="343"/>
    </row>
    <row r="4090" spans="1:5" s="335" customFormat="1" ht="36">
      <c r="A4090" s="342" t="s">
        <v>3002</v>
      </c>
      <c r="B4090" s="342" t="s">
        <v>3003</v>
      </c>
      <c r="C4090" s="342" t="str">
        <f>("7640001774")</f>
        <v>7640001774</v>
      </c>
      <c r="D4090" s="340">
        <v>79</v>
      </c>
      <c r="E4090" s="343"/>
    </row>
    <row r="4091" spans="1:5" s="335" customFormat="1" ht="36">
      <c r="A4091" s="342" t="s">
        <v>3004</v>
      </c>
      <c r="B4091" s="342" t="s">
        <v>3004</v>
      </c>
      <c r="C4091" s="342" t="str">
        <f>("7640015351")</f>
        <v>7640015351</v>
      </c>
      <c r="D4091" s="340">
        <v>350</v>
      </c>
      <c r="E4091" s="343"/>
    </row>
    <row r="4092" spans="1:5" s="335" customFormat="1" ht="36">
      <c r="A4092" s="342" t="s">
        <v>3005</v>
      </c>
      <c r="B4092" s="342" t="s">
        <v>3005</v>
      </c>
      <c r="C4092" s="342" t="str">
        <f>("7640015352")</f>
        <v>7640015352</v>
      </c>
      <c r="D4092" s="340">
        <v>450</v>
      </c>
      <c r="E4092" s="343"/>
    </row>
    <row r="4093" spans="1:5" s="335" customFormat="1" ht="12.75">
      <c r="A4093" s="403" t="s">
        <v>3006</v>
      </c>
      <c r="B4093" s="403"/>
      <c r="C4093" s="403"/>
      <c r="D4093" s="403"/>
      <c r="E4093" s="343"/>
    </row>
    <row r="4094" spans="1:5" s="335" customFormat="1" ht="24">
      <c r="A4094" s="342" t="s">
        <v>3007</v>
      </c>
      <c r="B4094" s="342" t="s">
        <v>3008</v>
      </c>
      <c r="C4094" s="342" t="str">
        <f>("7640001754")</f>
        <v>7640001754</v>
      </c>
      <c r="D4094" s="340">
        <v>500</v>
      </c>
      <c r="E4094" s="343"/>
    </row>
    <row r="4095" spans="1:5" s="335" customFormat="1" ht="24">
      <c r="A4095" s="342" t="s">
        <v>3009</v>
      </c>
      <c r="B4095" s="342" t="s">
        <v>3010</v>
      </c>
      <c r="C4095" s="342" t="str">
        <f>("7640001755")</f>
        <v>7640001755</v>
      </c>
      <c r="D4095" s="340">
        <v>2400</v>
      </c>
      <c r="E4095" s="343"/>
    </row>
    <row r="4096" spans="1:5" s="335" customFormat="1" ht="24">
      <c r="A4096" s="342" t="s">
        <v>3011</v>
      </c>
      <c r="B4096" s="342" t="s">
        <v>3012</v>
      </c>
      <c r="C4096" s="342" t="str">
        <f>("7640001756")</f>
        <v>7640001756</v>
      </c>
      <c r="D4096" s="340">
        <v>4500</v>
      </c>
      <c r="E4096" s="343"/>
    </row>
    <row r="4097" spans="1:5" s="335" customFormat="1" ht="24">
      <c r="A4097" s="342" t="s">
        <v>3013</v>
      </c>
      <c r="B4097" s="342" t="s">
        <v>3014</v>
      </c>
      <c r="C4097" s="342" t="str">
        <f>("7640001757")</f>
        <v>7640001757</v>
      </c>
      <c r="D4097" s="340">
        <v>8500</v>
      </c>
      <c r="E4097" s="343"/>
    </row>
    <row r="4098" spans="1:5" s="335" customFormat="1" ht="24">
      <c r="A4098" s="342" t="s">
        <v>3015</v>
      </c>
      <c r="B4098" s="342" t="s">
        <v>3016</v>
      </c>
      <c r="C4098" s="342" t="str">
        <f>("7640001758")</f>
        <v>7640001758</v>
      </c>
      <c r="D4098" s="340">
        <v>12500</v>
      </c>
      <c r="E4098" s="343"/>
    </row>
    <row r="4099" spans="1:5" s="335" customFormat="1" ht="36">
      <c r="A4099" s="342" t="s">
        <v>3017</v>
      </c>
      <c r="B4099" s="342" t="s">
        <v>3018</v>
      </c>
      <c r="C4099" s="342" t="str">
        <f>("7640001759")</f>
        <v>7640001759</v>
      </c>
      <c r="D4099" s="340">
        <v>3500</v>
      </c>
      <c r="E4099" s="343"/>
    </row>
    <row r="4100" spans="1:5" s="335" customFormat="1" ht="72">
      <c r="A4100" s="342" t="s">
        <v>3019</v>
      </c>
      <c r="B4100" s="342" t="s">
        <v>3020</v>
      </c>
      <c r="C4100" s="342" t="str">
        <f>("7640001760")</f>
        <v>7640001760</v>
      </c>
      <c r="D4100" s="340">
        <v>2495</v>
      </c>
      <c r="E4100" s="343"/>
    </row>
    <row r="4101" spans="1:5" s="335" customFormat="1" ht="24">
      <c r="A4101" s="342" t="s">
        <v>3021</v>
      </c>
      <c r="B4101" s="342" t="s">
        <v>3022</v>
      </c>
      <c r="C4101" s="342" t="str">
        <f>("7640001761")</f>
        <v>7640001761</v>
      </c>
      <c r="D4101" s="340">
        <v>750</v>
      </c>
      <c r="E4101" s="343"/>
    </row>
    <row r="4102" spans="1:5" s="335" customFormat="1" ht="36">
      <c r="A4102" s="342" t="s">
        <v>3023</v>
      </c>
      <c r="B4102" s="342" t="s">
        <v>3024</v>
      </c>
      <c r="C4102" s="342" t="str">
        <f>("7640001762")</f>
        <v>7640001762</v>
      </c>
      <c r="D4102" s="340">
        <v>1000</v>
      </c>
      <c r="E4102" s="343"/>
    </row>
    <row r="4103" spans="1:5" s="335" customFormat="1" ht="60">
      <c r="A4103" s="342" t="s">
        <v>3025</v>
      </c>
      <c r="B4103" s="342" t="s">
        <v>3026</v>
      </c>
      <c r="C4103" s="342" t="str">
        <f>("7640001763")</f>
        <v>7640001763</v>
      </c>
      <c r="D4103" s="340">
        <v>750</v>
      </c>
      <c r="E4103" s="343"/>
    </row>
    <row r="4104" spans="1:5" s="335" customFormat="1" ht="36">
      <c r="A4104" s="342" t="s">
        <v>3027</v>
      </c>
      <c r="B4104" s="342" t="s">
        <v>3028</v>
      </c>
      <c r="C4104" s="342" t="str">
        <f>("7640001764")</f>
        <v>7640001764</v>
      </c>
      <c r="D4104" s="340">
        <v>900</v>
      </c>
      <c r="E4104" s="343"/>
    </row>
    <row r="4105" spans="1:5" s="335" customFormat="1" ht="36">
      <c r="A4105" s="342" t="s">
        <v>3029</v>
      </c>
      <c r="B4105" s="342" t="s">
        <v>3030</v>
      </c>
      <c r="C4105" s="342" t="str">
        <f>("7640001765")</f>
        <v>7640001765</v>
      </c>
      <c r="D4105" s="340">
        <v>1500</v>
      </c>
      <c r="E4105" s="343"/>
    </row>
    <row r="4106" spans="1:5" s="335" customFormat="1" ht="24">
      <c r="A4106" s="342" t="s">
        <v>3031</v>
      </c>
      <c r="B4106" s="342" t="s">
        <v>3032</v>
      </c>
      <c r="C4106" s="342" t="str">
        <f>("7640001766")</f>
        <v>7640001766</v>
      </c>
      <c r="D4106" s="340">
        <v>750</v>
      </c>
      <c r="E4106" s="343"/>
    </row>
    <row r="4107" spans="1:5" s="335" customFormat="1" ht="36">
      <c r="A4107" s="342" t="s">
        <v>3033</v>
      </c>
      <c r="B4107" s="342" t="s">
        <v>3034</v>
      </c>
      <c r="C4107" s="342" t="str">
        <f>("7640001767")</f>
        <v>7640001767</v>
      </c>
      <c r="D4107" s="340">
        <v>750</v>
      </c>
      <c r="E4107" s="343"/>
    </row>
    <row r="4108" spans="1:5" s="335" customFormat="1" ht="36">
      <c r="A4108" s="342" t="s">
        <v>3035</v>
      </c>
      <c r="B4108" s="342" t="s">
        <v>3036</v>
      </c>
      <c r="C4108" s="342" t="str">
        <f>("7640001768")</f>
        <v>7640001768</v>
      </c>
      <c r="D4108" s="340">
        <v>1995</v>
      </c>
      <c r="E4108" s="343"/>
    </row>
    <row r="4109" spans="1:5" s="335" customFormat="1" ht="36">
      <c r="A4109" s="342" t="s">
        <v>3037</v>
      </c>
      <c r="B4109" s="342" t="s">
        <v>3038</v>
      </c>
      <c r="C4109" s="342" t="str">
        <f>("7640001769")</f>
        <v>7640001769</v>
      </c>
      <c r="D4109" s="340">
        <v>999</v>
      </c>
      <c r="E4109" s="343"/>
    </row>
    <row r="4110" spans="1:5" s="335" customFormat="1" ht="36">
      <c r="A4110" s="342" t="s">
        <v>3039</v>
      </c>
      <c r="B4110" s="342" t="s">
        <v>3040</v>
      </c>
      <c r="C4110" s="342" t="str">
        <f>("7640001770")</f>
        <v>7640001770</v>
      </c>
      <c r="D4110" s="340">
        <v>995</v>
      </c>
      <c r="E4110" s="343"/>
    </row>
    <row r="4111" spans="1:5" s="335" customFormat="1" ht="48">
      <c r="A4111" s="342" t="s">
        <v>3041</v>
      </c>
      <c r="B4111" s="342" t="s">
        <v>3042</v>
      </c>
      <c r="C4111" s="342" t="str">
        <f>("7640001771")</f>
        <v>7640001771</v>
      </c>
      <c r="D4111" s="340">
        <v>995</v>
      </c>
      <c r="E4111" s="343"/>
    </row>
    <row r="4112" spans="1:5" s="335" customFormat="1" ht="36">
      <c r="A4112" s="342" t="s">
        <v>3043</v>
      </c>
      <c r="B4112" s="342" t="s">
        <v>3043</v>
      </c>
      <c r="C4112" s="342" t="str">
        <f>("7640015350")</f>
        <v>7640015350</v>
      </c>
      <c r="D4112" s="340">
        <v>3000</v>
      </c>
      <c r="E4112" s="343"/>
    </row>
    <row r="4113" spans="1:5" s="335" customFormat="1" ht="12.75">
      <c r="A4113" s="403" t="s">
        <v>3044</v>
      </c>
      <c r="B4113" s="403"/>
      <c r="C4113" s="403"/>
      <c r="D4113" s="403"/>
      <c r="E4113" s="343"/>
    </row>
    <row r="4114" spans="1:5" s="335" customFormat="1" ht="24">
      <c r="A4114" s="342" t="s">
        <v>3045</v>
      </c>
      <c r="B4114" s="342" t="s">
        <v>3046</v>
      </c>
      <c r="C4114" s="342" t="str">
        <f>("7640002404")</f>
        <v>7640002404</v>
      </c>
      <c r="D4114" s="340">
        <v>1750</v>
      </c>
      <c r="E4114" s="343"/>
    </row>
    <row r="4115" spans="1:5" s="335" customFormat="1" ht="12.75">
      <c r="A4115" s="403" t="s">
        <v>3047</v>
      </c>
      <c r="B4115" s="403"/>
      <c r="C4115" s="403"/>
      <c r="D4115" s="403"/>
      <c r="E4115" s="343"/>
    </row>
    <row r="4116" spans="1:5" s="335" customFormat="1" ht="24">
      <c r="A4116" s="342" t="s">
        <v>3048</v>
      </c>
      <c r="B4116" s="342" t="s">
        <v>3049</v>
      </c>
      <c r="C4116" s="342" t="str">
        <f>("7640000222")</f>
        <v>7640000222</v>
      </c>
      <c r="D4116" s="340">
        <v>1</v>
      </c>
      <c r="E4116" s="343"/>
    </row>
    <row r="4117" spans="1:5" s="335" customFormat="1" ht="36">
      <c r="A4117" s="342" t="s">
        <v>3050</v>
      </c>
      <c r="B4117" s="342" t="s">
        <v>3051</v>
      </c>
      <c r="C4117" s="342" t="str">
        <f>("7640000514")</f>
        <v>7640000514</v>
      </c>
      <c r="D4117" s="340">
        <v>50</v>
      </c>
      <c r="E4117" s="343"/>
    </row>
    <row r="4118" spans="1:5" s="335" customFormat="1" ht="36">
      <c r="A4118" s="342" t="s">
        <v>3052</v>
      </c>
      <c r="B4118" s="342" t="s">
        <v>3053</v>
      </c>
      <c r="C4118" s="342" t="str">
        <f>("7640000515")</f>
        <v>7640000515</v>
      </c>
      <c r="D4118" s="340">
        <v>99</v>
      </c>
      <c r="E4118" s="343"/>
    </row>
    <row r="4119" spans="1:5" s="335" customFormat="1" ht="24">
      <c r="A4119" s="342" t="s">
        <v>3054</v>
      </c>
      <c r="B4119" s="342" t="s">
        <v>3055</v>
      </c>
      <c r="C4119" s="342" t="str">
        <f>("7640001751")</f>
        <v>7640001751</v>
      </c>
      <c r="D4119" s="340">
        <v>299</v>
      </c>
      <c r="E4119" s="343"/>
    </row>
    <row r="4120" spans="1:5" s="335" customFormat="1" ht="24">
      <c r="A4120" s="342" t="s">
        <v>3056</v>
      </c>
      <c r="B4120" s="342" t="s">
        <v>3057</v>
      </c>
      <c r="C4120" s="342" t="str">
        <f>("7640002086")</f>
        <v>7640002086</v>
      </c>
      <c r="D4120" s="340">
        <v>95</v>
      </c>
      <c r="E4120" s="343"/>
    </row>
    <row r="4121" spans="1:5" s="335" customFormat="1" ht="48">
      <c r="A4121" s="342" t="s">
        <v>3058</v>
      </c>
      <c r="B4121" s="342" t="s">
        <v>3059</v>
      </c>
      <c r="C4121" s="342" t="str">
        <f>("7640002367")</f>
        <v>7640002367</v>
      </c>
      <c r="D4121" s="340">
        <v>1750</v>
      </c>
      <c r="E4121" s="343"/>
    </row>
    <row r="4122" spans="1:5" s="335" customFormat="1" ht="36">
      <c r="A4122" s="342" t="s">
        <v>3060</v>
      </c>
      <c r="B4122" s="342" t="s">
        <v>3061</v>
      </c>
      <c r="C4122" s="342" t="str">
        <f>("7640002368")</f>
        <v>7640002368</v>
      </c>
      <c r="D4122" s="340">
        <v>2450</v>
      </c>
      <c r="E4122" s="343"/>
    </row>
    <row r="4123" spans="1:5" s="335" customFormat="1" ht="60">
      <c r="A4123" s="342" t="s">
        <v>3062</v>
      </c>
      <c r="B4123" s="342" t="s">
        <v>3063</v>
      </c>
      <c r="C4123" s="342" t="str">
        <f>("7640002369")</f>
        <v>7640002369</v>
      </c>
      <c r="D4123" s="340">
        <v>2550</v>
      </c>
      <c r="E4123" s="343"/>
    </row>
    <row r="4124" spans="1:5" s="335" customFormat="1" ht="60">
      <c r="A4124" s="342" t="s">
        <v>3064</v>
      </c>
      <c r="B4124" s="342" t="s">
        <v>3065</v>
      </c>
      <c r="C4124" s="342" t="str">
        <f>("7640002370")</f>
        <v>7640002370</v>
      </c>
      <c r="D4124" s="340">
        <v>2950</v>
      </c>
      <c r="E4124" s="343"/>
    </row>
    <row r="4125" spans="1:5" s="335" customFormat="1" ht="60">
      <c r="A4125" s="342" t="s">
        <v>3066</v>
      </c>
      <c r="B4125" s="342" t="s">
        <v>3067</v>
      </c>
      <c r="C4125" s="342" t="str">
        <f>("7640002371")</f>
        <v>7640002371</v>
      </c>
      <c r="D4125" s="340">
        <v>3050</v>
      </c>
      <c r="E4125" s="343"/>
    </row>
    <row r="4126" spans="1:5" s="335" customFormat="1" ht="60">
      <c r="A4126" s="342" t="s">
        <v>3068</v>
      </c>
      <c r="B4126" s="342" t="s">
        <v>3069</v>
      </c>
      <c r="C4126" s="342" t="str">
        <f>("7640002372")</f>
        <v>7640002372</v>
      </c>
      <c r="D4126" s="340">
        <v>3950</v>
      </c>
      <c r="E4126" s="343"/>
    </row>
    <row r="4127" spans="1:5" s="335" customFormat="1" ht="60">
      <c r="A4127" s="342" t="s">
        <v>3070</v>
      </c>
      <c r="B4127" s="342" t="s">
        <v>3071</v>
      </c>
      <c r="C4127" s="342" t="str">
        <f>("7640002373")</f>
        <v>7640002373</v>
      </c>
      <c r="D4127" s="340">
        <v>4050</v>
      </c>
      <c r="E4127" s="343"/>
    </row>
    <row r="4128" spans="1:5" s="335" customFormat="1" ht="12.75">
      <c r="A4128" s="342" t="s">
        <v>3072</v>
      </c>
      <c r="B4128" s="342" t="s">
        <v>3072</v>
      </c>
      <c r="C4128" s="342" t="str">
        <f>("7640004421")</f>
        <v>7640004421</v>
      </c>
      <c r="D4128" s="340">
        <v>2750</v>
      </c>
      <c r="E4128" s="343"/>
    </row>
    <row r="4129" spans="1:5" s="335" customFormat="1" ht="24">
      <c r="A4129" s="342" t="s">
        <v>3073</v>
      </c>
      <c r="B4129" s="342" t="s">
        <v>3073</v>
      </c>
      <c r="C4129" s="342" t="str">
        <f>("7640004422")</f>
        <v>7640004422</v>
      </c>
      <c r="D4129" s="340">
        <v>3450</v>
      </c>
      <c r="E4129" s="343"/>
    </row>
    <row r="4130" spans="1:5" s="335" customFormat="1" ht="24">
      <c r="A4130" s="342" t="s">
        <v>3074</v>
      </c>
      <c r="B4130" s="342" t="s">
        <v>3074</v>
      </c>
      <c r="C4130" s="342" t="str">
        <f>("7640004423")</f>
        <v>7640004423</v>
      </c>
      <c r="D4130" s="340">
        <v>4150</v>
      </c>
      <c r="E4130" s="343"/>
    </row>
    <row r="4131" spans="1:5" s="335" customFormat="1" ht="24">
      <c r="A4131" s="342" t="s">
        <v>3075</v>
      </c>
      <c r="B4131" s="342" t="s">
        <v>3075</v>
      </c>
      <c r="C4131" s="342" t="str">
        <f>("7640004424")</f>
        <v>7640004424</v>
      </c>
      <c r="D4131" s="340">
        <v>100</v>
      </c>
      <c r="E4131" s="343"/>
    </row>
    <row r="4132" spans="1:5" s="335" customFormat="1" ht="24">
      <c r="A4132" s="342" t="s">
        <v>3076</v>
      </c>
      <c r="B4132" s="342" t="s">
        <v>3076</v>
      </c>
      <c r="C4132" s="342" t="str">
        <f>("7640004425")</f>
        <v>7640004425</v>
      </c>
      <c r="D4132" s="340">
        <v>150</v>
      </c>
      <c r="E4132" s="343"/>
    </row>
    <row r="4133" spans="1:5" s="335" customFormat="1" ht="24">
      <c r="A4133" s="342" t="s">
        <v>3077</v>
      </c>
      <c r="B4133" s="342" t="s">
        <v>3077</v>
      </c>
      <c r="C4133" s="342" t="str">
        <f>("7640004426")</f>
        <v>7640004426</v>
      </c>
      <c r="D4133" s="340">
        <v>200</v>
      </c>
      <c r="E4133" s="343"/>
    </row>
    <row r="4134" spans="1:5" s="335" customFormat="1" ht="24">
      <c r="A4134" s="342" t="s">
        <v>3078</v>
      </c>
      <c r="B4134" s="342" t="s">
        <v>3078</v>
      </c>
      <c r="C4134" s="342" t="str">
        <f>("7640004427")</f>
        <v>7640004427</v>
      </c>
      <c r="D4134" s="340">
        <v>350</v>
      </c>
      <c r="E4134" s="343"/>
    </row>
    <row r="4135" spans="1:5" s="335" customFormat="1" ht="24">
      <c r="A4135" s="342" t="s">
        <v>3079</v>
      </c>
      <c r="B4135" s="342" t="s">
        <v>3079</v>
      </c>
      <c r="C4135" s="342" t="str">
        <f>("7640004428")</f>
        <v>7640004428</v>
      </c>
      <c r="D4135" s="340">
        <v>350</v>
      </c>
      <c r="E4135" s="343"/>
    </row>
    <row r="4136" spans="1:5" s="335" customFormat="1" ht="24">
      <c r="A4136" s="342" t="s">
        <v>3080</v>
      </c>
      <c r="B4136" s="342" t="s">
        <v>3080</v>
      </c>
      <c r="C4136" s="342" t="str">
        <f>("7640004429")</f>
        <v>7640004429</v>
      </c>
      <c r="D4136" s="340">
        <v>475</v>
      </c>
      <c r="E4136" s="343"/>
    </row>
    <row r="4137" spans="1:5" s="335" customFormat="1" ht="36">
      <c r="A4137" s="342" t="s">
        <v>3081</v>
      </c>
      <c r="B4137" s="342" t="s">
        <v>3081</v>
      </c>
      <c r="C4137" s="342" t="str">
        <f>("7640004430")</f>
        <v>7640004430</v>
      </c>
      <c r="D4137" s="340">
        <v>175</v>
      </c>
      <c r="E4137" s="343"/>
    </row>
    <row r="4138" spans="1:5" s="335" customFormat="1" ht="36">
      <c r="A4138" s="342" t="s">
        <v>3082</v>
      </c>
      <c r="B4138" s="342" t="s">
        <v>3082</v>
      </c>
      <c r="C4138" s="342" t="str">
        <f>("7640004478")</f>
        <v>7640004478</v>
      </c>
      <c r="D4138" s="340">
        <v>1750</v>
      </c>
      <c r="E4138" s="343"/>
    </row>
    <row r="4139" spans="1:5" s="335" customFormat="1" ht="24">
      <c r="A4139" s="342" t="s">
        <v>3083</v>
      </c>
      <c r="B4139" s="342" t="s">
        <v>3083</v>
      </c>
      <c r="C4139" s="342" t="str">
        <f>("7640007497")</f>
        <v>7640007497</v>
      </c>
      <c r="D4139" s="340">
        <v>29</v>
      </c>
      <c r="E4139" s="343"/>
    </row>
    <row r="4140" spans="1:5" s="335" customFormat="1" ht="36">
      <c r="A4140" s="342" t="s">
        <v>3084</v>
      </c>
      <c r="B4140" s="342" t="s">
        <v>3084</v>
      </c>
      <c r="C4140" s="342" t="str">
        <f>("7640015346")</f>
        <v>7640015346</v>
      </c>
      <c r="D4140" s="340">
        <v>350</v>
      </c>
      <c r="E4140" s="343"/>
    </row>
    <row r="4141" spans="1:5" s="335" customFormat="1" ht="24">
      <c r="A4141" s="342" t="s">
        <v>3085</v>
      </c>
      <c r="B4141" s="342" t="s">
        <v>3085</v>
      </c>
      <c r="C4141" s="342" t="str">
        <f>("7640015347")</f>
        <v>7640015347</v>
      </c>
      <c r="D4141" s="340">
        <v>350</v>
      </c>
      <c r="E4141" s="343"/>
    </row>
    <row r="4142" spans="1:5" s="335" customFormat="1" ht="24">
      <c r="A4142" s="342" t="s">
        <v>3086</v>
      </c>
      <c r="B4142" s="342" t="s">
        <v>3086</v>
      </c>
      <c r="C4142" s="342" t="str">
        <f>("7640015348")</f>
        <v>7640015348</v>
      </c>
      <c r="D4142" s="340">
        <v>350</v>
      </c>
      <c r="E4142" s="343"/>
    </row>
    <row r="4143" spans="1:5" s="335" customFormat="1" ht="12.75">
      <c r="A4143" s="344"/>
      <c r="B4143" s="343"/>
      <c r="C4143" s="343"/>
      <c r="D4143" s="395"/>
      <c r="E4143" s="343"/>
    </row>
    <row r="4144" spans="1:5" s="335" customFormat="1" ht="15" customHeight="1">
      <c r="A4144" s="345"/>
      <c r="B4144" s="404" t="s">
        <v>3087</v>
      </c>
      <c r="C4144" s="404"/>
      <c r="D4144" s="404"/>
      <c r="E4144" s="404"/>
    </row>
    <row r="4145" spans="1:5" s="335" customFormat="1" ht="25.5">
      <c r="A4145" s="346" t="s">
        <v>789</v>
      </c>
      <c r="B4145" s="346" t="s">
        <v>409</v>
      </c>
      <c r="C4145" s="346" t="s">
        <v>26</v>
      </c>
      <c r="D4145" s="337" t="s">
        <v>6425</v>
      </c>
      <c r="E4145" s="343"/>
    </row>
    <row r="4146" spans="1:5" s="335" customFormat="1" ht="26.25">
      <c r="A4146" s="342" t="s">
        <v>3088</v>
      </c>
      <c r="B4146" s="342"/>
      <c r="C4146" s="342" t="s">
        <v>6217</v>
      </c>
      <c r="D4146" s="338" t="s">
        <v>791</v>
      </c>
      <c r="E4146" s="343"/>
    </row>
    <row r="4147" spans="1:5" s="335" customFormat="1" ht="12.75">
      <c r="A4147" s="403" t="s">
        <v>2330</v>
      </c>
      <c r="B4147" s="403"/>
      <c r="C4147" s="403"/>
      <c r="D4147" s="403"/>
      <c r="E4147" s="343"/>
    </row>
    <row r="4148" spans="1:5" s="335" customFormat="1" ht="36">
      <c r="A4148" s="342" t="s">
        <v>2331</v>
      </c>
      <c r="B4148" s="342" t="s">
        <v>2332</v>
      </c>
      <c r="C4148" s="342" t="str">
        <f>("EQINS1HR")</f>
        <v>EQINS1HR</v>
      </c>
      <c r="D4148" s="340">
        <v>200</v>
      </c>
      <c r="E4148" s="343"/>
    </row>
    <row r="4149" spans="1:5" s="335" customFormat="1" ht="12.75">
      <c r="A4149" s="403" t="s">
        <v>792</v>
      </c>
      <c r="B4149" s="403"/>
      <c r="C4149" s="403"/>
      <c r="D4149" s="403"/>
      <c r="E4149" s="343"/>
    </row>
    <row r="4150" spans="1:5" s="335" customFormat="1" ht="48">
      <c r="A4150" s="342" t="s">
        <v>3089</v>
      </c>
      <c r="B4150" s="342" t="s">
        <v>3089</v>
      </c>
      <c r="C4150" s="342" t="str">
        <f>("EQ5EESC13PB")</f>
        <v>EQ5EESC13PB</v>
      </c>
      <c r="D4150" s="340">
        <v>1425</v>
      </c>
      <c r="E4150" s="343"/>
    </row>
    <row r="4151" spans="1:5" s="335" customFormat="1" ht="48">
      <c r="A4151" s="342" t="s">
        <v>3090</v>
      </c>
      <c r="B4151" s="342" t="s">
        <v>3090</v>
      </c>
      <c r="C4151" s="342" t="str">
        <f>("EQ5EESC14PB")</f>
        <v>EQ5EESC14PB</v>
      </c>
      <c r="D4151" s="340">
        <v>1535</v>
      </c>
      <c r="E4151" s="343"/>
    </row>
    <row r="4152" spans="1:5" s="335" customFormat="1" ht="48">
      <c r="A4152" s="342" t="s">
        <v>3091</v>
      </c>
      <c r="B4152" s="342" t="s">
        <v>3091</v>
      </c>
      <c r="C4152" s="342" t="str">
        <f>("EQ5EESC15PB")</f>
        <v>EQ5EESC15PB</v>
      </c>
      <c r="D4152" s="340">
        <v>1645</v>
      </c>
      <c r="E4152" s="343"/>
    </row>
    <row r="4153" spans="1:5" s="335" customFormat="1" ht="48">
      <c r="A4153" s="342" t="s">
        <v>2801</v>
      </c>
      <c r="B4153" s="342" t="s">
        <v>2801</v>
      </c>
      <c r="C4153" s="342" t="str">
        <f>("EQ5EFSB13PB")</f>
        <v>EQ5EFSB13PB</v>
      </c>
      <c r="D4153" s="340">
        <v>1100</v>
      </c>
      <c r="E4153" s="343"/>
    </row>
    <row r="4154" spans="1:5" s="335" customFormat="1" ht="48">
      <c r="A4154" s="342" t="s">
        <v>2802</v>
      </c>
      <c r="B4154" s="342" t="s">
        <v>2802</v>
      </c>
      <c r="C4154" s="342" t="str">
        <f>("EQ5EFSB14PB")</f>
        <v>EQ5EFSB14PB</v>
      </c>
      <c r="D4154" s="340">
        <v>1185</v>
      </c>
      <c r="E4154" s="343"/>
    </row>
    <row r="4155" spans="1:5" s="335" customFormat="1" ht="48">
      <c r="A4155" s="342" t="s">
        <v>2803</v>
      </c>
      <c r="B4155" s="342" t="s">
        <v>2803</v>
      </c>
      <c r="C4155" s="342" t="str">
        <f>("EQ5EFSB15PB")</f>
        <v>EQ5EFSB15PB</v>
      </c>
      <c r="D4155" s="340">
        <v>1270</v>
      </c>
      <c r="E4155" s="343"/>
    </row>
    <row r="4156" spans="1:5" s="335" customFormat="1" ht="36">
      <c r="A4156" s="342" t="s">
        <v>3092</v>
      </c>
      <c r="B4156" s="342" t="s">
        <v>3092</v>
      </c>
      <c r="C4156" s="342" t="str">
        <f>("EQ5EFSMP3PB")</f>
        <v>EQ5EFSMP3PB</v>
      </c>
      <c r="D4156" s="340">
        <v>485</v>
      </c>
      <c r="E4156" s="343"/>
    </row>
    <row r="4157" spans="1:5" s="335" customFormat="1" ht="36">
      <c r="A4157" s="342" t="s">
        <v>3093</v>
      </c>
      <c r="B4157" s="342" t="s">
        <v>3093</v>
      </c>
      <c r="C4157" s="342" t="str">
        <f>("EQ5EFSMP4PB")</f>
        <v>EQ5EFSMP4PB</v>
      </c>
      <c r="D4157" s="340">
        <v>535</v>
      </c>
      <c r="E4157" s="343"/>
    </row>
    <row r="4158" spans="1:5" s="335" customFormat="1" ht="36">
      <c r="A4158" s="342" t="s">
        <v>3094</v>
      </c>
      <c r="B4158" s="342" t="s">
        <v>3094</v>
      </c>
      <c r="C4158" s="342" t="str">
        <f>("EQ5EFSMP5PB")</f>
        <v>EQ5EFSMP5PB</v>
      </c>
      <c r="D4158" s="340">
        <v>585</v>
      </c>
      <c r="E4158" s="343"/>
    </row>
    <row r="4159" spans="1:5" s="335" customFormat="1" ht="12.75">
      <c r="A4159" s="403" t="s">
        <v>856</v>
      </c>
      <c r="B4159" s="403"/>
      <c r="C4159" s="403"/>
      <c r="D4159" s="403"/>
      <c r="E4159" s="343"/>
    </row>
    <row r="4160" spans="1:5" s="335" customFormat="1" ht="36">
      <c r="A4160" s="342" t="s">
        <v>2574</v>
      </c>
      <c r="B4160" s="342" t="s">
        <v>2574</v>
      </c>
      <c r="C4160" s="342" t="str">
        <f>("EQIN1DAY")</f>
        <v>EQIN1DAY</v>
      </c>
      <c r="D4160" s="340">
        <v>1600</v>
      </c>
      <c r="E4160" s="343"/>
    </row>
    <row r="4161" spans="1:5" s="335" customFormat="1" ht="36">
      <c r="A4161" s="342" t="s">
        <v>2575</v>
      </c>
      <c r="B4161" s="342" t="s">
        <v>2575</v>
      </c>
      <c r="C4161" s="342" t="str">
        <f>("EQINS4HR")</f>
        <v>EQINS4HR</v>
      </c>
      <c r="D4161" s="340">
        <v>800</v>
      </c>
      <c r="E4161" s="343"/>
    </row>
    <row r="4162" spans="1:5" s="335" customFormat="1" ht="36">
      <c r="A4162" s="342" t="s">
        <v>2576</v>
      </c>
      <c r="B4162" s="342" t="s">
        <v>2576</v>
      </c>
      <c r="C4162" s="342" t="str">
        <f>("EQPD1AIR")</f>
        <v>EQPD1AIR</v>
      </c>
      <c r="D4162" s="340">
        <v>1000</v>
      </c>
      <c r="E4162" s="343"/>
    </row>
    <row r="4163" spans="1:5" s="335" customFormat="1" ht="24">
      <c r="A4163" s="342" t="s">
        <v>2577</v>
      </c>
      <c r="B4163" s="342" t="s">
        <v>2577</v>
      </c>
      <c r="C4163" s="342" t="str">
        <f>("EQPD1DAY")</f>
        <v>EQPD1DAY</v>
      </c>
      <c r="D4163" s="340">
        <v>200</v>
      </c>
      <c r="E4163" s="343"/>
    </row>
    <row r="4164" spans="1:5" s="335" customFormat="1" ht="36">
      <c r="A4164" s="342" t="s">
        <v>2578</v>
      </c>
      <c r="B4164" s="342" t="s">
        <v>2578</v>
      </c>
      <c r="C4164" s="342" t="str">
        <f>("EQPD1NGT")</f>
        <v>EQPD1NGT</v>
      </c>
      <c r="D4164" s="340">
        <v>400</v>
      </c>
      <c r="E4164" s="343"/>
    </row>
    <row r="4165" spans="1:5" s="335" customFormat="1" ht="72">
      <c r="A4165" s="342" t="s">
        <v>2579</v>
      </c>
      <c r="B4165" s="342" t="s">
        <v>2579</v>
      </c>
      <c r="C4165" s="342" t="str">
        <f>("EQPSLARG")</f>
        <v>EQPSLARG</v>
      </c>
      <c r="D4165" s="340">
        <v>1000</v>
      </c>
      <c r="E4165" s="343"/>
    </row>
    <row r="4166" spans="1:5" s="335" customFormat="1" ht="72">
      <c r="A4166" s="342" t="s">
        <v>2580</v>
      </c>
      <c r="B4166" s="342" t="s">
        <v>2580</v>
      </c>
      <c r="C4166" s="342" t="str">
        <f>("EQPSSMAL")</f>
        <v>EQPSSMAL</v>
      </c>
      <c r="D4166" s="340">
        <v>100</v>
      </c>
      <c r="E4166" s="343"/>
    </row>
    <row r="4167" spans="1:5" s="335" customFormat="1" ht="36">
      <c r="A4167" s="342" t="s">
        <v>2581</v>
      </c>
      <c r="B4167" s="342" t="s">
        <v>2581</v>
      </c>
      <c r="C4167" s="342" t="str">
        <f>("EQTR1DAY")</f>
        <v>EQTR1DAY</v>
      </c>
      <c r="D4167" s="340">
        <v>1600</v>
      </c>
      <c r="E4167" s="343"/>
    </row>
    <row r="4168" spans="1:5" s="335" customFormat="1" ht="24">
      <c r="A4168" s="342" t="s">
        <v>2582</v>
      </c>
      <c r="B4168" s="342" t="s">
        <v>2582</v>
      </c>
      <c r="C4168" s="342" t="str">
        <f>("EQTRAIN1")</f>
        <v>EQTRAIN1</v>
      </c>
      <c r="D4168" s="340">
        <v>33</v>
      </c>
      <c r="E4168" s="343"/>
    </row>
    <row r="4169" spans="1:5" s="335" customFormat="1" ht="24">
      <c r="A4169" s="342" t="s">
        <v>2583</v>
      </c>
      <c r="B4169" s="342" t="s">
        <v>2583</v>
      </c>
      <c r="C4169" s="342" t="str">
        <f>("EQTRAIN5")</f>
        <v>EQTRAIN5</v>
      </c>
      <c r="D4169" s="340">
        <v>165</v>
      </c>
      <c r="E4169" s="343"/>
    </row>
    <row r="4170" spans="1:5" s="335" customFormat="1" ht="24">
      <c r="A4170" s="342" t="s">
        <v>2584</v>
      </c>
      <c r="B4170" s="342" t="s">
        <v>2584</v>
      </c>
      <c r="C4170" s="342" t="str">
        <f>("EQTRN010")</f>
        <v>EQTRN010</v>
      </c>
      <c r="D4170" s="340">
        <v>330</v>
      </c>
      <c r="E4170" s="343"/>
    </row>
    <row r="4171" spans="1:5" s="335" customFormat="1" ht="36">
      <c r="A4171" s="342" t="s">
        <v>2585</v>
      </c>
      <c r="B4171" s="342" t="s">
        <v>2585</v>
      </c>
      <c r="C4171" s="342" t="str">
        <f>("EQWBN1HR")</f>
        <v>EQWBN1HR</v>
      </c>
      <c r="D4171" s="340">
        <v>200</v>
      </c>
      <c r="E4171" s="343"/>
    </row>
    <row r="4172" spans="1:5" s="335" customFormat="1" ht="12.75">
      <c r="A4172" s="403" t="s">
        <v>1565</v>
      </c>
      <c r="B4172" s="403"/>
      <c r="C4172" s="403"/>
      <c r="D4172" s="403"/>
      <c r="E4172" s="343"/>
    </row>
    <row r="4173" spans="1:5" s="335" customFormat="1" ht="48">
      <c r="A4173" s="342" t="s">
        <v>3095</v>
      </c>
      <c r="B4173" s="342" t="s">
        <v>3095</v>
      </c>
      <c r="C4173" s="342" t="s">
        <v>6218</v>
      </c>
      <c r="D4173" s="340">
        <v>110</v>
      </c>
      <c r="E4173" s="343"/>
    </row>
    <row r="4174" spans="1:5" s="335" customFormat="1" ht="60">
      <c r="A4174" s="342" t="s">
        <v>2804</v>
      </c>
      <c r="B4174" s="342" t="s">
        <v>2804</v>
      </c>
      <c r="C4174" s="342" t="str">
        <f>("EQ5EFSB11PB")</f>
        <v>EQ5EFSB11PB</v>
      </c>
      <c r="D4174" s="340">
        <v>85</v>
      </c>
      <c r="E4174" s="343"/>
    </row>
    <row r="4175" spans="1:5" s="335" customFormat="1" ht="12.75">
      <c r="A4175" s="342" t="s">
        <v>3096</v>
      </c>
      <c r="B4175" s="342" t="s">
        <v>3097</v>
      </c>
      <c r="C4175" s="342" t="str">
        <f>("EQ5EFSMP1PR")</f>
        <v>EQ5EFSMP1PR</v>
      </c>
      <c r="D4175" s="340">
        <v>50</v>
      </c>
      <c r="E4175" s="343"/>
    </row>
    <row r="4176" spans="1:5" s="335" customFormat="1" ht="12.75">
      <c r="A4176" s="344"/>
      <c r="B4176" s="343"/>
      <c r="C4176" s="343"/>
      <c r="D4176" s="395"/>
      <c r="E4176" s="343"/>
    </row>
    <row r="4177" spans="1:5" s="335" customFormat="1" ht="15" customHeight="1">
      <c r="A4177" s="345"/>
      <c r="B4177" s="404" t="s">
        <v>3098</v>
      </c>
      <c r="C4177" s="404"/>
      <c r="D4177" s="404"/>
      <c r="E4177" s="404"/>
    </row>
    <row r="4178" spans="1:5" s="335" customFormat="1" ht="25.5">
      <c r="A4178" s="346" t="s">
        <v>789</v>
      </c>
      <c r="B4178" s="346" t="s">
        <v>409</v>
      </c>
      <c r="C4178" s="346" t="s">
        <v>26</v>
      </c>
      <c r="D4178" s="337" t="s">
        <v>6425</v>
      </c>
      <c r="E4178" s="343"/>
    </row>
    <row r="4179" spans="1:5" s="335" customFormat="1" ht="12.75">
      <c r="A4179" s="342" t="s">
        <v>3099</v>
      </c>
      <c r="B4179" s="342" t="s">
        <v>3099</v>
      </c>
      <c r="C4179" s="342" t="str">
        <f>("Fiery Central v2")</f>
        <v>Fiery Central v2</v>
      </c>
      <c r="D4179" s="340">
        <v>0</v>
      </c>
      <c r="E4179" s="343"/>
    </row>
    <row r="4180" spans="1:5" s="335" customFormat="1" ht="12.75">
      <c r="A4180" s="402" t="s">
        <v>1587</v>
      </c>
      <c r="B4180" s="402"/>
      <c r="C4180" s="402"/>
      <c r="D4180" s="402"/>
      <c r="E4180" s="343"/>
    </row>
    <row r="4181" spans="1:5" s="335" customFormat="1" ht="24">
      <c r="A4181" s="342" t="s">
        <v>3100</v>
      </c>
      <c r="B4181" s="342" t="s">
        <v>3101</v>
      </c>
      <c r="C4181" s="342" t="s">
        <v>6219</v>
      </c>
      <c r="D4181" s="340">
        <v>8990</v>
      </c>
      <c r="E4181" s="343"/>
    </row>
    <row r="4182" spans="1:5" s="335" customFormat="1" ht="24">
      <c r="A4182" s="342" t="s">
        <v>3102</v>
      </c>
      <c r="B4182" s="342" t="s">
        <v>3103</v>
      </c>
      <c r="C4182" s="342" t="s">
        <v>6220</v>
      </c>
      <c r="D4182" s="340">
        <v>7995</v>
      </c>
      <c r="E4182" s="343"/>
    </row>
    <row r="4183" spans="1:5" s="335" customFormat="1" ht="24">
      <c r="A4183" s="342" t="s">
        <v>3104</v>
      </c>
      <c r="B4183" s="342" t="s">
        <v>3105</v>
      </c>
      <c r="C4183" s="342" t="s">
        <v>6221</v>
      </c>
      <c r="D4183" s="340">
        <v>4995</v>
      </c>
      <c r="E4183" s="343"/>
    </row>
    <row r="4184" spans="1:5" s="335" customFormat="1" ht="12.75">
      <c r="A4184" s="403" t="s">
        <v>3106</v>
      </c>
      <c r="B4184" s="403"/>
      <c r="C4184" s="403"/>
      <c r="D4184" s="403"/>
      <c r="E4184" s="343"/>
    </row>
    <row r="4185" spans="1:5" s="335" customFormat="1" ht="60">
      <c r="A4185" s="342" t="s">
        <v>3107</v>
      </c>
      <c r="B4185" s="342" t="s">
        <v>3107</v>
      </c>
      <c r="C4185" s="342" t="str">
        <f>("100000006350")</f>
        <v>100000006350</v>
      </c>
      <c r="D4185" s="340">
        <v>999</v>
      </c>
      <c r="E4185" s="343"/>
    </row>
    <row r="4186" spans="1:5" s="335" customFormat="1" ht="36">
      <c r="A4186" s="342" t="s">
        <v>3108</v>
      </c>
      <c r="B4186" s="342" t="s">
        <v>3108</v>
      </c>
      <c r="C4186" s="342" t="str">
        <f>("100000006365")</f>
        <v>100000006365</v>
      </c>
      <c r="D4186" s="340">
        <v>1500</v>
      </c>
      <c r="E4186" s="343"/>
    </row>
    <row r="4187" spans="1:5" s="335" customFormat="1" ht="36">
      <c r="A4187" s="342" t="s">
        <v>3109</v>
      </c>
      <c r="B4187" s="342" t="s">
        <v>3109</v>
      </c>
      <c r="C4187" s="342" t="str">
        <f>("100000006366")</f>
        <v>100000006366</v>
      </c>
      <c r="D4187" s="340">
        <v>700</v>
      </c>
      <c r="E4187" s="343"/>
    </row>
    <row r="4188" spans="1:5" s="335" customFormat="1" ht="48">
      <c r="A4188" s="342" t="s">
        <v>3110</v>
      </c>
      <c r="B4188" s="342" t="s">
        <v>3110</v>
      </c>
      <c r="C4188" s="342" t="str">
        <f>("100000006367")</f>
        <v>100000006367</v>
      </c>
      <c r="D4188" s="340">
        <v>1000</v>
      </c>
      <c r="E4188" s="343"/>
    </row>
    <row r="4189" spans="1:5" s="335" customFormat="1" ht="12.75">
      <c r="A4189" s="403" t="s">
        <v>3111</v>
      </c>
      <c r="B4189" s="403"/>
      <c r="C4189" s="403"/>
      <c r="D4189" s="403"/>
      <c r="E4189" s="343"/>
    </row>
    <row r="4190" spans="1:5" s="335" customFormat="1" ht="24">
      <c r="A4190" s="342" t="s">
        <v>3112</v>
      </c>
      <c r="B4190" s="342" t="s">
        <v>3113</v>
      </c>
      <c r="C4190" s="342" t="str">
        <f>("45085453")</f>
        <v>45085453</v>
      </c>
      <c r="D4190" s="340">
        <v>2150</v>
      </c>
      <c r="E4190" s="343"/>
    </row>
    <row r="4191" spans="1:5" s="335" customFormat="1" ht="36">
      <c r="A4191" s="342" t="s">
        <v>3114</v>
      </c>
      <c r="B4191" s="342" t="s">
        <v>3113</v>
      </c>
      <c r="C4191" s="342" t="str">
        <f>("45087436")</f>
        <v>45087436</v>
      </c>
      <c r="D4191" s="340">
        <v>2670</v>
      </c>
      <c r="E4191" s="343"/>
    </row>
    <row r="4192" spans="1:5" s="335" customFormat="1" ht="12.75">
      <c r="A4192" s="403" t="s">
        <v>1562</v>
      </c>
      <c r="B4192" s="403"/>
      <c r="C4192" s="403"/>
      <c r="D4192" s="403"/>
      <c r="E4192" s="343"/>
    </row>
    <row r="4193" spans="1:5" s="335" customFormat="1" ht="36">
      <c r="A4193" s="342" t="s">
        <v>3115</v>
      </c>
      <c r="B4193" s="342" t="s">
        <v>3115</v>
      </c>
      <c r="C4193" s="342" t="s">
        <v>6222</v>
      </c>
      <c r="D4193" s="340">
        <v>1000</v>
      </c>
      <c r="E4193" s="343"/>
    </row>
    <row r="4194" spans="1:5" s="335" customFormat="1" ht="14.25">
      <c r="A4194" s="342" t="s">
        <v>3116</v>
      </c>
      <c r="B4194" s="342" t="s">
        <v>3116</v>
      </c>
      <c r="C4194" s="342" t="s">
        <v>6223</v>
      </c>
      <c r="D4194" s="340">
        <v>3500</v>
      </c>
      <c r="E4194" s="343"/>
    </row>
    <row r="4195" spans="1:5" s="335" customFormat="1" ht="24">
      <c r="A4195" s="342" t="s">
        <v>3117</v>
      </c>
      <c r="B4195" s="342" t="s">
        <v>3117</v>
      </c>
      <c r="C4195" s="342" t="s">
        <v>6224</v>
      </c>
      <c r="D4195" s="340">
        <v>5000</v>
      </c>
      <c r="E4195" s="343"/>
    </row>
    <row r="4196" spans="1:5" s="335" customFormat="1" ht="60">
      <c r="A4196" s="342" t="s">
        <v>3118</v>
      </c>
      <c r="B4196" s="342" t="s">
        <v>3118</v>
      </c>
      <c r="C4196" s="342" t="s">
        <v>6225</v>
      </c>
      <c r="D4196" s="340">
        <v>3000</v>
      </c>
      <c r="E4196" s="343"/>
    </row>
    <row r="4197" spans="1:5" s="335" customFormat="1" ht="48">
      <c r="A4197" s="342" t="s">
        <v>3119</v>
      </c>
      <c r="B4197" s="342" t="s">
        <v>3119</v>
      </c>
      <c r="C4197" s="342" t="s">
        <v>6226</v>
      </c>
      <c r="D4197" s="340">
        <v>7500</v>
      </c>
      <c r="E4197" s="343"/>
    </row>
    <row r="4198" spans="1:5" s="335" customFormat="1" ht="14.25">
      <c r="A4198" s="342" t="s">
        <v>3120</v>
      </c>
      <c r="B4198" s="342" t="s">
        <v>3120</v>
      </c>
      <c r="C4198" s="342" t="s">
        <v>6227</v>
      </c>
      <c r="D4198" s="340">
        <v>4495</v>
      </c>
      <c r="E4198" s="343"/>
    </row>
    <row r="4199" spans="1:5" s="335" customFormat="1" ht="12.75">
      <c r="A4199" s="403" t="s">
        <v>3121</v>
      </c>
      <c r="B4199" s="403"/>
      <c r="C4199" s="403"/>
      <c r="D4199" s="403"/>
      <c r="E4199" s="343"/>
    </row>
    <row r="4200" spans="1:5" s="335" customFormat="1" ht="72">
      <c r="A4200" s="342" t="s">
        <v>3122</v>
      </c>
      <c r="B4200" s="342" t="s">
        <v>3122</v>
      </c>
      <c r="C4200" s="342" t="s">
        <v>6228</v>
      </c>
      <c r="D4200" s="340">
        <v>5330</v>
      </c>
      <c r="E4200" s="343"/>
    </row>
    <row r="4201" spans="1:5" s="335" customFormat="1" ht="48">
      <c r="A4201" s="342" t="s">
        <v>3123</v>
      </c>
      <c r="B4201" s="342" t="s">
        <v>3124</v>
      </c>
      <c r="C4201" s="342" t="str">
        <f>("3000005831")</f>
        <v>3000005831</v>
      </c>
      <c r="D4201" s="340">
        <v>3775</v>
      </c>
      <c r="E4201" s="343"/>
    </row>
    <row r="4202" spans="1:5" s="335" customFormat="1" ht="72">
      <c r="A4202" s="342" t="s">
        <v>3125</v>
      </c>
      <c r="B4202" s="342" t="s">
        <v>3125</v>
      </c>
      <c r="C4202" s="342" t="s">
        <v>6229</v>
      </c>
      <c r="D4202" s="340">
        <v>7330</v>
      </c>
      <c r="E4202" s="343"/>
    </row>
    <row r="4203" spans="1:5" s="335" customFormat="1" ht="60">
      <c r="A4203" s="342" t="s">
        <v>3126</v>
      </c>
      <c r="B4203" s="342" t="s">
        <v>3126</v>
      </c>
      <c r="C4203" s="342" t="s">
        <v>6230</v>
      </c>
      <c r="D4203" s="340">
        <v>9330</v>
      </c>
      <c r="E4203" s="343"/>
    </row>
    <row r="4204" spans="1:5" s="335" customFormat="1" ht="36">
      <c r="A4204" s="342" t="s">
        <v>3127</v>
      </c>
      <c r="B4204" s="342" t="s">
        <v>3127</v>
      </c>
      <c r="C4204" s="342" t="str">
        <f>("7640016346")</f>
        <v>7640016346</v>
      </c>
      <c r="D4204" s="340">
        <v>3330</v>
      </c>
      <c r="E4204" s="343"/>
    </row>
    <row r="4205" spans="1:5" s="335" customFormat="1" ht="12.75">
      <c r="A4205" s="403" t="s">
        <v>1675</v>
      </c>
      <c r="B4205" s="403"/>
      <c r="C4205" s="403"/>
      <c r="D4205" s="403"/>
      <c r="E4205" s="343"/>
    </row>
    <row r="4206" spans="1:5" s="335" customFormat="1" ht="108">
      <c r="A4206" s="342" t="s">
        <v>3128</v>
      </c>
      <c r="B4206" s="342" t="s">
        <v>3128</v>
      </c>
      <c r="C4206" s="342" t="s">
        <v>6231</v>
      </c>
      <c r="D4206" s="340">
        <v>0</v>
      </c>
      <c r="E4206" s="343"/>
    </row>
    <row r="4207" spans="1:5" s="335" customFormat="1" ht="84">
      <c r="A4207" s="342" t="s">
        <v>3129</v>
      </c>
      <c r="B4207" s="342" t="s">
        <v>3129</v>
      </c>
      <c r="C4207" s="342" t="str">
        <f>("45113029")</f>
        <v>45113029</v>
      </c>
      <c r="D4207" s="340">
        <v>3500</v>
      </c>
      <c r="E4207" s="343"/>
    </row>
    <row r="4208" spans="1:5" s="335" customFormat="1" ht="13.5" customHeight="1">
      <c r="A4208" s="344"/>
      <c r="B4208" s="343"/>
      <c r="C4208" s="343"/>
      <c r="D4208" s="395"/>
      <c r="E4208" s="343"/>
    </row>
    <row r="4209" spans="1:5" s="335" customFormat="1" ht="15" customHeight="1">
      <c r="A4209" s="345"/>
      <c r="B4209" s="404" t="s">
        <v>3130</v>
      </c>
      <c r="C4209" s="404"/>
      <c r="D4209" s="404"/>
      <c r="E4209" s="404"/>
    </row>
    <row r="4210" spans="1:5" s="335" customFormat="1" ht="25.5">
      <c r="A4210" s="346" t="s">
        <v>789</v>
      </c>
      <c r="B4210" s="346" t="s">
        <v>409</v>
      </c>
      <c r="C4210" s="346" t="s">
        <v>26</v>
      </c>
      <c r="D4210" s="337" t="s">
        <v>6425</v>
      </c>
      <c r="E4210" s="343"/>
    </row>
    <row r="4211" spans="1:5" s="335" customFormat="1" ht="26.25">
      <c r="A4211" s="342" t="s">
        <v>3131</v>
      </c>
      <c r="B4211" s="342"/>
      <c r="C4211" s="342" t="s">
        <v>6232</v>
      </c>
      <c r="D4211" s="338" t="s">
        <v>791</v>
      </c>
      <c r="E4211" s="343"/>
    </row>
    <row r="4212" spans="1:5" s="335" customFormat="1" ht="12.75">
      <c r="A4212" s="403" t="s">
        <v>792</v>
      </c>
      <c r="B4212" s="403"/>
      <c r="C4212" s="403"/>
      <c r="D4212" s="403"/>
      <c r="E4212" s="343"/>
    </row>
    <row r="4213" spans="1:5" s="335" customFormat="1" ht="36">
      <c r="A4213" s="342" t="s">
        <v>3132</v>
      </c>
      <c r="B4213" s="342" t="s">
        <v>3133</v>
      </c>
      <c r="C4213" s="342" t="s">
        <v>6233</v>
      </c>
      <c r="D4213" s="340">
        <v>240</v>
      </c>
      <c r="E4213" s="343"/>
    </row>
    <row r="4214" spans="1:5" s="335" customFormat="1" ht="36">
      <c r="A4214" s="342" t="s">
        <v>3134</v>
      </c>
      <c r="B4214" s="342" t="s">
        <v>3135</v>
      </c>
      <c r="C4214" s="342" t="str">
        <f>("7640018471")</f>
        <v>7640018471</v>
      </c>
      <c r="D4214" s="340">
        <v>718</v>
      </c>
      <c r="E4214" s="343"/>
    </row>
    <row r="4215" spans="1:5" s="335" customFormat="1" ht="36">
      <c r="A4215" s="342" t="s">
        <v>3136</v>
      </c>
      <c r="B4215" s="342" t="s">
        <v>3137</v>
      </c>
      <c r="C4215" s="342" t="str">
        <f>("7640018472")</f>
        <v>7640018472</v>
      </c>
      <c r="D4215" s="340">
        <v>953</v>
      </c>
      <c r="E4215" s="343"/>
    </row>
    <row r="4216" spans="1:5" s="335" customFormat="1" ht="36">
      <c r="A4216" s="342" t="s">
        <v>3138</v>
      </c>
      <c r="B4216" s="342" t="s">
        <v>3139</v>
      </c>
      <c r="C4216" s="342" t="str">
        <f>("7640018473")</f>
        <v>7640018473</v>
      </c>
      <c r="D4216" s="340">
        <v>1186</v>
      </c>
      <c r="E4216" s="343"/>
    </row>
    <row r="4217" spans="1:5" s="335" customFormat="1" ht="12.75">
      <c r="A4217" s="344"/>
      <c r="B4217" s="343"/>
      <c r="C4217" s="343"/>
      <c r="D4217" s="395"/>
      <c r="E4217" s="343"/>
    </row>
    <row r="4218" spans="1:5" s="335" customFormat="1" ht="15" customHeight="1">
      <c r="A4218" s="345"/>
      <c r="B4218" s="404" t="s">
        <v>3140</v>
      </c>
      <c r="C4218" s="404"/>
      <c r="D4218" s="404"/>
      <c r="E4218" s="404"/>
    </row>
    <row r="4219" spans="1:5" s="335" customFormat="1" ht="25.5">
      <c r="A4219" s="346" t="s">
        <v>789</v>
      </c>
      <c r="B4219" s="346" t="s">
        <v>409</v>
      </c>
      <c r="C4219" s="346" t="s">
        <v>26</v>
      </c>
      <c r="D4219" s="337" t="s">
        <v>6425</v>
      </c>
      <c r="E4219" s="343"/>
    </row>
    <row r="4220" spans="1:5" s="335" customFormat="1" ht="14.25">
      <c r="A4220" s="342" t="s">
        <v>3141</v>
      </c>
      <c r="B4220" s="342" t="s">
        <v>3141</v>
      </c>
      <c r="C4220" s="342" t="s">
        <v>6234</v>
      </c>
      <c r="D4220" s="340">
        <v>0</v>
      </c>
      <c r="E4220" s="343"/>
    </row>
    <row r="4221" spans="1:5" s="335" customFormat="1" ht="12.75">
      <c r="A4221" s="402" t="s">
        <v>1587</v>
      </c>
      <c r="B4221" s="402"/>
      <c r="C4221" s="402"/>
      <c r="D4221" s="402"/>
      <c r="E4221" s="343"/>
    </row>
    <row r="4222" spans="1:5" s="335" customFormat="1" ht="24">
      <c r="A4222" s="342" t="s">
        <v>3142</v>
      </c>
      <c r="B4222" s="342" t="s">
        <v>3142</v>
      </c>
      <c r="C4222" s="342" t="str">
        <f>("COPYSUB")</f>
        <v>COPYSUB</v>
      </c>
      <c r="D4222" s="340">
        <v>4000</v>
      </c>
      <c r="E4222" s="343"/>
    </row>
    <row r="4223" spans="1:5" s="335" customFormat="1" ht="48">
      <c r="A4223" s="342" t="s">
        <v>3143</v>
      </c>
      <c r="B4223" s="342" t="s">
        <v>3143</v>
      </c>
      <c r="C4223" s="342" t="str">
        <f>("COPYSUBAR")</f>
        <v>COPYSUBAR</v>
      </c>
      <c r="D4223" s="340">
        <v>3000</v>
      </c>
      <c r="E4223" s="343"/>
    </row>
    <row r="4224" spans="1:5" s="335" customFormat="1" ht="24">
      <c r="A4224" s="342" t="s">
        <v>3144</v>
      </c>
      <c r="B4224" s="342" t="s">
        <v>3144</v>
      </c>
      <c r="C4224" s="342" t="str">
        <f>("ESCANSUB")</f>
        <v>ESCANSUB</v>
      </c>
      <c r="D4224" s="340">
        <v>2500</v>
      </c>
      <c r="E4224" s="343"/>
    </row>
    <row r="4225" spans="1:5" s="335" customFormat="1" ht="36">
      <c r="A4225" s="342" t="s">
        <v>3145</v>
      </c>
      <c r="B4225" s="342" t="s">
        <v>3145</v>
      </c>
      <c r="C4225" s="342" t="str">
        <f>("ESCANSUBAR")</f>
        <v>ESCANSUBAR</v>
      </c>
      <c r="D4225" s="340">
        <v>1500</v>
      </c>
      <c r="E4225" s="343"/>
    </row>
    <row r="4226" spans="1:5" s="335" customFormat="1" ht="84">
      <c r="A4226" s="342" t="s">
        <v>3146</v>
      </c>
      <c r="B4226" s="342" t="s">
        <v>3146</v>
      </c>
      <c r="C4226" s="342" t="str">
        <f>("SUITE")</f>
        <v>SUITE</v>
      </c>
      <c r="D4226" s="340">
        <v>5000</v>
      </c>
      <c r="E4226" s="343"/>
    </row>
    <row r="4227" spans="1:5" s="335" customFormat="1" ht="36">
      <c r="A4227" s="342" t="s">
        <v>3147</v>
      </c>
      <c r="B4227" s="342" t="s">
        <v>3147</v>
      </c>
      <c r="C4227" s="342" t="str">
        <f>("SUITEAR")</f>
        <v>SUITEAR</v>
      </c>
      <c r="D4227" s="340">
        <v>5000</v>
      </c>
      <c r="E4227" s="343"/>
    </row>
    <row r="4228" spans="1:5" s="335" customFormat="1" ht="12.75">
      <c r="A4228" s="403" t="s">
        <v>856</v>
      </c>
      <c r="B4228" s="403"/>
      <c r="C4228" s="403"/>
      <c r="D4228" s="403"/>
      <c r="E4228" s="343"/>
    </row>
    <row r="4229" spans="1:5" s="335" customFormat="1" ht="84">
      <c r="A4229" s="342" t="s">
        <v>3148</v>
      </c>
      <c r="B4229" s="342" t="s">
        <v>3148</v>
      </c>
      <c r="C4229" s="342" t="str">
        <f>("TEL002")</f>
        <v>TEL002</v>
      </c>
      <c r="D4229" s="340">
        <v>250</v>
      </c>
      <c r="E4229" s="343"/>
    </row>
    <row r="4230" spans="1:5" s="335" customFormat="1" ht="84">
      <c r="A4230" s="342" t="s">
        <v>3149</v>
      </c>
      <c r="B4230" s="342" t="s">
        <v>3149</v>
      </c>
      <c r="C4230" s="342" t="str">
        <f>("TRA002")</f>
        <v>TRA002</v>
      </c>
      <c r="D4230" s="340">
        <v>2500</v>
      </c>
      <c r="E4230" s="343"/>
    </row>
    <row r="4231" spans="1:5" s="335" customFormat="1" ht="48">
      <c r="A4231" s="342" t="s">
        <v>3150</v>
      </c>
      <c r="B4231" s="342" t="s">
        <v>3150</v>
      </c>
      <c r="C4231" s="342" t="str">
        <f>("TRA003")</f>
        <v>TRA003</v>
      </c>
      <c r="D4231" s="340">
        <v>200</v>
      </c>
      <c r="E4231" s="343"/>
    </row>
    <row r="4232" spans="1:5" s="335" customFormat="1" ht="12.75">
      <c r="A4232" s="344"/>
      <c r="B4232" s="343"/>
      <c r="C4232" s="343"/>
      <c r="D4232" s="395"/>
      <c r="E4232" s="343"/>
    </row>
    <row r="4233" spans="1:5" s="335" customFormat="1" ht="15" customHeight="1">
      <c r="A4233" s="345"/>
      <c r="B4233" s="404" t="s">
        <v>3151</v>
      </c>
      <c r="C4233" s="404"/>
      <c r="D4233" s="404"/>
      <c r="E4233" s="404"/>
    </row>
    <row r="4234" spans="1:5" s="335" customFormat="1" ht="25.5">
      <c r="A4234" s="346" t="s">
        <v>789</v>
      </c>
      <c r="B4234" s="346" t="s">
        <v>409</v>
      </c>
      <c r="C4234" s="346" t="s">
        <v>26</v>
      </c>
      <c r="D4234" s="337" t="s">
        <v>6425</v>
      </c>
      <c r="E4234" s="343"/>
    </row>
    <row r="4235" spans="1:5" s="335" customFormat="1" ht="14.25">
      <c r="A4235" s="342" t="s">
        <v>3152</v>
      </c>
      <c r="B4235" s="342"/>
      <c r="C4235" s="342" t="s">
        <v>6235</v>
      </c>
      <c r="D4235" s="340">
        <v>0</v>
      </c>
      <c r="E4235" s="343"/>
    </row>
    <row r="4236" spans="1:5" s="335" customFormat="1" ht="12.75">
      <c r="A4236" s="403" t="s">
        <v>3153</v>
      </c>
      <c r="B4236" s="403"/>
      <c r="C4236" s="403"/>
      <c r="D4236" s="403"/>
      <c r="E4236" s="343"/>
    </row>
    <row r="4237" spans="1:5" s="335" customFormat="1" ht="48">
      <c r="A4237" s="342" t="s">
        <v>3154</v>
      </c>
      <c r="B4237" s="342" t="s">
        <v>3154</v>
      </c>
      <c r="C4237" s="342" t="str">
        <f>("7640007724")</f>
        <v>7640007724</v>
      </c>
      <c r="D4237" s="340">
        <v>110</v>
      </c>
      <c r="E4237" s="343"/>
    </row>
    <row r="4238" spans="1:5" s="335" customFormat="1" ht="36">
      <c r="A4238" s="342" t="s">
        <v>3155</v>
      </c>
      <c r="B4238" s="342" t="s">
        <v>3155</v>
      </c>
      <c r="C4238" s="342" t="str">
        <f>("7640007725")</f>
        <v>7640007725</v>
      </c>
      <c r="D4238" s="340">
        <v>110</v>
      </c>
      <c r="E4238" s="343"/>
    </row>
    <row r="4239" spans="1:5" s="335" customFormat="1" ht="36">
      <c r="A4239" s="342" t="s">
        <v>3156</v>
      </c>
      <c r="B4239" s="342" t="s">
        <v>3156</v>
      </c>
      <c r="C4239" s="342" t="str">
        <f>("7640007760")</f>
        <v>7640007760</v>
      </c>
      <c r="D4239" s="340">
        <v>0.56000000000000005</v>
      </c>
      <c r="E4239" s="343"/>
    </row>
    <row r="4240" spans="1:5" s="335" customFormat="1" ht="12.75">
      <c r="A4240" s="342" t="s">
        <v>3157</v>
      </c>
      <c r="B4240" s="342" t="s">
        <v>3157</v>
      </c>
      <c r="C4240" s="342" t="str">
        <f>("7640007791")</f>
        <v>7640007791</v>
      </c>
      <c r="D4240" s="340">
        <v>110</v>
      </c>
      <c r="E4240" s="343"/>
    </row>
    <row r="4241" spans="1:5" s="335" customFormat="1" ht="24">
      <c r="A4241" s="342" t="s">
        <v>3158</v>
      </c>
      <c r="B4241" s="342" t="s">
        <v>3158</v>
      </c>
      <c r="C4241" s="342" t="str">
        <f>("7640007792")</f>
        <v>7640007792</v>
      </c>
      <c r="D4241" s="340">
        <v>42</v>
      </c>
      <c r="E4241" s="343"/>
    </row>
    <row r="4242" spans="1:5" s="335" customFormat="1" ht="48">
      <c r="A4242" s="342" t="s">
        <v>3159</v>
      </c>
      <c r="B4242" s="342" t="s">
        <v>3159</v>
      </c>
      <c r="C4242" s="342" t="str">
        <f>("7640007797")</f>
        <v>7640007797</v>
      </c>
      <c r="D4242" s="340">
        <v>700</v>
      </c>
      <c r="E4242" s="343"/>
    </row>
    <row r="4243" spans="1:5" s="335" customFormat="1" ht="48">
      <c r="A4243" s="342" t="s">
        <v>3160</v>
      </c>
      <c r="B4243" s="342" t="s">
        <v>3160</v>
      </c>
      <c r="C4243" s="342" t="str">
        <f>("7640007839")</f>
        <v>7640007839</v>
      </c>
      <c r="D4243" s="340">
        <v>110</v>
      </c>
      <c r="E4243" s="343"/>
    </row>
    <row r="4244" spans="1:5" s="335" customFormat="1" ht="84">
      <c r="A4244" s="342" t="s">
        <v>3161</v>
      </c>
      <c r="B4244" s="342" t="s">
        <v>3161</v>
      </c>
      <c r="C4244" s="342" t="str">
        <f>("7640007844")</f>
        <v>7640007844</v>
      </c>
      <c r="D4244" s="340">
        <v>1</v>
      </c>
      <c r="E4244" s="343"/>
    </row>
    <row r="4245" spans="1:5" s="335" customFormat="1" ht="84">
      <c r="A4245" s="342" t="s">
        <v>3162</v>
      </c>
      <c r="B4245" s="342" t="s">
        <v>3162</v>
      </c>
      <c r="C4245" s="342" t="str">
        <f>("7640007845")</f>
        <v>7640007845</v>
      </c>
      <c r="D4245" s="340">
        <v>1</v>
      </c>
      <c r="E4245" s="343"/>
    </row>
    <row r="4246" spans="1:5" s="335" customFormat="1" ht="36">
      <c r="A4246" s="342" t="s">
        <v>3163</v>
      </c>
      <c r="B4246" s="342" t="s">
        <v>3163</v>
      </c>
      <c r="C4246" s="342" t="str">
        <f>("7640007846")</f>
        <v>7640007846</v>
      </c>
      <c r="D4246" s="340">
        <v>1</v>
      </c>
      <c r="E4246" s="343"/>
    </row>
    <row r="4247" spans="1:5" s="335" customFormat="1" ht="24">
      <c r="A4247" s="342" t="s">
        <v>3164</v>
      </c>
      <c r="B4247" s="342" t="s">
        <v>3164</v>
      </c>
      <c r="C4247" s="342" t="str">
        <f>("7640007847")</f>
        <v>7640007847</v>
      </c>
      <c r="D4247" s="340">
        <v>1</v>
      </c>
      <c r="E4247" s="343"/>
    </row>
    <row r="4248" spans="1:5" s="335" customFormat="1" ht="72">
      <c r="A4248" s="342" t="s">
        <v>3165</v>
      </c>
      <c r="B4248" s="342" t="s">
        <v>3165</v>
      </c>
      <c r="C4248" s="342" t="str">
        <f>("7640008111")</f>
        <v>7640008111</v>
      </c>
      <c r="D4248" s="340">
        <v>132</v>
      </c>
      <c r="E4248" s="343"/>
    </row>
    <row r="4249" spans="1:5" s="335" customFormat="1" ht="24">
      <c r="A4249" s="342" t="s">
        <v>3166</v>
      </c>
      <c r="B4249" s="342" t="s">
        <v>3167</v>
      </c>
      <c r="C4249" s="342" t="str">
        <f>("7640009379")</f>
        <v>7640009379</v>
      </c>
      <c r="D4249" s="340">
        <v>672</v>
      </c>
      <c r="E4249" s="343"/>
    </row>
    <row r="4250" spans="1:5" s="335" customFormat="1" ht="24">
      <c r="A4250" s="342" t="s">
        <v>3168</v>
      </c>
      <c r="B4250" s="342" t="s">
        <v>3169</v>
      </c>
      <c r="C4250" s="342" t="str">
        <f>("7640009380")</f>
        <v>7640009380</v>
      </c>
      <c r="D4250" s="340">
        <v>777</v>
      </c>
      <c r="E4250" s="343"/>
    </row>
    <row r="4251" spans="1:5" s="335" customFormat="1" ht="24">
      <c r="A4251" s="342" t="s">
        <v>3170</v>
      </c>
      <c r="B4251" s="342" t="s">
        <v>3171</v>
      </c>
      <c r="C4251" s="342" t="str">
        <f>("7640009381")</f>
        <v>7640009381</v>
      </c>
      <c r="D4251" s="340">
        <v>25</v>
      </c>
      <c r="E4251" s="343"/>
    </row>
    <row r="4252" spans="1:5" s="335" customFormat="1" ht="36">
      <c r="A4252" s="342" t="s">
        <v>3172</v>
      </c>
      <c r="B4252" s="342" t="s">
        <v>3172</v>
      </c>
      <c r="C4252" s="342" t="str">
        <f>("7640013445")</f>
        <v>7640013445</v>
      </c>
      <c r="D4252" s="340">
        <v>800</v>
      </c>
      <c r="E4252" s="343"/>
    </row>
    <row r="4253" spans="1:5" s="335" customFormat="1" ht="48">
      <c r="A4253" s="342" t="s">
        <v>3173</v>
      </c>
      <c r="B4253" s="342" t="s">
        <v>3173</v>
      </c>
      <c r="C4253" s="342" t="str">
        <f>("7640014142")</f>
        <v>7640014142</v>
      </c>
      <c r="D4253" s="340">
        <v>707</v>
      </c>
      <c r="E4253" s="343"/>
    </row>
    <row r="4254" spans="1:5" s="335" customFormat="1" ht="36">
      <c r="A4254" s="342" t="s">
        <v>3174</v>
      </c>
      <c r="B4254" s="342" t="s">
        <v>3174</v>
      </c>
      <c r="C4254" s="342" t="str">
        <f>("7640015809")</f>
        <v>7640015809</v>
      </c>
      <c r="D4254" s="340">
        <v>0.22</v>
      </c>
      <c r="E4254" s="343"/>
    </row>
    <row r="4255" spans="1:5" s="335" customFormat="1" ht="24">
      <c r="A4255" s="342" t="s">
        <v>3175</v>
      </c>
      <c r="B4255" s="342" t="s">
        <v>3175</v>
      </c>
      <c r="C4255" s="342" t="str">
        <f>("7640015810")</f>
        <v>7640015810</v>
      </c>
      <c r="D4255" s="340">
        <v>0.16</v>
      </c>
      <c r="E4255" s="343"/>
    </row>
    <row r="4256" spans="1:5" s="335" customFormat="1" ht="24">
      <c r="A4256" s="342" t="s">
        <v>3176</v>
      </c>
      <c r="B4256" s="342" t="s">
        <v>3176</v>
      </c>
      <c r="C4256" s="342" t="str">
        <f>("7640015811")</f>
        <v>7640015811</v>
      </c>
      <c r="D4256" s="340">
        <v>0.16</v>
      </c>
      <c r="E4256" s="343"/>
    </row>
    <row r="4257" spans="1:5" s="335" customFormat="1" ht="24">
      <c r="A4257" s="342" t="s">
        <v>3177</v>
      </c>
      <c r="B4257" s="342" t="s">
        <v>3177</v>
      </c>
      <c r="C4257" s="342" t="str">
        <f>("7640015812")</f>
        <v>7640015812</v>
      </c>
      <c r="D4257" s="340">
        <v>0.16</v>
      </c>
      <c r="E4257" s="343"/>
    </row>
    <row r="4258" spans="1:5" s="335" customFormat="1" ht="24">
      <c r="A4258" s="342" t="s">
        <v>3178</v>
      </c>
      <c r="B4258" s="342" t="s">
        <v>3178</v>
      </c>
      <c r="C4258" s="342" t="str">
        <f>("7640015813")</f>
        <v>7640015813</v>
      </c>
      <c r="D4258" s="340">
        <v>0.16</v>
      </c>
      <c r="E4258" s="343"/>
    </row>
    <row r="4259" spans="1:5" s="335" customFormat="1" ht="24">
      <c r="A4259" s="342" t="s">
        <v>3179</v>
      </c>
      <c r="B4259" s="342" t="s">
        <v>3179</v>
      </c>
      <c r="C4259" s="342" t="str">
        <f>("7640015814")</f>
        <v>7640015814</v>
      </c>
      <c r="D4259" s="340">
        <v>0.16</v>
      </c>
      <c r="E4259" s="343"/>
    </row>
    <row r="4260" spans="1:5" s="335" customFormat="1" ht="24">
      <c r="A4260" s="342" t="s">
        <v>3180</v>
      </c>
      <c r="B4260" s="342" t="s">
        <v>3180</v>
      </c>
      <c r="C4260" s="342" t="str">
        <f>("7640015815")</f>
        <v>7640015815</v>
      </c>
      <c r="D4260" s="340">
        <v>0.25</v>
      </c>
      <c r="E4260" s="343"/>
    </row>
    <row r="4261" spans="1:5" s="335" customFormat="1" ht="24">
      <c r="A4261" s="342" t="s">
        <v>3181</v>
      </c>
      <c r="B4261" s="342" t="s">
        <v>3181</v>
      </c>
      <c r="C4261" s="342" t="str">
        <f>("7640015816")</f>
        <v>7640015816</v>
      </c>
      <c r="D4261" s="340">
        <v>375</v>
      </c>
      <c r="E4261" s="343"/>
    </row>
    <row r="4262" spans="1:5" s="335" customFormat="1" ht="48">
      <c r="A4262" s="342" t="s">
        <v>3182</v>
      </c>
      <c r="B4262" s="342" t="s">
        <v>3182</v>
      </c>
      <c r="C4262" s="342" t="str">
        <f>("7640015882")</f>
        <v>7640015882</v>
      </c>
      <c r="D4262" s="340">
        <v>1465</v>
      </c>
      <c r="E4262" s="343"/>
    </row>
    <row r="4263" spans="1:5" s="335" customFormat="1" ht="12.75">
      <c r="A4263" s="403" t="s">
        <v>3183</v>
      </c>
      <c r="B4263" s="403"/>
      <c r="C4263" s="403"/>
      <c r="D4263" s="403"/>
      <c r="E4263" s="343"/>
    </row>
    <row r="4264" spans="1:5" s="335" customFormat="1" ht="24">
      <c r="A4264" s="342" t="s">
        <v>3184</v>
      </c>
      <c r="B4264" s="342" t="s">
        <v>3185</v>
      </c>
      <c r="C4264" s="342" t="str">
        <f>("7640007759")</f>
        <v>7640007759</v>
      </c>
      <c r="D4264" s="340">
        <v>693</v>
      </c>
      <c r="E4264" s="343"/>
    </row>
    <row r="4265" spans="1:5" s="335" customFormat="1" ht="72">
      <c r="A4265" s="342" t="s">
        <v>3186</v>
      </c>
      <c r="B4265" s="342" t="s">
        <v>3187</v>
      </c>
      <c r="C4265" s="342" t="str">
        <f>("7640007838")</f>
        <v>7640007838</v>
      </c>
      <c r="D4265" s="340">
        <v>1316</v>
      </c>
      <c r="E4265" s="343"/>
    </row>
    <row r="4266" spans="1:5" s="335" customFormat="1" ht="120">
      <c r="A4266" s="342" t="s">
        <v>3188</v>
      </c>
      <c r="B4266" s="342" t="s">
        <v>3189</v>
      </c>
      <c r="C4266" s="342" t="str">
        <f>("7640009370")</f>
        <v>7640009370</v>
      </c>
      <c r="D4266" s="340">
        <v>2629</v>
      </c>
      <c r="E4266" s="343"/>
    </row>
    <row r="4267" spans="1:5" s="335" customFormat="1" ht="132">
      <c r="A4267" s="342" t="s">
        <v>3190</v>
      </c>
      <c r="B4267" s="342" t="s">
        <v>3191</v>
      </c>
      <c r="C4267" s="342" t="str">
        <f>("7640009371")</f>
        <v>7640009371</v>
      </c>
      <c r="D4267" s="340">
        <v>3156</v>
      </c>
      <c r="E4267" s="343"/>
    </row>
    <row r="4268" spans="1:5" s="335" customFormat="1" ht="48">
      <c r="A4268" s="342" t="s">
        <v>3192</v>
      </c>
      <c r="B4268" s="342" t="s">
        <v>3193</v>
      </c>
      <c r="C4268" s="342" t="str">
        <f>("7640009372")</f>
        <v>7640009372</v>
      </c>
      <c r="D4268" s="340">
        <v>1158</v>
      </c>
      <c r="E4268" s="343"/>
    </row>
    <row r="4269" spans="1:5" s="335" customFormat="1" ht="36">
      <c r="A4269" s="342" t="s">
        <v>3194</v>
      </c>
      <c r="B4269" s="342" t="s">
        <v>3195</v>
      </c>
      <c r="C4269" s="342" t="str">
        <f>("7640009373")</f>
        <v>7640009373</v>
      </c>
      <c r="D4269" s="340">
        <v>1632</v>
      </c>
      <c r="E4269" s="343"/>
    </row>
    <row r="4270" spans="1:5" s="335" customFormat="1" ht="36">
      <c r="A4270" s="342" t="s">
        <v>3196</v>
      </c>
      <c r="B4270" s="342" t="s">
        <v>3197</v>
      </c>
      <c r="C4270" s="342" t="str">
        <f>("7640009374")</f>
        <v>7640009374</v>
      </c>
      <c r="D4270" s="340">
        <v>4166</v>
      </c>
      <c r="E4270" s="343"/>
    </row>
    <row r="4271" spans="1:5" s="335" customFormat="1" ht="36">
      <c r="A4271" s="342" t="s">
        <v>3196</v>
      </c>
      <c r="B4271" s="342" t="s">
        <v>3198</v>
      </c>
      <c r="C4271" s="342" t="str">
        <f>("7640009375")</f>
        <v>7640009375</v>
      </c>
      <c r="D4271" s="340">
        <v>4903</v>
      </c>
      <c r="E4271" s="343"/>
    </row>
    <row r="4272" spans="1:5" s="335" customFormat="1" ht="48">
      <c r="A4272" s="342" t="s">
        <v>3199</v>
      </c>
      <c r="B4272" s="342" t="s">
        <v>3200</v>
      </c>
      <c r="C4272" s="342" t="str">
        <f>("7640009376")</f>
        <v>7640009376</v>
      </c>
      <c r="D4272" s="340">
        <v>6051</v>
      </c>
      <c r="E4272" s="343"/>
    </row>
    <row r="4273" spans="1:5" s="335" customFormat="1" ht="72">
      <c r="A4273" s="342" t="s">
        <v>3201</v>
      </c>
      <c r="B4273" s="342" t="s">
        <v>3202</v>
      </c>
      <c r="C4273" s="342" t="str">
        <f>("7640009377")</f>
        <v>7640009377</v>
      </c>
      <c r="D4273" s="340">
        <v>6314</v>
      </c>
      <c r="E4273" s="343"/>
    </row>
    <row r="4274" spans="1:5" s="335" customFormat="1" ht="24">
      <c r="A4274" s="342" t="s">
        <v>3203</v>
      </c>
      <c r="B4274" s="342" t="s">
        <v>3203</v>
      </c>
      <c r="C4274" s="342" t="str">
        <f>("7640015898")</f>
        <v>7640015898</v>
      </c>
      <c r="D4274" s="340">
        <v>3758</v>
      </c>
      <c r="E4274" s="343"/>
    </row>
    <row r="4275" spans="1:5" s="335" customFormat="1" ht="24">
      <c r="A4275" s="342" t="s">
        <v>3204</v>
      </c>
      <c r="B4275" s="342" t="s">
        <v>3204</v>
      </c>
      <c r="C4275" s="342" t="str">
        <f>("7640015899")</f>
        <v>7640015899</v>
      </c>
      <c r="D4275" s="340">
        <v>267</v>
      </c>
      <c r="E4275" s="343"/>
    </row>
    <row r="4276" spans="1:5" s="335" customFormat="1" ht="12.75">
      <c r="A4276" s="403" t="s">
        <v>3205</v>
      </c>
      <c r="B4276" s="403"/>
      <c r="C4276" s="403"/>
      <c r="D4276" s="403"/>
      <c r="E4276" s="343"/>
    </row>
    <row r="4277" spans="1:5" s="335" customFormat="1" ht="48">
      <c r="A4277" s="342" t="s">
        <v>3206</v>
      </c>
      <c r="B4277" s="342" t="s">
        <v>3207</v>
      </c>
      <c r="C4277" s="342" t="str">
        <f>("7640009394")</f>
        <v>7640009394</v>
      </c>
      <c r="D4277" s="340">
        <v>945</v>
      </c>
      <c r="E4277" s="343"/>
    </row>
    <row r="4278" spans="1:5" s="335" customFormat="1" ht="60">
      <c r="A4278" s="342" t="s">
        <v>3208</v>
      </c>
      <c r="B4278" s="342" t="s">
        <v>3209</v>
      </c>
      <c r="C4278" s="342" t="str">
        <f>("7640009395")</f>
        <v>7640009395</v>
      </c>
      <c r="D4278" s="340">
        <v>1374</v>
      </c>
      <c r="E4278" s="343"/>
    </row>
    <row r="4279" spans="1:5" s="335" customFormat="1" ht="60">
      <c r="A4279" s="342" t="s">
        <v>3210</v>
      </c>
      <c r="B4279" s="342" t="s">
        <v>3211</v>
      </c>
      <c r="C4279" s="342" t="str">
        <f>("7640009396")</f>
        <v>7640009396</v>
      </c>
      <c r="D4279" s="340">
        <v>1153</v>
      </c>
      <c r="E4279" s="343"/>
    </row>
    <row r="4280" spans="1:5" s="335" customFormat="1" ht="48">
      <c r="A4280" s="342" t="s">
        <v>3212</v>
      </c>
      <c r="B4280" s="342" t="s">
        <v>3213</v>
      </c>
      <c r="C4280" s="342" t="str">
        <f>("7640009397")</f>
        <v>7640009397</v>
      </c>
      <c r="D4280" s="340">
        <v>1051</v>
      </c>
      <c r="E4280" s="343"/>
    </row>
    <row r="4281" spans="1:5" s="335" customFormat="1" ht="48">
      <c r="A4281" s="342" t="s">
        <v>3214</v>
      </c>
      <c r="B4281" s="342" t="s">
        <v>3215</v>
      </c>
      <c r="C4281" s="342" t="str">
        <f>("7640009398")</f>
        <v>7640009398</v>
      </c>
      <c r="D4281" s="340">
        <v>1153</v>
      </c>
      <c r="E4281" s="343"/>
    </row>
    <row r="4282" spans="1:5" s="335" customFormat="1" ht="84">
      <c r="A4282" s="342" t="s">
        <v>3216</v>
      </c>
      <c r="B4282" s="342" t="s">
        <v>3217</v>
      </c>
      <c r="C4282" s="342" t="str">
        <f>("7640009399")</f>
        <v>7640009399</v>
      </c>
      <c r="D4282" s="340">
        <v>5261</v>
      </c>
      <c r="E4282" s="343"/>
    </row>
    <row r="4283" spans="1:5" s="335" customFormat="1" ht="72">
      <c r="A4283" s="342" t="s">
        <v>3218</v>
      </c>
      <c r="B4283" s="342" t="s">
        <v>3219</v>
      </c>
      <c r="C4283" s="342" t="str">
        <f>("7640009400")</f>
        <v>7640009400</v>
      </c>
      <c r="D4283" s="340">
        <v>4840</v>
      </c>
      <c r="E4283" s="343"/>
    </row>
    <row r="4284" spans="1:5" s="335" customFormat="1" ht="48">
      <c r="A4284" s="342" t="s">
        <v>3220</v>
      </c>
      <c r="B4284" s="342" t="s">
        <v>3221</v>
      </c>
      <c r="C4284" s="342" t="str">
        <f>("7640009401")</f>
        <v>7640009401</v>
      </c>
      <c r="D4284" s="340">
        <v>4208</v>
      </c>
      <c r="E4284" s="343"/>
    </row>
    <row r="4285" spans="1:5" s="335" customFormat="1" ht="72">
      <c r="A4285" s="342" t="s">
        <v>3222</v>
      </c>
      <c r="B4285" s="342" t="s">
        <v>3223</v>
      </c>
      <c r="C4285" s="342" t="str">
        <f>("7640009402")</f>
        <v>7640009402</v>
      </c>
      <c r="D4285" s="340">
        <v>4500</v>
      </c>
      <c r="E4285" s="343"/>
    </row>
    <row r="4286" spans="1:5" s="335" customFormat="1" ht="84">
      <c r="A4286" s="342" t="s">
        <v>3224</v>
      </c>
      <c r="B4286" s="342" t="s">
        <v>3225</v>
      </c>
      <c r="C4286" s="342" t="str">
        <f>("7640009403")</f>
        <v>7640009403</v>
      </c>
      <c r="D4286" s="340">
        <v>5261</v>
      </c>
      <c r="E4286" s="343"/>
    </row>
    <row r="4287" spans="1:5" s="335" customFormat="1" ht="84">
      <c r="A4287" s="342" t="s">
        <v>3226</v>
      </c>
      <c r="B4287" s="342" t="s">
        <v>3227</v>
      </c>
      <c r="C4287" s="342" t="str">
        <f>("7640009404")</f>
        <v>7640009404</v>
      </c>
      <c r="D4287" s="340">
        <v>4500</v>
      </c>
      <c r="E4287" s="343"/>
    </row>
    <row r="4288" spans="1:5" s="335" customFormat="1" ht="24">
      <c r="A4288" s="342" t="s">
        <v>3228</v>
      </c>
      <c r="B4288" s="342" t="s">
        <v>3228</v>
      </c>
      <c r="C4288" s="342" t="str">
        <f>("7640009405")</f>
        <v>7640009405</v>
      </c>
      <c r="D4288" s="340">
        <v>945</v>
      </c>
      <c r="E4288" s="343"/>
    </row>
    <row r="4289" spans="1:5" s="335" customFormat="1" ht="24">
      <c r="A4289" s="342" t="s">
        <v>3229</v>
      </c>
      <c r="B4289" s="342" t="s">
        <v>3229</v>
      </c>
      <c r="C4289" s="342" t="str">
        <f>("7640015358")</f>
        <v>7640015358</v>
      </c>
      <c r="D4289" s="340">
        <v>3319</v>
      </c>
      <c r="E4289" s="343"/>
    </row>
    <row r="4290" spans="1:5" s="335" customFormat="1" ht="24">
      <c r="A4290" s="342" t="s">
        <v>3230</v>
      </c>
      <c r="B4290" s="342" t="s">
        <v>3230</v>
      </c>
      <c r="C4290" s="342" t="str">
        <f>("7640015800")</f>
        <v>7640015800</v>
      </c>
      <c r="D4290" s="340">
        <v>6990</v>
      </c>
      <c r="E4290" s="343"/>
    </row>
    <row r="4291" spans="1:5" s="335" customFormat="1" ht="24">
      <c r="A4291" s="342" t="s">
        <v>3231</v>
      </c>
      <c r="B4291" s="342" t="s">
        <v>3231</v>
      </c>
      <c r="C4291" s="342" t="str">
        <f>("7640015801")</f>
        <v>7640015801</v>
      </c>
      <c r="D4291" s="340">
        <v>1275</v>
      </c>
      <c r="E4291" s="343"/>
    </row>
    <row r="4292" spans="1:5" s="335" customFormat="1" ht="24">
      <c r="A4292" s="342" t="s">
        <v>3232</v>
      </c>
      <c r="B4292" s="342" t="s">
        <v>3232</v>
      </c>
      <c r="C4292" s="342" t="str">
        <f>("7640015802")</f>
        <v>7640015802</v>
      </c>
      <c r="D4292" s="340">
        <v>600</v>
      </c>
      <c r="E4292" s="343"/>
    </row>
    <row r="4293" spans="1:5" s="335" customFormat="1" ht="24">
      <c r="A4293" s="342" t="s">
        <v>3233</v>
      </c>
      <c r="B4293" s="342" t="s">
        <v>3233</v>
      </c>
      <c r="C4293" s="342" t="str">
        <f>("7640015803")</f>
        <v>7640015803</v>
      </c>
      <c r="D4293" s="340">
        <v>700</v>
      </c>
      <c r="E4293" s="343"/>
    </row>
    <row r="4294" spans="1:5" s="335" customFormat="1" ht="24">
      <c r="A4294" s="342" t="s">
        <v>3234</v>
      </c>
      <c r="B4294" s="342" t="s">
        <v>3234</v>
      </c>
      <c r="C4294" s="342" t="str">
        <f>("7640015804")</f>
        <v>7640015804</v>
      </c>
      <c r="D4294" s="340">
        <v>700</v>
      </c>
      <c r="E4294" s="343"/>
    </row>
    <row r="4295" spans="1:5" s="335" customFormat="1" ht="12.75">
      <c r="A4295" s="342" t="s">
        <v>3235</v>
      </c>
      <c r="B4295" s="342" t="s">
        <v>3235</v>
      </c>
      <c r="C4295" s="342" t="str">
        <f>("7640015805")</f>
        <v>7640015805</v>
      </c>
      <c r="D4295" s="340">
        <v>675</v>
      </c>
      <c r="E4295" s="343"/>
    </row>
    <row r="4296" spans="1:5" s="335" customFormat="1" ht="12.75">
      <c r="A4296" s="342" t="s">
        <v>3236</v>
      </c>
      <c r="B4296" s="342" t="s">
        <v>3236</v>
      </c>
      <c r="C4296" s="342" t="str">
        <f>("7640015806")</f>
        <v>7640015806</v>
      </c>
      <c r="D4296" s="340">
        <v>975</v>
      </c>
      <c r="E4296" s="343"/>
    </row>
    <row r="4297" spans="1:5" s="335" customFormat="1" ht="12.75">
      <c r="A4297" s="342" t="s">
        <v>3237</v>
      </c>
      <c r="B4297" s="342" t="s">
        <v>3237</v>
      </c>
      <c r="C4297" s="342" t="str">
        <f>("7640015807")</f>
        <v>7640015807</v>
      </c>
      <c r="D4297" s="340">
        <v>670</v>
      </c>
      <c r="E4297" s="343"/>
    </row>
    <row r="4298" spans="1:5" s="335" customFormat="1" ht="12.75">
      <c r="A4298" s="342" t="s">
        <v>3238</v>
      </c>
      <c r="B4298" s="342" t="s">
        <v>3238</v>
      </c>
      <c r="C4298" s="342" t="str">
        <f>("7640015808")</f>
        <v>7640015808</v>
      </c>
      <c r="D4298" s="340">
        <v>525</v>
      </c>
      <c r="E4298" s="343"/>
    </row>
    <row r="4299" spans="1:5" s="335" customFormat="1" ht="36">
      <c r="A4299" s="342" t="s">
        <v>3239</v>
      </c>
      <c r="B4299" s="342" t="s">
        <v>3240</v>
      </c>
      <c r="C4299" s="342" t="str">
        <f>("7640015993")</f>
        <v>7640015993</v>
      </c>
      <c r="D4299" s="340">
        <v>339</v>
      </c>
      <c r="E4299" s="343"/>
    </row>
    <row r="4300" spans="1:5" s="335" customFormat="1" ht="60">
      <c r="A4300" s="342" t="s">
        <v>3241</v>
      </c>
      <c r="B4300" s="342" t="s">
        <v>3242</v>
      </c>
      <c r="C4300" s="342" t="str">
        <f>("7640015994")</f>
        <v>7640015994</v>
      </c>
      <c r="D4300" s="340">
        <v>1390</v>
      </c>
      <c r="E4300" s="343"/>
    </row>
    <row r="4301" spans="1:5" s="335" customFormat="1" ht="24">
      <c r="A4301" s="342" t="s">
        <v>3243</v>
      </c>
      <c r="B4301" s="342" t="s">
        <v>3244</v>
      </c>
      <c r="C4301" s="342" t="str">
        <f>("7640017755")</f>
        <v>7640017755</v>
      </c>
      <c r="D4301" s="340">
        <v>1435</v>
      </c>
      <c r="E4301" s="343"/>
    </row>
    <row r="4302" spans="1:5" s="335" customFormat="1" ht="24">
      <c r="A4302" s="342" t="s">
        <v>3245</v>
      </c>
      <c r="B4302" s="342" t="s">
        <v>3246</v>
      </c>
      <c r="C4302" s="342" t="str">
        <f>("7640017756")</f>
        <v>7640017756</v>
      </c>
      <c r="D4302" s="340">
        <v>5435</v>
      </c>
      <c r="E4302" s="343"/>
    </row>
    <row r="4303" spans="1:5" s="335" customFormat="1" ht="36">
      <c r="A4303" s="342" t="s">
        <v>3247</v>
      </c>
      <c r="B4303" s="342" t="s">
        <v>3248</v>
      </c>
      <c r="C4303" s="342" t="str">
        <f>("7640017757")</f>
        <v>7640017757</v>
      </c>
      <c r="D4303" s="340">
        <v>6100</v>
      </c>
      <c r="E4303" s="343"/>
    </row>
    <row r="4304" spans="1:5" s="335" customFormat="1" ht="12.75">
      <c r="A4304" s="403" t="s">
        <v>1513</v>
      </c>
      <c r="B4304" s="403"/>
      <c r="C4304" s="403"/>
      <c r="D4304" s="403"/>
      <c r="E4304" s="343"/>
    </row>
    <row r="4305" spans="1:5" s="335" customFormat="1" ht="96">
      <c r="A4305" s="342" t="s">
        <v>3249</v>
      </c>
      <c r="B4305" s="342" t="s">
        <v>3249</v>
      </c>
      <c r="C4305" s="342" t="str">
        <f>("7640007733")</f>
        <v>7640007733</v>
      </c>
      <c r="D4305" s="340">
        <v>1635</v>
      </c>
      <c r="E4305" s="343"/>
    </row>
    <row r="4306" spans="1:5" s="335" customFormat="1" ht="84">
      <c r="A4306" s="342" t="s">
        <v>3250</v>
      </c>
      <c r="B4306" s="342" t="s">
        <v>3250</v>
      </c>
      <c r="C4306" s="342" t="s">
        <v>6236</v>
      </c>
      <c r="D4306" s="340">
        <v>2365</v>
      </c>
      <c r="E4306" s="343"/>
    </row>
    <row r="4307" spans="1:5" s="335" customFormat="1" ht="84">
      <c r="A4307" s="342" t="s">
        <v>3251</v>
      </c>
      <c r="B4307" s="342" t="s">
        <v>3251</v>
      </c>
      <c r="C4307" s="342" t="str">
        <f>("7640007737")</f>
        <v>7640007737</v>
      </c>
      <c r="D4307" s="340">
        <v>2235</v>
      </c>
      <c r="E4307" s="343"/>
    </row>
    <row r="4308" spans="1:5" s="335" customFormat="1" ht="84">
      <c r="A4308" s="342" t="s">
        <v>3252</v>
      </c>
      <c r="B4308" s="342" t="s">
        <v>3252</v>
      </c>
      <c r="C4308" s="342" t="str">
        <f>("7640007739")</f>
        <v>7640007739</v>
      </c>
      <c r="D4308" s="340">
        <v>3100</v>
      </c>
      <c r="E4308" s="343"/>
    </row>
    <row r="4309" spans="1:5" s="335" customFormat="1" ht="60">
      <c r="A4309" s="342" t="s">
        <v>3253</v>
      </c>
      <c r="B4309" s="342" t="s">
        <v>3254</v>
      </c>
      <c r="C4309" s="342" t="str">
        <f>("7640007742")</f>
        <v>7640007742</v>
      </c>
      <c r="D4309" s="340">
        <v>579</v>
      </c>
      <c r="E4309" s="343"/>
    </row>
    <row r="4310" spans="1:5" s="335" customFormat="1" ht="12.75">
      <c r="A4310" s="403" t="s">
        <v>1545</v>
      </c>
      <c r="B4310" s="403"/>
      <c r="C4310" s="403"/>
      <c r="D4310" s="403"/>
      <c r="E4310" s="343"/>
    </row>
    <row r="4311" spans="1:5" s="335" customFormat="1" ht="24">
      <c r="A4311" s="342" t="s">
        <v>3255</v>
      </c>
      <c r="B4311" s="342" t="s">
        <v>3255</v>
      </c>
      <c r="C4311" s="342" t="str">
        <f>("6040-G-C")</f>
        <v>6040-G-C</v>
      </c>
      <c r="D4311" s="340">
        <v>0</v>
      </c>
      <c r="E4311" s="343"/>
    </row>
    <row r="4312" spans="1:5" s="335" customFormat="1" ht="48">
      <c r="A4312" s="342" t="s">
        <v>3256</v>
      </c>
      <c r="B4312" s="342" t="s">
        <v>3256</v>
      </c>
      <c r="C4312" s="342" t="str">
        <f>("6040-G-WP")</f>
        <v>6040-G-WP</v>
      </c>
      <c r="D4312" s="340">
        <v>0</v>
      </c>
      <c r="E4312" s="343"/>
    </row>
    <row r="4313" spans="1:5" s="335" customFormat="1" ht="36">
      <c r="A4313" s="342" t="s">
        <v>3257</v>
      </c>
      <c r="B4313" s="342" t="s">
        <v>3258</v>
      </c>
      <c r="C4313" s="342" t="str">
        <f>("7640007796")</f>
        <v>7640007796</v>
      </c>
      <c r="D4313" s="340">
        <v>3500</v>
      </c>
      <c r="E4313" s="343"/>
    </row>
    <row r="4314" spans="1:5" s="335" customFormat="1" ht="60">
      <c r="A4314" s="342" t="s">
        <v>3259</v>
      </c>
      <c r="B4314" s="342" t="s">
        <v>3260</v>
      </c>
      <c r="C4314" s="342" t="str">
        <f>("7640007799")</f>
        <v>7640007799</v>
      </c>
      <c r="D4314" s="340">
        <v>400</v>
      </c>
      <c r="E4314" s="343"/>
    </row>
    <row r="4315" spans="1:5" s="335" customFormat="1" ht="48">
      <c r="A4315" s="342" t="s">
        <v>3261</v>
      </c>
      <c r="B4315" s="342" t="s">
        <v>3261</v>
      </c>
      <c r="C4315" s="342" t="str">
        <f>("7640007800")</f>
        <v>7640007800</v>
      </c>
      <c r="D4315" s="340">
        <v>250</v>
      </c>
      <c r="E4315" s="343"/>
    </row>
    <row r="4316" spans="1:5" s="335" customFormat="1" ht="36">
      <c r="A4316" s="342" t="s">
        <v>3262</v>
      </c>
      <c r="B4316" s="342" t="s">
        <v>3262</v>
      </c>
      <c r="C4316" s="342" t="str">
        <f>("7640007801")</f>
        <v>7640007801</v>
      </c>
      <c r="D4316" s="340">
        <v>25</v>
      </c>
      <c r="E4316" s="343"/>
    </row>
    <row r="4317" spans="1:5" s="335" customFormat="1" ht="36">
      <c r="A4317" s="342" t="s">
        <v>3263</v>
      </c>
      <c r="B4317" s="342" t="s">
        <v>3263</v>
      </c>
      <c r="C4317" s="342" t="str">
        <f>("7640007802")</f>
        <v>7640007802</v>
      </c>
      <c r="D4317" s="340">
        <v>750</v>
      </c>
      <c r="E4317" s="343"/>
    </row>
    <row r="4318" spans="1:5" s="335" customFormat="1" ht="24">
      <c r="A4318" s="342" t="s">
        <v>3264</v>
      </c>
      <c r="B4318" s="342" t="s">
        <v>3264</v>
      </c>
      <c r="C4318" s="342" t="str">
        <f>("7640007803")</f>
        <v>7640007803</v>
      </c>
      <c r="D4318" s="340">
        <v>1500</v>
      </c>
      <c r="E4318" s="343"/>
    </row>
    <row r="4319" spans="1:5" s="335" customFormat="1" ht="36">
      <c r="A4319" s="342" t="s">
        <v>3265</v>
      </c>
      <c r="B4319" s="342" t="s">
        <v>3265</v>
      </c>
      <c r="C4319" s="342" t="str">
        <f>("7640007842")</f>
        <v>7640007842</v>
      </c>
      <c r="D4319" s="340">
        <v>3500</v>
      </c>
      <c r="E4319" s="343"/>
    </row>
    <row r="4320" spans="1:5" s="335" customFormat="1" ht="36">
      <c r="A4320" s="342" t="s">
        <v>3266</v>
      </c>
      <c r="B4320" s="342" t="s">
        <v>3267</v>
      </c>
      <c r="C4320" s="342" t="s">
        <v>6237</v>
      </c>
      <c r="D4320" s="340">
        <v>3500</v>
      </c>
      <c r="E4320" s="343"/>
    </row>
    <row r="4321" spans="1:5" s="335" customFormat="1" ht="84">
      <c r="A4321" s="342" t="s">
        <v>3268</v>
      </c>
      <c r="B4321" s="342" t="s">
        <v>3269</v>
      </c>
      <c r="C4321" s="342" t="str">
        <f>("7640009387")</f>
        <v>7640009387</v>
      </c>
      <c r="D4321" s="340">
        <v>400</v>
      </c>
      <c r="E4321" s="343"/>
    </row>
    <row r="4322" spans="1:5" s="335" customFormat="1" ht="36">
      <c r="A4322" s="342" t="s">
        <v>3270</v>
      </c>
      <c r="B4322" s="342" t="s">
        <v>3271</v>
      </c>
      <c r="C4322" s="342" t="str">
        <f>("7640009388")</f>
        <v>7640009388</v>
      </c>
      <c r="D4322" s="340">
        <v>25</v>
      </c>
      <c r="E4322" s="343"/>
    </row>
    <row r="4323" spans="1:5" s="335" customFormat="1" ht="48">
      <c r="A4323" s="342" t="s">
        <v>3272</v>
      </c>
      <c r="B4323" s="342" t="s">
        <v>3273</v>
      </c>
      <c r="C4323" s="342" t="str">
        <f>("7640009389")</f>
        <v>7640009389</v>
      </c>
      <c r="D4323" s="340">
        <v>1250</v>
      </c>
      <c r="E4323" s="343"/>
    </row>
    <row r="4324" spans="1:5" s="335" customFormat="1" ht="24">
      <c r="A4324" s="342" t="s">
        <v>3274</v>
      </c>
      <c r="B4324" s="342" t="s">
        <v>3274</v>
      </c>
      <c r="C4324" s="342" t="str">
        <f>("7640009390")</f>
        <v>7640009390</v>
      </c>
      <c r="D4324" s="340">
        <v>100</v>
      </c>
      <c r="E4324" s="343"/>
    </row>
    <row r="4325" spans="1:5" s="335" customFormat="1" ht="24">
      <c r="A4325" s="342" t="s">
        <v>3275</v>
      </c>
      <c r="B4325" s="342" t="s">
        <v>3275</v>
      </c>
      <c r="C4325" s="342" t="str">
        <f>("7640009392")</f>
        <v>7640009392</v>
      </c>
      <c r="D4325" s="340">
        <v>4000</v>
      </c>
      <c r="E4325" s="343"/>
    </row>
    <row r="4326" spans="1:5" s="335" customFormat="1" ht="60">
      <c r="A4326" s="342" t="s">
        <v>3276</v>
      </c>
      <c r="B4326" s="342" t="s">
        <v>3277</v>
      </c>
      <c r="C4326" s="342" t="str">
        <f>("7640009393")</f>
        <v>7640009393</v>
      </c>
      <c r="D4326" s="340">
        <v>3800</v>
      </c>
      <c r="E4326" s="343"/>
    </row>
    <row r="4327" spans="1:5" s="335" customFormat="1" ht="48">
      <c r="A4327" s="342" t="s">
        <v>3278</v>
      </c>
      <c r="B4327" s="342" t="s">
        <v>3279</v>
      </c>
      <c r="C4327" s="342" t="str">
        <f>("7640015163")</f>
        <v>7640015163</v>
      </c>
      <c r="D4327" s="340">
        <v>667</v>
      </c>
      <c r="E4327" s="343"/>
    </row>
    <row r="4328" spans="1:5" s="335" customFormat="1" ht="36">
      <c r="A4328" s="342" t="s">
        <v>3280</v>
      </c>
      <c r="B4328" s="342" t="s">
        <v>3281</v>
      </c>
      <c r="C4328" s="342" t="str">
        <f>("7640015164")</f>
        <v>7640015164</v>
      </c>
      <c r="D4328" s="340">
        <v>2085</v>
      </c>
      <c r="E4328" s="343"/>
    </row>
    <row r="4329" spans="1:5" s="335" customFormat="1" ht="24">
      <c r="A4329" s="342" t="s">
        <v>3282</v>
      </c>
      <c r="B4329" s="342" t="s">
        <v>3282</v>
      </c>
      <c r="C4329" s="342" t="str">
        <f>("7640015165")</f>
        <v>7640015165</v>
      </c>
      <c r="D4329" s="340">
        <v>833</v>
      </c>
      <c r="E4329" s="343"/>
    </row>
    <row r="4330" spans="1:5" s="335" customFormat="1" ht="48">
      <c r="A4330" s="342" t="s">
        <v>3283</v>
      </c>
      <c r="B4330" s="342" t="s">
        <v>3284</v>
      </c>
      <c r="C4330" s="342" t="str">
        <f>("7640015166")</f>
        <v>7640015166</v>
      </c>
      <c r="D4330" s="340">
        <v>1.8</v>
      </c>
      <c r="E4330" s="343"/>
    </row>
    <row r="4331" spans="1:5" s="335" customFormat="1" ht="60">
      <c r="A4331" s="342" t="s">
        <v>3285</v>
      </c>
      <c r="B4331" s="342" t="s">
        <v>3285</v>
      </c>
      <c r="C4331" s="342" t="str">
        <f>("7640015894")</f>
        <v>7640015894</v>
      </c>
      <c r="D4331" s="340">
        <v>991</v>
      </c>
      <c r="E4331" s="343"/>
    </row>
    <row r="4332" spans="1:5" s="335" customFormat="1" ht="72">
      <c r="A4332" s="342" t="s">
        <v>3286</v>
      </c>
      <c r="B4332" s="342" t="s">
        <v>3286</v>
      </c>
      <c r="C4332" s="342" t="str">
        <f>("7640015895")</f>
        <v>7640015895</v>
      </c>
      <c r="D4332" s="340">
        <v>615</v>
      </c>
      <c r="E4332" s="343"/>
    </row>
    <row r="4333" spans="1:5" s="335" customFormat="1" ht="84">
      <c r="A4333" s="342" t="s">
        <v>3287</v>
      </c>
      <c r="B4333" s="342" t="s">
        <v>3287</v>
      </c>
      <c r="C4333" s="342" t="str">
        <f>("7640015896")</f>
        <v>7640015896</v>
      </c>
      <c r="D4333" s="340">
        <v>991</v>
      </c>
      <c r="E4333" s="343"/>
    </row>
    <row r="4334" spans="1:5" s="335" customFormat="1" ht="96">
      <c r="A4334" s="342" t="s">
        <v>3288</v>
      </c>
      <c r="B4334" s="342" t="s">
        <v>3288</v>
      </c>
      <c r="C4334" s="342" t="str">
        <f>("7640015897")</f>
        <v>7640015897</v>
      </c>
      <c r="D4334" s="340">
        <v>615</v>
      </c>
      <c r="E4334" s="343"/>
    </row>
    <row r="4335" spans="1:5" s="335" customFormat="1" ht="108">
      <c r="A4335" s="342" t="s">
        <v>3289</v>
      </c>
      <c r="B4335" s="342" t="s">
        <v>3289</v>
      </c>
      <c r="C4335" s="342" t="str">
        <f>("7640018143")</f>
        <v>7640018143</v>
      </c>
      <c r="D4335" s="340">
        <v>6000</v>
      </c>
      <c r="E4335" s="343"/>
    </row>
    <row r="4336" spans="1:5" s="335" customFormat="1" ht="48">
      <c r="A4336" s="342" t="s">
        <v>3290</v>
      </c>
      <c r="B4336" s="342" t="s">
        <v>3290</v>
      </c>
      <c r="C4336" s="342" t="str">
        <f>("7640018144")</f>
        <v>7640018144</v>
      </c>
      <c r="D4336" s="340">
        <v>1000</v>
      </c>
      <c r="E4336" s="343"/>
    </row>
    <row r="4337" spans="1:5" s="335" customFormat="1" ht="72">
      <c r="A4337" s="342" t="s">
        <v>3291</v>
      </c>
      <c r="B4337" s="342" t="s">
        <v>3291</v>
      </c>
      <c r="C4337" s="342" t="str">
        <f>("7640018145")</f>
        <v>7640018145</v>
      </c>
      <c r="D4337" s="340">
        <v>500</v>
      </c>
      <c r="E4337" s="343"/>
    </row>
    <row r="4338" spans="1:5" s="335" customFormat="1" ht="48">
      <c r="A4338" s="342" t="s">
        <v>3292</v>
      </c>
      <c r="B4338" s="342" t="s">
        <v>3292</v>
      </c>
      <c r="C4338" s="342" t="str">
        <f>("7640018146")</f>
        <v>7640018146</v>
      </c>
      <c r="D4338" s="340">
        <v>1000</v>
      </c>
      <c r="E4338" s="343"/>
    </row>
    <row r="4339" spans="1:5" s="335" customFormat="1" ht="12.75">
      <c r="A4339" s="344"/>
      <c r="B4339" s="343"/>
      <c r="C4339" s="343"/>
      <c r="D4339" s="395"/>
      <c r="E4339" s="343"/>
    </row>
    <row r="4340" spans="1:5" s="335" customFormat="1" ht="15" customHeight="1">
      <c r="A4340" s="345"/>
      <c r="B4340" s="404" t="s">
        <v>3293</v>
      </c>
      <c r="C4340" s="404"/>
      <c r="D4340" s="404"/>
      <c r="E4340" s="404"/>
    </row>
    <row r="4341" spans="1:5" s="335" customFormat="1" ht="25.5">
      <c r="A4341" s="346" t="s">
        <v>789</v>
      </c>
      <c r="B4341" s="346" t="s">
        <v>409</v>
      </c>
      <c r="C4341" s="346" t="s">
        <v>26</v>
      </c>
      <c r="D4341" s="337" t="s">
        <v>6425</v>
      </c>
      <c r="E4341" s="343"/>
    </row>
    <row r="4342" spans="1:5" s="335" customFormat="1" ht="14.25">
      <c r="A4342" s="342" t="s">
        <v>3294</v>
      </c>
      <c r="B4342" s="342"/>
      <c r="C4342" s="342" t="s">
        <v>6238</v>
      </c>
      <c r="D4342" s="340">
        <v>0</v>
      </c>
      <c r="E4342" s="343"/>
    </row>
    <row r="4343" spans="1:5" s="335" customFormat="1" ht="12.75">
      <c r="A4343" s="403" t="s">
        <v>3295</v>
      </c>
      <c r="B4343" s="403"/>
      <c r="C4343" s="403"/>
      <c r="D4343" s="403"/>
      <c r="E4343" s="343"/>
    </row>
    <row r="4344" spans="1:5" s="335" customFormat="1" ht="48">
      <c r="A4344" s="342" t="s">
        <v>3296</v>
      </c>
      <c r="B4344" s="342" t="s">
        <v>3297</v>
      </c>
      <c r="C4344" s="342" t="str">
        <f>("7640003061")</f>
        <v>7640003061</v>
      </c>
      <c r="D4344" s="340">
        <v>795</v>
      </c>
      <c r="E4344" s="343"/>
    </row>
    <row r="4345" spans="1:5" s="335" customFormat="1" ht="24">
      <c r="A4345" s="342" t="s">
        <v>3298</v>
      </c>
      <c r="B4345" s="342" t="s">
        <v>3299</v>
      </c>
      <c r="C4345" s="342" t="str">
        <f>("7640003062")</f>
        <v>7640003062</v>
      </c>
      <c r="D4345" s="340">
        <v>295</v>
      </c>
      <c r="E4345" s="343"/>
    </row>
    <row r="4346" spans="1:5" s="335" customFormat="1" ht="12.75">
      <c r="A4346" s="403" t="s">
        <v>3300</v>
      </c>
      <c r="B4346" s="403"/>
      <c r="C4346" s="403"/>
      <c r="D4346" s="403"/>
      <c r="E4346" s="343"/>
    </row>
    <row r="4347" spans="1:5" s="335" customFormat="1" ht="24">
      <c r="A4347" s="342" t="s">
        <v>3301</v>
      </c>
      <c r="B4347" s="342" t="s">
        <v>3302</v>
      </c>
      <c r="C4347" s="342" t="str">
        <f>("7640003063")</f>
        <v>7640003063</v>
      </c>
      <c r="D4347" s="340">
        <v>495</v>
      </c>
      <c r="E4347" s="343"/>
    </row>
    <row r="4348" spans="1:5" s="335" customFormat="1" ht="36">
      <c r="A4348" s="342" t="s">
        <v>3303</v>
      </c>
      <c r="B4348" s="342" t="s">
        <v>3304</v>
      </c>
      <c r="C4348" s="342" t="str">
        <f>("7640003064")</f>
        <v>7640003064</v>
      </c>
      <c r="D4348" s="340">
        <v>12375</v>
      </c>
      <c r="E4348" s="343"/>
    </row>
    <row r="4349" spans="1:5" s="335" customFormat="1" ht="12.75">
      <c r="A4349" s="403" t="s">
        <v>3305</v>
      </c>
      <c r="B4349" s="403"/>
      <c r="C4349" s="403"/>
      <c r="D4349" s="403"/>
      <c r="E4349" s="343"/>
    </row>
    <row r="4350" spans="1:5" s="335" customFormat="1" ht="48">
      <c r="A4350" s="342" t="s">
        <v>3306</v>
      </c>
      <c r="B4350" s="342" t="s">
        <v>3307</v>
      </c>
      <c r="C4350" s="342" t="str">
        <f>("7640000807")</f>
        <v>7640000807</v>
      </c>
      <c r="D4350" s="340">
        <v>85</v>
      </c>
      <c r="E4350" s="343"/>
    </row>
    <row r="4351" spans="1:5" s="335" customFormat="1" ht="48">
      <c r="A4351" s="342" t="s">
        <v>3308</v>
      </c>
      <c r="B4351" s="342" t="s">
        <v>3309</v>
      </c>
      <c r="C4351" s="342" t="str">
        <f>("7640000808")</f>
        <v>7640000808</v>
      </c>
      <c r="D4351" s="340">
        <v>74</v>
      </c>
      <c r="E4351" s="343"/>
    </row>
    <row r="4352" spans="1:5" s="335" customFormat="1" ht="48">
      <c r="A4352" s="342" t="s">
        <v>3310</v>
      </c>
      <c r="B4352" s="342" t="s">
        <v>3311</v>
      </c>
      <c r="C4352" s="342" t="str">
        <f>("7640000809")</f>
        <v>7640000809</v>
      </c>
      <c r="D4352" s="340">
        <v>49.5</v>
      </c>
      <c r="E4352" s="343"/>
    </row>
    <row r="4353" spans="1:5" s="335" customFormat="1" ht="48">
      <c r="A4353" s="342" t="s">
        <v>3312</v>
      </c>
      <c r="B4353" s="342" t="s">
        <v>3313</v>
      </c>
      <c r="C4353" s="342" t="str">
        <f>("7640000810")</f>
        <v>7640000810</v>
      </c>
      <c r="D4353" s="340">
        <v>43.5</v>
      </c>
      <c r="E4353" s="343"/>
    </row>
    <row r="4354" spans="1:5" s="335" customFormat="1" ht="48">
      <c r="A4354" s="342" t="s">
        <v>3314</v>
      </c>
      <c r="B4354" s="342" t="s">
        <v>3315</v>
      </c>
      <c r="C4354" s="342" t="str">
        <f>("7640000811")</f>
        <v>7640000811</v>
      </c>
      <c r="D4354" s="340">
        <v>30.5</v>
      </c>
      <c r="E4354" s="343"/>
    </row>
    <row r="4355" spans="1:5" s="335" customFormat="1" ht="12.75">
      <c r="A4355" s="403" t="s">
        <v>3316</v>
      </c>
      <c r="B4355" s="403"/>
      <c r="C4355" s="403"/>
      <c r="D4355" s="403"/>
      <c r="E4355" s="343"/>
    </row>
    <row r="4356" spans="1:5" s="335" customFormat="1" ht="36">
      <c r="A4356" s="342" t="s">
        <v>3317</v>
      </c>
      <c r="B4356" s="342" t="s">
        <v>3318</v>
      </c>
      <c r="C4356" s="342" t="str">
        <f>("7640000830")</f>
        <v>7640000830</v>
      </c>
      <c r="D4356" s="340">
        <v>137</v>
      </c>
      <c r="E4356" s="343"/>
    </row>
    <row r="4357" spans="1:5" s="335" customFormat="1" ht="12.75">
      <c r="A4357" s="403" t="s">
        <v>3319</v>
      </c>
      <c r="B4357" s="403"/>
      <c r="C4357" s="403"/>
      <c r="D4357" s="403"/>
      <c r="E4357" s="343"/>
    </row>
    <row r="4358" spans="1:5" s="335" customFormat="1" ht="24">
      <c r="A4358" s="342" t="s">
        <v>3320</v>
      </c>
      <c r="B4358" s="342" t="s">
        <v>3321</v>
      </c>
      <c r="C4358" s="342" t="str">
        <f>("7640000837")</f>
        <v>7640000837</v>
      </c>
      <c r="D4358" s="340">
        <v>3995</v>
      </c>
      <c r="E4358" s="343"/>
    </row>
    <row r="4359" spans="1:5" s="335" customFormat="1" ht="12.75">
      <c r="A4359" s="403" t="s">
        <v>3322</v>
      </c>
      <c r="B4359" s="403"/>
      <c r="C4359" s="403"/>
      <c r="D4359" s="403"/>
      <c r="E4359" s="343"/>
    </row>
    <row r="4360" spans="1:5" s="335" customFormat="1" ht="36">
      <c r="A4360" s="342" t="s">
        <v>3323</v>
      </c>
      <c r="B4360" s="342" t="s">
        <v>3324</v>
      </c>
      <c r="C4360" s="342" t="s">
        <v>6239</v>
      </c>
      <c r="D4360" s="340">
        <v>0</v>
      </c>
      <c r="E4360" s="343"/>
    </row>
    <row r="4361" spans="1:5" s="335" customFormat="1" ht="12.75">
      <c r="A4361" s="403" t="s">
        <v>3325</v>
      </c>
      <c r="B4361" s="403"/>
      <c r="C4361" s="403"/>
      <c r="D4361" s="403"/>
      <c r="E4361" s="343"/>
    </row>
    <row r="4362" spans="1:5" s="335" customFormat="1" ht="24">
      <c r="A4362" s="342" t="s">
        <v>3326</v>
      </c>
      <c r="B4362" s="342" t="s">
        <v>3327</v>
      </c>
      <c r="C4362" s="342" t="s">
        <v>6240</v>
      </c>
      <c r="D4362" s="340">
        <v>1938</v>
      </c>
      <c r="E4362" s="343"/>
    </row>
    <row r="4363" spans="1:5" s="335" customFormat="1" ht="24">
      <c r="A4363" s="342" t="s">
        <v>3328</v>
      </c>
      <c r="B4363" s="342" t="s">
        <v>3329</v>
      </c>
      <c r="C4363" s="342" t="str">
        <f>("7640001072")</f>
        <v>7640001072</v>
      </c>
      <c r="D4363" s="340">
        <v>1188</v>
      </c>
      <c r="E4363" s="343"/>
    </row>
    <row r="4364" spans="1:5" s="335" customFormat="1" ht="24">
      <c r="A4364" s="342" t="s">
        <v>3330</v>
      </c>
      <c r="B4364" s="342" t="s">
        <v>3331</v>
      </c>
      <c r="C4364" s="342" t="str">
        <f>("7640001836")</f>
        <v>7640001836</v>
      </c>
      <c r="D4364" s="340">
        <v>800</v>
      </c>
      <c r="E4364" s="343"/>
    </row>
    <row r="4365" spans="1:5" s="335" customFormat="1" ht="24">
      <c r="A4365" s="342" t="s">
        <v>3332</v>
      </c>
      <c r="B4365" s="342" t="s">
        <v>3333</v>
      </c>
      <c r="C4365" s="342" t="str">
        <f>("7640004350")</f>
        <v>7640004350</v>
      </c>
      <c r="D4365" s="340">
        <v>1200</v>
      </c>
      <c r="E4365" s="343"/>
    </row>
    <row r="4366" spans="1:5" s="335" customFormat="1" ht="12.75">
      <c r="A4366" s="344"/>
      <c r="B4366" s="343"/>
      <c r="C4366" s="343"/>
      <c r="D4366" s="395"/>
      <c r="E4366" s="343"/>
    </row>
    <row r="4367" spans="1:5" s="335" customFormat="1" ht="15" customHeight="1">
      <c r="A4367" s="345"/>
      <c r="B4367" s="404" t="s">
        <v>3334</v>
      </c>
      <c r="C4367" s="404"/>
      <c r="D4367" s="404"/>
      <c r="E4367" s="404"/>
    </row>
    <row r="4368" spans="1:5" s="335" customFormat="1" ht="25.5">
      <c r="A4368" s="346" t="s">
        <v>789</v>
      </c>
      <c r="B4368" s="346" t="s">
        <v>409</v>
      </c>
      <c r="C4368" s="346" t="s">
        <v>26</v>
      </c>
      <c r="D4368" s="337" t="s">
        <v>6425</v>
      </c>
      <c r="E4368" s="343"/>
    </row>
    <row r="4369" spans="1:5" s="335" customFormat="1" ht="14.25">
      <c r="A4369" s="342" t="s">
        <v>3335</v>
      </c>
      <c r="B4369" s="342"/>
      <c r="C4369" s="342" t="s">
        <v>6241</v>
      </c>
      <c r="D4369" s="340">
        <v>0</v>
      </c>
      <c r="E4369" s="343"/>
    </row>
    <row r="4370" spans="1:5" s="335" customFormat="1" ht="12.75">
      <c r="A4370" s="403" t="s">
        <v>3336</v>
      </c>
      <c r="B4370" s="403"/>
      <c r="C4370" s="403"/>
      <c r="D4370" s="403"/>
      <c r="E4370" s="343"/>
    </row>
    <row r="4371" spans="1:5" s="335" customFormat="1" ht="24">
      <c r="A4371" s="342" t="s">
        <v>3337</v>
      </c>
      <c r="B4371" s="342" t="s">
        <v>3338</v>
      </c>
      <c r="C4371" s="342" t="str">
        <f>("7640003067")</f>
        <v>7640003067</v>
      </c>
      <c r="D4371" s="340">
        <v>1995</v>
      </c>
      <c r="E4371" s="343"/>
    </row>
    <row r="4372" spans="1:5" s="335" customFormat="1" ht="24">
      <c r="A4372" s="342" t="s">
        <v>3339</v>
      </c>
      <c r="B4372" s="342" t="s">
        <v>3340</v>
      </c>
      <c r="C4372" s="342" t="str">
        <f>("7640003068")</f>
        <v>7640003068</v>
      </c>
      <c r="D4372" s="340">
        <v>500</v>
      </c>
      <c r="E4372" s="343"/>
    </row>
    <row r="4373" spans="1:5" s="335" customFormat="1" ht="12.75">
      <c r="A4373" s="403" t="s">
        <v>3341</v>
      </c>
      <c r="B4373" s="403"/>
      <c r="C4373" s="403"/>
      <c r="D4373" s="403"/>
      <c r="E4373" s="343"/>
    </row>
    <row r="4374" spans="1:5" s="335" customFormat="1" ht="36">
      <c r="A4374" s="342" t="s">
        <v>3342</v>
      </c>
      <c r="B4374" s="342" t="s">
        <v>3343</v>
      </c>
      <c r="C4374" s="342" t="str">
        <f>("7640001081")</f>
        <v>7640001081</v>
      </c>
      <c r="D4374" s="340">
        <v>85</v>
      </c>
      <c r="E4374" s="343"/>
    </row>
    <row r="4375" spans="1:5" s="335" customFormat="1" ht="36">
      <c r="A4375" s="342" t="s">
        <v>3344</v>
      </c>
      <c r="B4375" s="342" t="s">
        <v>3345</v>
      </c>
      <c r="C4375" s="342" t="str">
        <f>("7640001082")</f>
        <v>7640001082</v>
      </c>
      <c r="D4375" s="340">
        <v>74</v>
      </c>
      <c r="E4375" s="343"/>
    </row>
    <row r="4376" spans="1:5" s="335" customFormat="1" ht="36">
      <c r="A4376" s="342" t="s">
        <v>3346</v>
      </c>
      <c r="B4376" s="342" t="s">
        <v>3347</v>
      </c>
      <c r="C4376" s="342" t="str">
        <f>("7640001083")</f>
        <v>7640001083</v>
      </c>
      <c r="D4376" s="340">
        <v>49.5</v>
      </c>
      <c r="E4376" s="343"/>
    </row>
    <row r="4377" spans="1:5" s="335" customFormat="1" ht="36">
      <c r="A4377" s="342" t="s">
        <v>3348</v>
      </c>
      <c r="B4377" s="342" t="s">
        <v>3349</v>
      </c>
      <c r="C4377" s="342" t="str">
        <f>("7640001084")</f>
        <v>7640001084</v>
      </c>
      <c r="D4377" s="340">
        <v>43.5</v>
      </c>
      <c r="E4377" s="343"/>
    </row>
    <row r="4378" spans="1:5" s="335" customFormat="1" ht="36">
      <c r="A4378" s="342" t="s">
        <v>3350</v>
      </c>
      <c r="B4378" s="342" t="s">
        <v>3351</v>
      </c>
      <c r="C4378" s="342" t="str">
        <f>("7640001085")</f>
        <v>7640001085</v>
      </c>
      <c r="D4378" s="340">
        <v>30.5</v>
      </c>
      <c r="E4378" s="343"/>
    </row>
    <row r="4379" spans="1:5" s="335" customFormat="1" ht="12.75">
      <c r="A4379" s="403" t="s">
        <v>3322</v>
      </c>
      <c r="B4379" s="403"/>
      <c r="C4379" s="403"/>
      <c r="D4379" s="403"/>
      <c r="E4379" s="343"/>
    </row>
    <row r="4380" spans="1:5" s="335" customFormat="1" ht="36">
      <c r="A4380" s="342" t="s">
        <v>3323</v>
      </c>
      <c r="B4380" s="342" t="s">
        <v>3324</v>
      </c>
      <c r="C4380" s="342" t="s">
        <v>6239</v>
      </c>
      <c r="D4380" s="340">
        <v>0</v>
      </c>
      <c r="E4380" s="343"/>
    </row>
    <row r="4381" spans="1:5" s="335" customFormat="1" ht="12.75">
      <c r="A4381" s="403" t="s">
        <v>3325</v>
      </c>
      <c r="B4381" s="403"/>
      <c r="C4381" s="403"/>
      <c r="D4381" s="403"/>
      <c r="E4381" s="343"/>
    </row>
    <row r="4382" spans="1:5" s="335" customFormat="1" ht="24">
      <c r="A4382" s="342" t="s">
        <v>3326</v>
      </c>
      <c r="B4382" s="342" t="s">
        <v>3327</v>
      </c>
      <c r="C4382" s="342" t="s">
        <v>6240</v>
      </c>
      <c r="D4382" s="340">
        <v>1938</v>
      </c>
      <c r="E4382" s="343"/>
    </row>
    <row r="4383" spans="1:5" s="335" customFormat="1" ht="24">
      <c r="A4383" s="342" t="s">
        <v>3328</v>
      </c>
      <c r="B4383" s="342" t="s">
        <v>3329</v>
      </c>
      <c r="C4383" s="342" t="str">
        <f>("7640001072")</f>
        <v>7640001072</v>
      </c>
      <c r="D4383" s="340">
        <v>1188</v>
      </c>
      <c r="E4383" s="343"/>
    </row>
    <row r="4384" spans="1:5" s="335" customFormat="1" ht="24">
      <c r="A4384" s="342" t="s">
        <v>3330</v>
      </c>
      <c r="B4384" s="342" t="s">
        <v>3331</v>
      </c>
      <c r="C4384" s="342" t="str">
        <f>("7640001836")</f>
        <v>7640001836</v>
      </c>
      <c r="D4384" s="340">
        <v>800</v>
      </c>
      <c r="E4384" s="343"/>
    </row>
    <row r="4385" spans="1:5" s="335" customFormat="1" ht="24">
      <c r="A4385" s="342" t="s">
        <v>3332</v>
      </c>
      <c r="B4385" s="342" t="s">
        <v>3333</v>
      </c>
      <c r="C4385" s="342" t="str">
        <f>("7640004350")</f>
        <v>7640004350</v>
      </c>
      <c r="D4385" s="340">
        <v>1200</v>
      </c>
      <c r="E4385" s="343"/>
    </row>
    <row r="4386" spans="1:5" s="335" customFormat="1" ht="12.75">
      <c r="A4386" s="344"/>
      <c r="B4386" s="343"/>
      <c r="C4386" s="343"/>
      <c r="D4386" s="395"/>
      <c r="E4386" s="343"/>
    </row>
    <row r="4387" spans="1:5" s="335" customFormat="1" ht="15" customHeight="1">
      <c r="A4387" s="345"/>
      <c r="B4387" s="404" t="s">
        <v>3352</v>
      </c>
      <c r="C4387" s="404"/>
      <c r="D4387" s="404"/>
      <c r="E4387" s="404"/>
    </row>
    <row r="4388" spans="1:5" s="335" customFormat="1" ht="25.5">
      <c r="A4388" s="346" t="s">
        <v>789</v>
      </c>
      <c r="B4388" s="346" t="s">
        <v>409</v>
      </c>
      <c r="C4388" s="346" t="s">
        <v>26</v>
      </c>
      <c r="D4388" s="337" t="s">
        <v>6425</v>
      </c>
      <c r="E4388" s="343"/>
    </row>
    <row r="4389" spans="1:5" s="335" customFormat="1" ht="26.25">
      <c r="A4389" s="342" t="s">
        <v>3353</v>
      </c>
      <c r="B4389" s="342"/>
      <c r="C4389" s="342" t="s">
        <v>6242</v>
      </c>
      <c r="D4389" s="340">
        <v>0</v>
      </c>
      <c r="E4389" s="343"/>
    </row>
    <row r="4390" spans="1:5" s="335" customFormat="1" ht="12.75">
      <c r="A4390" s="403" t="s">
        <v>3153</v>
      </c>
      <c r="B4390" s="403"/>
      <c r="C4390" s="403"/>
      <c r="D4390" s="403"/>
      <c r="E4390" s="343"/>
    </row>
    <row r="4391" spans="1:5" s="335" customFormat="1" ht="24">
      <c r="A4391" s="342" t="s">
        <v>3354</v>
      </c>
      <c r="B4391" s="342" t="s">
        <v>3355</v>
      </c>
      <c r="C4391" s="342" t="s">
        <v>6243</v>
      </c>
      <c r="D4391" s="340">
        <v>42</v>
      </c>
      <c r="E4391" s="343"/>
    </row>
    <row r="4392" spans="1:5" s="335" customFormat="1" ht="12.75">
      <c r="A4392" s="403" t="s">
        <v>3356</v>
      </c>
      <c r="B4392" s="403"/>
      <c r="C4392" s="403"/>
      <c r="D4392" s="403"/>
      <c r="E4392" s="343"/>
    </row>
    <row r="4393" spans="1:5" s="335" customFormat="1" ht="36">
      <c r="A4393" s="342" t="s">
        <v>3357</v>
      </c>
      <c r="B4393" s="342" t="s">
        <v>3358</v>
      </c>
      <c r="C4393" s="342" t="str">
        <f>("7640000260")</f>
        <v>7640000260</v>
      </c>
      <c r="D4393" s="340">
        <v>2414</v>
      </c>
      <c r="E4393" s="343"/>
    </row>
    <row r="4394" spans="1:5" s="335" customFormat="1" ht="24">
      <c r="A4394" s="342" t="s">
        <v>3359</v>
      </c>
      <c r="B4394" s="342" t="s">
        <v>3360</v>
      </c>
      <c r="C4394" s="342" t="str">
        <f>("7640000261")</f>
        <v>7640000261</v>
      </c>
      <c r="D4394" s="340">
        <v>1523</v>
      </c>
      <c r="E4394" s="343"/>
    </row>
    <row r="4395" spans="1:5" s="335" customFormat="1" ht="48">
      <c r="A4395" s="342" t="s">
        <v>3361</v>
      </c>
      <c r="B4395" s="342" t="s">
        <v>3362</v>
      </c>
      <c r="C4395" s="342" t="str">
        <f>("7640000266")</f>
        <v>7640000266</v>
      </c>
      <c r="D4395" s="340">
        <v>3433</v>
      </c>
      <c r="E4395" s="343"/>
    </row>
    <row r="4396" spans="1:5" s="335" customFormat="1" ht="36">
      <c r="A4396" s="342" t="s">
        <v>3363</v>
      </c>
      <c r="B4396" s="342" t="s">
        <v>3364</v>
      </c>
      <c r="C4396" s="342" t="str">
        <f>("7640000267")</f>
        <v>7640000267</v>
      </c>
      <c r="D4396" s="340">
        <v>2535</v>
      </c>
      <c r="E4396" s="343"/>
    </row>
    <row r="4397" spans="1:5" s="335" customFormat="1" ht="24">
      <c r="A4397" s="342" t="s">
        <v>3365</v>
      </c>
      <c r="B4397" s="342" t="s">
        <v>3366</v>
      </c>
      <c r="C4397" s="342" t="str">
        <f>("7640002847")</f>
        <v>7640002847</v>
      </c>
      <c r="D4397" s="340">
        <v>2105</v>
      </c>
      <c r="E4397" s="343"/>
    </row>
    <row r="4398" spans="1:5" s="335" customFormat="1" ht="120">
      <c r="A4398" s="342" t="s">
        <v>3367</v>
      </c>
      <c r="B4398" s="342" t="s">
        <v>3367</v>
      </c>
      <c r="C4398" s="342" t="str">
        <f>("7640002848")</f>
        <v>7640002848</v>
      </c>
      <c r="D4398" s="340">
        <v>2995</v>
      </c>
      <c r="E4398" s="343"/>
    </row>
    <row r="4399" spans="1:5" s="335" customFormat="1" ht="12.75">
      <c r="A4399" s="342" t="s">
        <v>3368</v>
      </c>
      <c r="B4399" s="342" t="s">
        <v>3368</v>
      </c>
      <c r="C4399" s="342" t="str">
        <f>("7640013449")</f>
        <v>7640013449</v>
      </c>
      <c r="D4399" s="340">
        <v>1592</v>
      </c>
      <c r="E4399" s="343"/>
    </row>
    <row r="4400" spans="1:5" s="335" customFormat="1" ht="12.75">
      <c r="A4400" s="342" t="s">
        <v>3369</v>
      </c>
      <c r="B4400" s="342" t="s">
        <v>3369</v>
      </c>
      <c r="C4400" s="342" t="str">
        <f>("7640013450")</f>
        <v>7640013450</v>
      </c>
      <c r="D4400" s="340">
        <v>1992</v>
      </c>
      <c r="E4400" s="343"/>
    </row>
    <row r="4401" spans="1:5" s="335" customFormat="1" ht="12.75">
      <c r="A4401" s="342" t="s">
        <v>3370</v>
      </c>
      <c r="B4401" s="342" t="s">
        <v>3371</v>
      </c>
      <c r="C4401" s="342" t="str">
        <f>("7640013453")</f>
        <v>7640013453</v>
      </c>
      <c r="D4401" s="340">
        <v>349</v>
      </c>
      <c r="E4401" s="343"/>
    </row>
    <row r="4402" spans="1:5" s="335" customFormat="1" ht="36">
      <c r="A4402" s="342" t="s">
        <v>3372</v>
      </c>
      <c r="B4402" s="342" t="s">
        <v>3372</v>
      </c>
      <c r="C4402" s="342" t="str">
        <f>("7640013454")</f>
        <v>7640013454</v>
      </c>
      <c r="D4402" s="340">
        <v>35</v>
      </c>
      <c r="E4402" s="343"/>
    </row>
    <row r="4403" spans="1:5" s="335" customFormat="1" ht="36">
      <c r="A4403" s="342" t="s">
        <v>3373</v>
      </c>
      <c r="B4403" s="342" t="s">
        <v>3373</v>
      </c>
      <c r="C4403" s="342" t="str">
        <f>("7640013455")</f>
        <v>7640013455</v>
      </c>
      <c r="D4403" s="340">
        <v>60</v>
      </c>
      <c r="E4403" s="343"/>
    </row>
    <row r="4404" spans="1:5" s="335" customFormat="1" ht="24">
      <c r="A4404" s="342" t="s">
        <v>3374</v>
      </c>
      <c r="B4404" s="342" t="s">
        <v>3374</v>
      </c>
      <c r="C4404" s="342" t="str">
        <f>("7640013456")</f>
        <v>7640013456</v>
      </c>
      <c r="D4404" s="340">
        <v>115</v>
      </c>
      <c r="E4404" s="343"/>
    </row>
    <row r="4405" spans="1:5" s="335" customFormat="1" ht="24">
      <c r="A4405" s="342" t="s">
        <v>3375</v>
      </c>
      <c r="B4405" s="342" t="s">
        <v>3375</v>
      </c>
      <c r="C4405" s="342" t="str">
        <f>("7640013457")</f>
        <v>7640013457</v>
      </c>
      <c r="D4405" s="340">
        <v>35</v>
      </c>
      <c r="E4405" s="343"/>
    </row>
    <row r="4406" spans="1:5" s="335" customFormat="1" ht="24">
      <c r="A4406" s="342" t="s">
        <v>3376</v>
      </c>
      <c r="B4406" s="342" t="s">
        <v>3376</v>
      </c>
      <c r="C4406" s="342" t="str">
        <f>("7640013458")</f>
        <v>7640013458</v>
      </c>
      <c r="D4406" s="340">
        <v>349</v>
      </c>
      <c r="E4406" s="343"/>
    </row>
    <row r="4407" spans="1:5" s="335" customFormat="1" ht="12.75">
      <c r="A4407" s="403" t="s">
        <v>3377</v>
      </c>
      <c r="B4407" s="403"/>
      <c r="C4407" s="403"/>
      <c r="D4407" s="403"/>
      <c r="E4407" s="343"/>
    </row>
    <row r="4408" spans="1:5" s="335" customFormat="1" ht="36">
      <c r="A4408" s="342" t="s">
        <v>3378</v>
      </c>
      <c r="B4408" s="342" t="s">
        <v>3379</v>
      </c>
      <c r="C4408" s="342" t="str">
        <f>("7640000263")</f>
        <v>7640000263</v>
      </c>
      <c r="D4408" s="340">
        <v>827</v>
      </c>
      <c r="E4408" s="343"/>
    </row>
    <row r="4409" spans="1:5" s="335" customFormat="1" ht="24">
      <c r="A4409" s="342" t="s">
        <v>3380</v>
      </c>
      <c r="B4409" s="342" t="s">
        <v>3381</v>
      </c>
      <c r="C4409" s="342" t="str">
        <f>("7640000264")</f>
        <v>7640000264</v>
      </c>
      <c r="D4409" s="340">
        <v>152</v>
      </c>
      <c r="E4409" s="343"/>
    </row>
    <row r="4410" spans="1:5" s="335" customFormat="1" ht="12.75">
      <c r="A4410" s="342" t="s">
        <v>3382</v>
      </c>
      <c r="B4410" s="342" t="s">
        <v>3382</v>
      </c>
      <c r="C4410" s="342" t="str">
        <f>("7640013459")</f>
        <v>7640013459</v>
      </c>
      <c r="D4410" s="340">
        <v>82</v>
      </c>
      <c r="E4410" s="343"/>
    </row>
    <row r="4411" spans="1:5" s="335" customFormat="1" ht="24">
      <c r="A4411" s="342" t="s">
        <v>3383</v>
      </c>
      <c r="B4411" s="342" t="s">
        <v>3383</v>
      </c>
      <c r="C4411" s="342" t="str">
        <f>("7640013460")</f>
        <v>7640013460</v>
      </c>
      <c r="D4411" s="340">
        <v>82</v>
      </c>
      <c r="E4411" s="343"/>
    </row>
    <row r="4412" spans="1:5" s="335" customFormat="1" ht="24">
      <c r="A4412" s="342" t="s">
        <v>3384</v>
      </c>
      <c r="B4412" s="342" t="s">
        <v>3384</v>
      </c>
      <c r="C4412" s="342" t="str">
        <f>("7640013461")</f>
        <v>7640013461</v>
      </c>
      <c r="D4412" s="340">
        <v>220</v>
      </c>
      <c r="E4412" s="343"/>
    </row>
    <row r="4413" spans="1:5" s="335" customFormat="1" ht="12.75">
      <c r="A4413" s="403" t="s">
        <v>3385</v>
      </c>
      <c r="B4413" s="403"/>
      <c r="C4413" s="403"/>
      <c r="D4413" s="403"/>
      <c r="E4413" s="343"/>
    </row>
    <row r="4414" spans="1:5" s="335" customFormat="1" ht="24">
      <c r="A4414" s="342" t="s">
        <v>3386</v>
      </c>
      <c r="B4414" s="342" t="s">
        <v>3387</v>
      </c>
      <c r="C4414" s="342" t="str">
        <f>("7640000268")</f>
        <v>7640000268</v>
      </c>
      <c r="D4414" s="340">
        <v>1016</v>
      </c>
      <c r="E4414" s="343"/>
    </row>
    <row r="4415" spans="1:5" s="335" customFormat="1" ht="36">
      <c r="A4415" s="342" t="s">
        <v>3388</v>
      </c>
      <c r="B4415" s="342" t="s">
        <v>3389</v>
      </c>
      <c r="C4415" s="342" t="str">
        <f>("7640000905")</f>
        <v>7640000905</v>
      </c>
      <c r="D4415" s="340">
        <v>821</v>
      </c>
      <c r="E4415" s="343"/>
    </row>
    <row r="4416" spans="1:5" s="335" customFormat="1" ht="36">
      <c r="A4416" s="342" t="s">
        <v>3390</v>
      </c>
      <c r="B4416" s="342" t="s">
        <v>3391</v>
      </c>
      <c r="C4416" s="342" t="str">
        <f>("7640000906")</f>
        <v>7640000906</v>
      </c>
      <c r="D4416" s="340">
        <v>451</v>
      </c>
      <c r="E4416" s="343"/>
    </row>
    <row r="4417" spans="1:5" s="335" customFormat="1" ht="24">
      <c r="A4417" s="342" t="s">
        <v>3392</v>
      </c>
      <c r="B4417" s="342" t="s">
        <v>3393</v>
      </c>
      <c r="C4417" s="342" t="s">
        <v>6244</v>
      </c>
      <c r="D4417" s="340">
        <v>1250</v>
      </c>
      <c r="E4417" s="343"/>
    </row>
    <row r="4418" spans="1:5" s="335" customFormat="1" ht="60">
      <c r="A4418" s="342" t="s">
        <v>3394</v>
      </c>
      <c r="B4418" s="342" t="s">
        <v>3395</v>
      </c>
      <c r="C4418" s="342" t="str">
        <f>("7640003065")</f>
        <v>7640003065</v>
      </c>
      <c r="D4418" s="340">
        <v>698</v>
      </c>
      <c r="E4418" s="343"/>
    </row>
    <row r="4419" spans="1:5" s="335" customFormat="1" ht="60">
      <c r="A4419" s="342" t="s">
        <v>3396</v>
      </c>
      <c r="B4419" s="342" t="s">
        <v>3397</v>
      </c>
      <c r="C4419" s="342" t="str">
        <f>("7640003066")</f>
        <v>7640003066</v>
      </c>
      <c r="D4419" s="340">
        <v>178</v>
      </c>
      <c r="E4419" s="343"/>
    </row>
    <row r="4420" spans="1:5" s="335" customFormat="1" ht="36">
      <c r="A4420" s="342" t="s">
        <v>3398</v>
      </c>
      <c r="B4420" s="342" t="s">
        <v>3399</v>
      </c>
      <c r="C4420" s="342" t="str">
        <f>("7640004347")</f>
        <v>7640004347</v>
      </c>
      <c r="D4420" s="340">
        <v>515</v>
      </c>
      <c r="E4420" s="343"/>
    </row>
    <row r="4421" spans="1:5" s="335" customFormat="1" ht="12.75">
      <c r="A4421" s="403" t="s">
        <v>3400</v>
      </c>
      <c r="B4421" s="403"/>
      <c r="C4421" s="403"/>
      <c r="D4421" s="403"/>
      <c r="E4421" s="343"/>
    </row>
    <row r="4422" spans="1:5" s="335" customFormat="1" ht="36">
      <c r="A4422" s="342" t="s">
        <v>3401</v>
      </c>
      <c r="B4422" s="342" t="s">
        <v>3402</v>
      </c>
      <c r="C4422" s="342" t="str">
        <f>("7640000270")</f>
        <v>7640000270</v>
      </c>
      <c r="D4422" s="340">
        <v>1016</v>
      </c>
      <c r="E4422" s="343"/>
    </row>
    <row r="4423" spans="1:5" s="335" customFormat="1" ht="24">
      <c r="A4423" s="342" t="s">
        <v>3403</v>
      </c>
      <c r="B4423" s="342" t="s">
        <v>3404</v>
      </c>
      <c r="C4423" s="342" t="str">
        <f>("7640000271")</f>
        <v>7640000271</v>
      </c>
      <c r="D4423" s="340">
        <v>1187</v>
      </c>
      <c r="E4423" s="343"/>
    </row>
    <row r="4424" spans="1:5" s="335" customFormat="1" ht="24">
      <c r="A4424" s="342" t="s">
        <v>3405</v>
      </c>
      <c r="B4424" s="342" t="s">
        <v>3406</v>
      </c>
      <c r="C4424" s="342" t="str">
        <f>("7640000273")</f>
        <v>7640000273</v>
      </c>
      <c r="D4424" s="340">
        <v>2211</v>
      </c>
      <c r="E4424" s="343"/>
    </row>
    <row r="4425" spans="1:5" s="335" customFormat="1" ht="36">
      <c r="A4425" s="342" t="s">
        <v>3407</v>
      </c>
      <c r="B4425" s="342" t="s">
        <v>3408</v>
      </c>
      <c r="C4425" s="342" t="str">
        <f>("7640001074")</f>
        <v>7640001074</v>
      </c>
      <c r="D4425" s="340">
        <v>1187</v>
      </c>
      <c r="E4425" s="343"/>
    </row>
    <row r="4426" spans="1:5" s="335" customFormat="1" ht="12.75">
      <c r="A4426" s="403" t="s">
        <v>3409</v>
      </c>
      <c r="B4426" s="403"/>
      <c r="C4426" s="403"/>
      <c r="D4426" s="403"/>
      <c r="E4426" s="343"/>
    </row>
    <row r="4427" spans="1:5" s="335" customFormat="1" ht="12.75">
      <c r="A4427" s="342" t="s">
        <v>3410</v>
      </c>
      <c r="B4427" s="342" t="s">
        <v>3411</v>
      </c>
      <c r="C4427" s="342" t="str">
        <f>("7640000274")</f>
        <v>7640000274</v>
      </c>
      <c r="D4427" s="340">
        <v>2894</v>
      </c>
      <c r="E4427" s="343"/>
    </row>
    <row r="4428" spans="1:5" s="335" customFormat="1" ht="24">
      <c r="A4428" s="342" t="s">
        <v>3412</v>
      </c>
      <c r="B4428" s="342" t="s">
        <v>3413</v>
      </c>
      <c r="C4428" s="342" t="str">
        <f>("7640000275")</f>
        <v>7640000275</v>
      </c>
      <c r="D4428" s="340">
        <v>3911</v>
      </c>
      <c r="E4428" s="343"/>
    </row>
    <row r="4429" spans="1:5" s="335" customFormat="1" ht="36">
      <c r="A4429" s="342" t="s">
        <v>3414</v>
      </c>
      <c r="B4429" s="342" t="s">
        <v>3415</v>
      </c>
      <c r="C4429" s="342" t="str">
        <f>("7640000276")</f>
        <v>7640000276</v>
      </c>
      <c r="D4429" s="340">
        <v>4935</v>
      </c>
      <c r="E4429" s="343"/>
    </row>
    <row r="4430" spans="1:5" s="335" customFormat="1" ht="12.75">
      <c r="A4430" s="403" t="s">
        <v>3183</v>
      </c>
      <c r="B4430" s="403"/>
      <c r="C4430" s="403"/>
      <c r="D4430" s="403"/>
      <c r="E4430" s="343"/>
    </row>
    <row r="4431" spans="1:5" s="335" customFormat="1" ht="12.75">
      <c r="A4431" s="342" t="s">
        <v>3416</v>
      </c>
      <c r="B4431" s="342" t="s">
        <v>3417</v>
      </c>
      <c r="C4431" s="342" t="str">
        <f>("7640000269")</f>
        <v>7640000269</v>
      </c>
      <c r="D4431" s="340">
        <v>0.8</v>
      </c>
      <c r="E4431" s="343"/>
    </row>
    <row r="4432" spans="1:5" s="335" customFormat="1" ht="24">
      <c r="A4432" s="342" t="s">
        <v>3418</v>
      </c>
      <c r="B4432" s="342" t="s">
        <v>3419</v>
      </c>
      <c r="C4432" s="342" t="str">
        <f>("7640000272")</f>
        <v>7640000272</v>
      </c>
      <c r="D4432" s="340">
        <v>220</v>
      </c>
      <c r="E4432" s="343"/>
    </row>
    <row r="4433" spans="1:5" s="335" customFormat="1" ht="24">
      <c r="A4433" s="342" t="s">
        <v>3420</v>
      </c>
      <c r="B4433" s="342" t="s">
        <v>3421</v>
      </c>
      <c r="C4433" s="342" t="str">
        <f>("7640002953")</f>
        <v>7640002953</v>
      </c>
      <c r="D4433" s="340">
        <v>262</v>
      </c>
      <c r="E4433" s="343"/>
    </row>
    <row r="4434" spans="1:5" s="335" customFormat="1" ht="24">
      <c r="A4434" s="342" t="s">
        <v>3422</v>
      </c>
      <c r="B4434" s="342" t="s">
        <v>3423</v>
      </c>
      <c r="C4434" s="342" t="str">
        <f>("7640004348")</f>
        <v>7640004348</v>
      </c>
      <c r="D4434" s="340">
        <v>80</v>
      </c>
      <c r="E4434" s="343"/>
    </row>
    <row r="4435" spans="1:5" s="335" customFormat="1" ht="24">
      <c r="A4435" s="342" t="s">
        <v>3424</v>
      </c>
      <c r="B4435" s="342" t="s">
        <v>3425</v>
      </c>
      <c r="C4435" s="342" t="str">
        <f>("7640004349")</f>
        <v>7640004349</v>
      </c>
      <c r="D4435" s="340">
        <v>62</v>
      </c>
      <c r="E4435" s="343"/>
    </row>
    <row r="4436" spans="1:5" s="335" customFormat="1" ht="12.75">
      <c r="A4436" s="403" t="s">
        <v>3426</v>
      </c>
      <c r="B4436" s="403"/>
      <c r="C4436" s="403"/>
      <c r="D4436" s="403"/>
      <c r="E4436" s="343"/>
    </row>
    <row r="4437" spans="1:5" s="335" customFormat="1" ht="24">
      <c r="A4437" s="342" t="s">
        <v>3427</v>
      </c>
      <c r="B4437" s="342" t="s">
        <v>3427</v>
      </c>
      <c r="C4437" s="342" t="str">
        <f>("7640014087")</f>
        <v>7640014087</v>
      </c>
      <c r="D4437" s="340">
        <v>315</v>
      </c>
      <c r="E4437" s="343"/>
    </row>
    <row r="4438" spans="1:5" s="335" customFormat="1" ht="24">
      <c r="A4438" s="342" t="s">
        <v>3428</v>
      </c>
      <c r="B4438" s="342" t="s">
        <v>3428</v>
      </c>
      <c r="C4438" s="342" t="str">
        <f>("7640014088")</f>
        <v>7640014088</v>
      </c>
      <c r="D4438" s="340">
        <v>50</v>
      </c>
      <c r="E4438" s="343"/>
    </row>
    <row r="4439" spans="1:5" s="335" customFormat="1" ht="12.75">
      <c r="A4439" s="403" t="s">
        <v>3429</v>
      </c>
      <c r="B4439" s="403"/>
      <c r="C4439" s="403"/>
      <c r="D4439" s="403"/>
      <c r="E4439" s="343"/>
    </row>
    <row r="4440" spans="1:5" s="335" customFormat="1" ht="48">
      <c r="A4440" s="342" t="s">
        <v>3430</v>
      </c>
      <c r="B4440" s="342" t="s">
        <v>3431</v>
      </c>
      <c r="C4440" s="342" t="s">
        <v>6245</v>
      </c>
      <c r="D4440" s="340">
        <v>579</v>
      </c>
      <c r="E4440" s="343"/>
    </row>
    <row r="4441" spans="1:5" s="335" customFormat="1" ht="12.75">
      <c r="A4441" s="403" t="s">
        <v>3106</v>
      </c>
      <c r="B4441" s="403"/>
      <c r="C4441" s="403"/>
      <c r="D4441" s="403"/>
      <c r="E4441" s="343"/>
    </row>
    <row r="4442" spans="1:5" s="335" customFormat="1" ht="24">
      <c r="A4442" s="342" t="s">
        <v>3432</v>
      </c>
      <c r="B4442" s="342" t="s">
        <v>3432</v>
      </c>
      <c r="C4442" s="342" t="s">
        <v>6246</v>
      </c>
      <c r="D4442" s="340">
        <v>1</v>
      </c>
      <c r="E4442" s="343"/>
    </row>
    <row r="4443" spans="1:5" s="335" customFormat="1" ht="12.75">
      <c r="A4443" s="344"/>
      <c r="B4443" s="343"/>
      <c r="C4443" s="343"/>
      <c r="D4443" s="395"/>
      <c r="E4443" s="343"/>
    </row>
    <row r="4444" spans="1:5" s="335" customFormat="1" ht="15" customHeight="1">
      <c r="A4444" s="345"/>
      <c r="B4444" s="404" t="s">
        <v>3433</v>
      </c>
      <c r="C4444" s="404"/>
      <c r="D4444" s="404"/>
      <c r="E4444" s="404"/>
    </row>
    <row r="4445" spans="1:5" s="335" customFormat="1" ht="25.5">
      <c r="A4445" s="346" t="s">
        <v>789</v>
      </c>
      <c r="B4445" s="346" t="s">
        <v>409</v>
      </c>
      <c r="C4445" s="346" t="s">
        <v>26</v>
      </c>
      <c r="D4445" s="337" t="s">
        <v>6425</v>
      </c>
      <c r="E4445" s="343"/>
    </row>
    <row r="4446" spans="1:5" s="335" customFormat="1" ht="24">
      <c r="A4446" s="342" t="s">
        <v>3434</v>
      </c>
      <c r="B4446" s="342" t="s">
        <v>3435</v>
      </c>
      <c r="C4446" s="342" t="s">
        <v>6247</v>
      </c>
      <c r="D4446" s="340">
        <v>200</v>
      </c>
      <c r="E4446" s="343"/>
    </row>
    <row r="4447" spans="1:5" s="335" customFormat="1" ht="12.75">
      <c r="A4447" s="402" t="s">
        <v>1587</v>
      </c>
      <c r="B4447" s="402"/>
      <c r="C4447" s="402"/>
      <c r="D4447" s="402"/>
      <c r="E4447" s="343"/>
    </row>
    <row r="4448" spans="1:5" s="335" customFormat="1" ht="36">
      <c r="A4448" s="342" t="s">
        <v>3436</v>
      </c>
      <c r="B4448" s="342" t="s">
        <v>3437</v>
      </c>
      <c r="C4448" s="342" t="str">
        <f>("7640007944")</f>
        <v>7640007944</v>
      </c>
      <c r="D4448" s="340">
        <v>1000</v>
      </c>
      <c r="E4448" s="343"/>
    </row>
    <row r="4449" spans="1:5" s="335" customFormat="1" ht="12.75">
      <c r="A4449" s="403" t="s">
        <v>3153</v>
      </c>
      <c r="B4449" s="403"/>
      <c r="C4449" s="403"/>
      <c r="D4449" s="403"/>
      <c r="E4449" s="343"/>
    </row>
    <row r="4450" spans="1:5" s="335" customFormat="1" ht="36">
      <c r="A4450" s="342" t="s">
        <v>3438</v>
      </c>
      <c r="B4450" s="342" t="s">
        <v>3439</v>
      </c>
      <c r="C4450" s="342" t="str">
        <f>("7640007943")</f>
        <v>7640007943</v>
      </c>
      <c r="D4450" s="340">
        <v>900</v>
      </c>
      <c r="E4450" s="343"/>
    </row>
    <row r="4451" spans="1:5" s="335" customFormat="1" ht="12.75">
      <c r="A4451" s="344"/>
      <c r="B4451" s="343"/>
      <c r="C4451" s="343"/>
      <c r="D4451" s="395"/>
      <c r="E4451" s="343"/>
    </row>
    <row r="4452" spans="1:5" s="335" customFormat="1" ht="15" customHeight="1">
      <c r="A4452" s="345"/>
      <c r="B4452" s="404" t="s">
        <v>3440</v>
      </c>
      <c r="C4452" s="404"/>
      <c r="D4452" s="404"/>
      <c r="E4452" s="404"/>
    </row>
    <row r="4453" spans="1:5" s="335" customFormat="1" ht="25.5">
      <c r="A4453" s="346" t="s">
        <v>789</v>
      </c>
      <c r="B4453" s="346" t="s">
        <v>409</v>
      </c>
      <c r="C4453" s="346" t="s">
        <v>26</v>
      </c>
      <c r="D4453" s="337" t="s">
        <v>6425</v>
      </c>
      <c r="E4453" s="343"/>
    </row>
    <row r="4454" spans="1:5" s="335" customFormat="1" ht="14.25">
      <c r="A4454" s="342" t="s">
        <v>3441</v>
      </c>
      <c r="B4454" s="342" t="s">
        <v>3442</v>
      </c>
      <c r="C4454" s="342" t="s">
        <v>6248</v>
      </c>
      <c r="D4454" s="340">
        <v>0</v>
      </c>
      <c r="E4454" s="343"/>
    </row>
    <row r="4455" spans="1:5" s="335" customFormat="1" ht="12.75">
      <c r="A4455" s="402" t="s">
        <v>1587</v>
      </c>
      <c r="B4455" s="402"/>
      <c r="C4455" s="402"/>
      <c r="D4455" s="402"/>
      <c r="E4455" s="343"/>
    </row>
    <row r="4456" spans="1:5" s="335" customFormat="1" ht="12.75">
      <c r="A4456" s="342" t="s">
        <v>3443</v>
      </c>
      <c r="B4456" s="342" t="s">
        <v>3444</v>
      </c>
      <c r="C4456" s="342" t="str">
        <f>("7640001483")</f>
        <v>7640001483</v>
      </c>
      <c r="D4456" s="340">
        <v>719</v>
      </c>
      <c r="E4456" s="343"/>
    </row>
    <row r="4457" spans="1:5" s="335" customFormat="1" ht="24">
      <c r="A4457" s="342" t="s">
        <v>3445</v>
      </c>
      <c r="B4457" s="342" t="s">
        <v>3446</v>
      </c>
      <c r="C4457" s="342" t="str">
        <f>("7640001484")</f>
        <v>7640001484</v>
      </c>
      <c r="D4457" s="340">
        <v>909</v>
      </c>
      <c r="E4457" s="343"/>
    </row>
    <row r="4458" spans="1:5" s="335" customFormat="1" ht="36">
      <c r="A4458" s="342" t="s">
        <v>3447</v>
      </c>
      <c r="B4458" s="342" t="s">
        <v>3446</v>
      </c>
      <c r="C4458" s="342" t="str">
        <f>("7640001486")</f>
        <v>7640001486</v>
      </c>
      <c r="D4458" s="340">
        <v>1609</v>
      </c>
      <c r="E4458" s="343"/>
    </row>
    <row r="4459" spans="1:5" s="335" customFormat="1" ht="36">
      <c r="A4459" s="342" t="s">
        <v>3448</v>
      </c>
      <c r="B4459" s="342" t="s">
        <v>3449</v>
      </c>
      <c r="C4459" s="342" t="str">
        <f>("7640001487")</f>
        <v>7640001487</v>
      </c>
      <c r="D4459" s="340">
        <v>4500</v>
      </c>
      <c r="E4459" s="343"/>
    </row>
    <row r="4460" spans="1:5" s="335" customFormat="1" ht="36">
      <c r="A4460" s="342" t="s">
        <v>3450</v>
      </c>
      <c r="B4460" s="342" t="s">
        <v>3451</v>
      </c>
      <c r="C4460" s="342" t="str">
        <f>("7640001488")</f>
        <v>7640001488</v>
      </c>
      <c r="D4460" s="340">
        <v>9000</v>
      </c>
      <c r="E4460" s="343"/>
    </row>
    <row r="4461" spans="1:5" s="335" customFormat="1" ht="24">
      <c r="A4461" s="342" t="s">
        <v>3452</v>
      </c>
      <c r="B4461" s="342" t="s">
        <v>3453</v>
      </c>
      <c r="C4461" s="342" t="str">
        <f>("7640001491")</f>
        <v>7640001491</v>
      </c>
      <c r="D4461" s="340">
        <v>11250</v>
      </c>
      <c r="E4461" s="343"/>
    </row>
    <row r="4462" spans="1:5" s="335" customFormat="1" ht="12.75">
      <c r="A4462" s="342" t="s">
        <v>3454</v>
      </c>
      <c r="B4462" s="342" t="s">
        <v>3455</v>
      </c>
      <c r="C4462" s="342" t="str">
        <f>("7640002952")</f>
        <v>7640002952</v>
      </c>
      <c r="D4462" s="340">
        <v>299</v>
      </c>
      <c r="E4462" s="343"/>
    </row>
    <row r="4463" spans="1:5" s="335" customFormat="1" ht="36">
      <c r="A4463" s="342" t="s">
        <v>3456</v>
      </c>
      <c r="B4463" s="342" t="s">
        <v>3457</v>
      </c>
      <c r="C4463" s="342" t="str">
        <f>("7640005146")</f>
        <v>7640005146</v>
      </c>
      <c r="D4463" s="340">
        <v>2195</v>
      </c>
      <c r="E4463" s="343"/>
    </row>
    <row r="4464" spans="1:5" s="335" customFormat="1" ht="36">
      <c r="A4464" s="342" t="s">
        <v>3458</v>
      </c>
      <c r="B4464" s="342" t="s">
        <v>3459</v>
      </c>
      <c r="C4464" s="342" t="str">
        <f>("7640005147")</f>
        <v>7640005147</v>
      </c>
      <c r="D4464" s="340">
        <v>1995</v>
      </c>
      <c r="E4464" s="343"/>
    </row>
    <row r="4465" spans="1:5" s="335" customFormat="1" ht="36">
      <c r="A4465" s="342" t="s">
        <v>3460</v>
      </c>
      <c r="B4465" s="342" t="s">
        <v>3459</v>
      </c>
      <c r="C4465" s="342" t="str">
        <f>("7640005148")</f>
        <v>7640005148</v>
      </c>
      <c r="D4465" s="340">
        <v>3995</v>
      </c>
      <c r="E4465" s="343"/>
    </row>
    <row r="4466" spans="1:5" s="335" customFormat="1" ht="12.75">
      <c r="A4466" s="342" t="s">
        <v>3461</v>
      </c>
      <c r="B4466" s="342" t="s">
        <v>3462</v>
      </c>
      <c r="C4466" s="342" t="str">
        <f>("7640012619")</f>
        <v>7640012619</v>
      </c>
      <c r="D4466" s="340">
        <v>719</v>
      </c>
      <c r="E4466" s="343"/>
    </row>
    <row r="4467" spans="1:5" s="335" customFormat="1" ht="24">
      <c r="A4467" s="342" t="s">
        <v>3463</v>
      </c>
      <c r="B4467" s="342" t="s">
        <v>3462</v>
      </c>
      <c r="C4467" s="342" t="str">
        <f>("7640012620")</f>
        <v>7640012620</v>
      </c>
      <c r="D4467" s="340">
        <v>909</v>
      </c>
      <c r="E4467" s="343"/>
    </row>
    <row r="4468" spans="1:5" s="335" customFormat="1" ht="36">
      <c r="A4468" s="342" t="s">
        <v>3464</v>
      </c>
      <c r="B4468" s="342" t="s">
        <v>3462</v>
      </c>
      <c r="C4468" s="342" t="str">
        <f>("7640012621")</f>
        <v>7640012621</v>
      </c>
      <c r="D4468" s="340">
        <v>1350</v>
      </c>
      <c r="E4468" s="343"/>
    </row>
    <row r="4469" spans="1:5" s="335" customFormat="1" ht="36">
      <c r="A4469" s="342" t="s">
        <v>3465</v>
      </c>
      <c r="B4469" s="342" t="s">
        <v>3466</v>
      </c>
      <c r="C4469" s="342" t="str">
        <f>("7640012622")</f>
        <v>7640012622</v>
      </c>
      <c r="D4469" s="340">
        <v>4800</v>
      </c>
      <c r="E4469" s="343"/>
    </row>
    <row r="4470" spans="1:5" s="335" customFormat="1" ht="36">
      <c r="A4470" s="342" t="s">
        <v>3467</v>
      </c>
      <c r="B4470" s="342" t="s">
        <v>3468</v>
      </c>
      <c r="C4470" s="342" t="str">
        <f>("7640012623")</f>
        <v>7640012623</v>
      </c>
      <c r="D4470" s="340">
        <v>9000</v>
      </c>
      <c r="E4470" s="343"/>
    </row>
    <row r="4471" spans="1:5" s="335" customFormat="1" ht="24">
      <c r="A4471" s="342" t="s">
        <v>3469</v>
      </c>
      <c r="B4471" s="342" t="s">
        <v>3470</v>
      </c>
      <c r="C4471" s="342" t="str">
        <f>("7640012624")</f>
        <v>7640012624</v>
      </c>
      <c r="D4471" s="340">
        <v>11250</v>
      </c>
      <c r="E4471" s="343"/>
    </row>
    <row r="4472" spans="1:5" s="335" customFormat="1" ht="24">
      <c r="A4472" s="342" t="s">
        <v>3471</v>
      </c>
      <c r="B4472" s="342" t="s">
        <v>3472</v>
      </c>
      <c r="C4472" s="342" t="str">
        <f>("7640012625")</f>
        <v>7640012625</v>
      </c>
      <c r="D4472" s="340">
        <v>2295</v>
      </c>
      <c r="E4472" s="343"/>
    </row>
    <row r="4473" spans="1:5" s="335" customFormat="1" ht="12.75">
      <c r="A4473" s="403" t="s">
        <v>3473</v>
      </c>
      <c r="B4473" s="403"/>
      <c r="C4473" s="403"/>
      <c r="D4473" s="403"/>
      <c r="E4473" s="343"/>
    </row>
    <row r="4474" spans="1:5" s="335" customFormat="1" ht="24">
      <c r="A4474" s="342" t="s">
        <v>3474</v>
      </c>
      <c r="B4474" s="342" t="s">
        <v>3475</v>
      </c>
      <c r="C4474" s="342" t="s">
        <v>6249</v>
      </c>
      <c r="D4474" s="340">
        <v>71.900000000000006</v>
      </c>
      <c r="E4474" s="343"/>
    </row>
    <row r="4475" spans="1:5" s="335" customFormat="1" ht="36">
      <c r="A4475" s="342" t="s">
        <v>3476</v>
      </c>
      <c r="B4475" s="342" t="s">
        <v>3475</v>
      </c>
      <c r="C4475" s="342" t="s">
        <v>6250</v>
      </c>
      <c r="D4475" s="340">
        <v>90.9</v>
      </c>
      <c r="E4475" s="343"/>
    </row>
    <row r="4476" spans="1:5" s="335" customFormat="1" ht="24">
      <c r="A4476" s="342" t="s">
        <v>3477</v>
      </c>
      <c r="B4476" s="342" t="s">
        <v>3475</v>
      </c>
      <c r="C4476" s="342" t="s">
        <v>6251</v>
      </c>
      <c r="D4476" s="340">
        <v>141.9</v>
      </c>
      <c r="E4476" s="343"/>
    </row>
    <row r="4477" spans="1:5" s="335" customFormat="1" ht="36">
      <c r="A4477" s="342" t="s">
        <v>3478</v>
      </c>
      <c r="B4477" s="342" t="s">
        <v>3475</v>
      </c>
      <c r="C4477" s="342" t="s">
        <v>6252</v>
      </c>
      <c r="D4477" s="340">
        <v>160.9</v>
      </c>
      <c r="E4477" s="343"/>
    </row>
    <row r="4478" spans="1:5" s="335" customFormat="1" ht="36">
      <c r="A4478" s="342" t="s">
        <v>3479</v>
      </c>
      <c r="B4478" s="342" t="s">
        <v>3475</v>
      </c>
      <c r="C4478" s="342" t="s">
        <v>6253</v>
      </c>
      <c r="D4478" s="340">
        <v>219.5</v>
      </c>
      <c r="E4478" s="343"/>
    </row>
    <row r="4479" spans="1:5" s="335" customFormat="1" ht="36">
      <c r="A4479" s="342" t="s">
        <v>3480</v>
      </c>
      <c r="B4479" s="342" t="s">
        <v>3475</v>
      </c>
      <c r="C4479" s="342" t="s">
        <v>6254</v>
      </c>
      <c r="D4479" s="340">
        <v>199.5</v>
      </c>
      <c r="E4479" s="343"/>
    </row>
    <row r="4480" spans="1:5" s="335" customFormat="1" ht="36">
      <c r="A4480" s="342" t="s">
        <v>3481</v>
      </c>
      <c r="B4480" s="342" t="s">
        <v>3475</v>
      </c>
      <c r="C4480" s="342" t="s">
        <v>6255</v>
      </c>
      <c r="D4480" s="340">
        <v>399.5</v>
      </c>
      <c r="E4480" s="343"/>
    </row>
    <row r="4481" spans="1:5" s="335" customFormat="1" ht="36">
      <c r="A4481" s="342" t="s">
        <v>3482</v>
      </c>
      <c r="B4481" s="342" t="s">
        <v>3475</v>
      </c>
      <c r="C4481" s="342" t="s">
        <v>6256</v>
      </c>
      <c r="D4481" s="340">
        <v>480</v>
      </c>
      <c r="E4481" s="343"/>
    </row>
    <row r="4482" spans="1:5" s="335" customFormat="1" ht="36">
      <c r="A4482" s="342" t="s">
        <v>3483</v>
      </c>
      <c r="B4482" s="342" t="s">
        <v>3475</v>
      </c>
      <c r="C4482" s="342" t="s">
        <v>6257</v>
      </c>
      <c r="D4482" s="340">
        <v>900</v>
      </c>
      <c r="E4482" s="343"/>
    </row>
    <row r="4483" spans="1:5" s="335" customFormat="1" ht="24">
      <c r="A4483" s="342" t="s">
        <v>3484</v>
      </c>
      <c r="B4483" s="342" t="s">
        <v>3475</v>
      </c>
      <c r="C4483" s="342" t="s">
        <v>6258</v>
      </c>
      <c r="D4483" s="340">
        <v>1125</v>
      </c>
      <c r="E4483" s="343"/>
    </row>
    <row r="4484" spans="1:5" s="335" customFormat="1" ht="14.25">
      <c r="A4484" s="342" t="s">
        <v>3454</v>
      </c>
      <c r="B4484" s="342" t="s">
        <v>3475</v>
      </c>
      <c r="C4484" s="342" t="s">
        <v>6259</v>
      </c>
      <c r="D4484" s="340">
        <v>29.9</v>
      </c>
      <c r="E4484" s="343"/>
    </row>
    <row r="4485" spans="1:5" s="335" customFormat="1" ht="14.25">
      <c r="A4485" s="342" t="s">
        <v>3485</v>
      </c>
      <c r="B4485" s="342" t="s">
        <v>3475</v>
      </c>
      <c r="C4485" s="342" t="s">
        <v>6260</v>
      </c>
      <c r="D4485" s="340">
        <v>71.900000000000006</v>
      </c>
      <c r="E4485" s="343"/>
    </row>
    <row r="4486" spans="1:5" s="335" customFormat="1" ht="14.25">
      <c r="A4486" s="342" t="s">
        <v>3486</v>
      </c>
      <c r="B4486" s="342" t="s">
        <v>3475</v>
      </c>
      <c r="C4486" s="342" t="s">
        <v>6261</v>
      </c>
      <c r="D4486" s="340">
        <v>90.9</v>
      </c>
      <c r="E4486" s="343"/>
    </row>
    <row r="4487" spans="1:5" s="335" customFormat="1" ht="24">
      <c r="A4487" s="342" t="s">
        <v>3487</v>
      </c>
      <c r="B4487" s="342" t="s">
        <v>3475</v>
      </c>
      <c r="C4487" s="342" t="s">
        <v>6262</v>
      </c>
      <c r="D4487" s="340">
        <v>135</v>
      </c>
      <c r="E4487" s="343"/>
    </row>
    <row r="4488" spans="1:5" s="335" customFormat="1" ht="24">
      <c r="A4488" s="342" t="s">
        <v>3488</v>
      </c>
      <c r="B4488" s="342" t="s">
        <v>3475</v>
      </c>
      <c r="C4488" s="342" t="s">
        <v>6263</v>
      </c>
      <c r="D4488" s="340">
        <v>219.5</v>
      </c>
      <c r="E4488" s="343"/>
    </row>
    <row r="4489" spans="1:5" s="335" customFormat="1" ht="24">
      <c r="A4489" s="342" t="s">
        <v>3489</v>
      </c>
      <c r="B4489" s="342" t="s">
        <v>3475</v>
      </c>
      <c r="C4489" s="342" t="s">
        <v>6264</v>
      </c>
      <c r="D4489" s="340">
        <v>480</v>
      </c>
      <c r="E4489" s="343"/>
    </row>
    <row r="4490" spans="1:5" s="335" customFormat="1" ht="24">
      <c r="A4490" s="342" t="s">
        <v>3490</v>
      </c>
      <c r="B4490" s="342" t="s">
        <v>3475</v>
      </c>
      <c r="C4490" s="342" t="s">
        <v>6265</v>
      </c>
      <c r="D4490" s="340">
        <v>900</v>
      </c>
      <c r="E4490" s="343"/>
    </row>
    <row r="4491" spans="1:5" s="335" customFormat="1" ht="24">
      <c r="A4491" s="342" t="s">
        <v>3491</v>
      </c>
      <c r="B4491" s="342" t="s">
        <v>3475</v>
      </c>
      <c r="C4491" s="342" t="s">
        <v>6266</v>
      </c>
      <c r="D4491" s="340">
        <v>1125</v>
      </c>
      <c r="E4491" s="343"/>
    </row>
    <row r="4492" spans="1:5" s="335" customFormat="1" ht="12.75">
      <c r="A4492" s="344"/>
      <c r="B4492" s="343"/>
      <c r="C4492" s="343"/>
      <c r="D4492" s="395"/>
      <c r="E4492" s="343"/>
    </row>
    <row r="4493" spans="1:5" s="335" customFormat="1" ht="30" customHeight="1">
      <c r="A4493" s="345"/>
      <c r="B4493" s="404" t="s">
        <v>3492</v>
      </c>
      <c r="C4493" s="404"/>
      <c r="D4493" s="404"/>
      <c r="E4493" s="404"/>
    </row>
    <row r="4494" spans="1:5" s="335" customFormat="1" ht="25.5">
      <c r="A4494" s="346" t="s">
        <v>789</v>
      </c>
      <c r="B4494" s="346" t="s">
        <v>409</v>
      </c>
      <c r="C4494" s="346" t="s">
        <v>26</v>
      </c>
      <c r="D4494" s="337" t="s">
        <v>6425</v>
      </c>
      <c r="E4494" s="343"/>
    </row>
    <row r="4495" spans="1:5" s="335" customFormat="1" ht="24">
      <c r="A4495" s="342" t="s">
        <v>3493</v>
      </c>
      <c r="B4495" s="342" t="s">
        <v>3494</v>
      </c>
      <c r="C4495" s="342" t="s">
        <v>6267</v>
      </c>
      <c r="D4495" s="340">
        <v>42410</v>
      </c>
      <c r="E4495" s="343"/>
    </row>
    <row r="4496" spans="1:5" s="335" customFormat="1" ht="12.75">
      <c r="A4496" s="403" t="s">
        <v>3495</v>
      </c>
      <c r="B4496" s="403"/>
      <c r="C4496" s="403"/>
      <c r="D4496" s="403"/>
      <c r="E4496" s="343"/>
    </row>
    <row r="4497" spans="1:5" s="335" customFormat="1" ht="24">
      <c r="A4497" s="342" t="s">
        <v>3496</v>
      </c>
      <c r="B4497" s="342" t="s">
        <v>3497</v>
      </c>
      <c r="C4497" s="342" t="str">
        <f>("7640001453")</f>
        <v>7640001453</v>
      </c>
      <c r="D4497" s="340">
        <v>5000</v>
      </c>
      <c r="E4497" s="343"/>
    </row>
    <row r="4498" spans="1:5" s="335" customFormat="1" ht="36">
      <c r="A4498" s="342" t="s">
        <v>3498</v>
      </c>
      <c r="B4498" s="342" t="s">
        <v>3497</v>
      </c>
      <c r="C4498" s="342" t="str">
        <f>("7640001841")</f>
        <v>7640001841</v>
      </c>
      <c r="D4498" s="340">
        <v>5000</v>
      </c>
      <c r="E4498" s="343"/>
    </row>
    <row r="4499" spans="1:5" s="335" customFormat="1" ht="36">
      <c r="A4499" s="342" t="s">
        <v>3499</v>
      </c>
      <c r="B4499" s="342" t="s">
        <v>3500</v>
      </c>
      <c r="C4499" s="342" t="s">
        <v>6268</v>
      </c>
      <c r="D4499" s="340">
        <v>5000</v>
      </c>
      <c r="E4499" s="343"/>
    </row>
    <row r="4500" spans="1:5" s="335" customFormat="1" ht="48">
      <c r="A4500" s="342" t="s">
        <v>3501</v>
      </c>
      <c r="B4500" s="342" t="s">
        <v>3502</v>
      </c>
      <c r="C4500" s="342" t="str">
        <f>("7640006882")</f>
        <v>7640006882</v>
      </c>
      <c r="D4500" s="340">
        <v>5000</v>
      </c>
      <c r="E4500" s="343"/>
    </row>
    <row r="4501" spans="1:5" s="335" customFormat="1" ht="36">
      <c r="A4501" s="342" t="s">
        <v>3503</v>
      </c>
      <c r="B4501" s="342" t="s">
        <v>3504</v>
      </c>
      <c r="C4501" s="342" t="str">
        <f>("7640006883")</f>
        <v>7640006883</v>
      </c>
      <c r="D4501" s="340">
        <v>3120</v>
      </c>
      <c r="E4501" s="343"/>
    </row>
    <row r="4502" spans="1:5" s="335" customFormat="1" ht="36">
      <c r="A4502" s="342" t="s">
        <v>3505</v>
      </c>
      <c r="B4502" s="342" t="s">
        <v>3497</v>
      </c>
      <c r="C4502" s="342" t="str">
        <f>("7640008054")</f>
        <v>7640008054</v>
      </c>
      <c r="D4502" s="340">
        <v>5000</v>
      </c>
      <c r="E4502" s="343"/>
    </row>
    <row r="4503" spans="1:5" s="335" customFormat="1" ht="48">
      <c r="A4503" s="342" t="s">
        <v>3506</v>
      </c>
      <c r="B4503" s="342" t="s">
        <v>3497</v>
      </c>
      <c r="C4503" s="342" t="str">
        <f>("7640008302")</f>
        <v>7640008302</v>
      </c>
      <c r="D4503" s="340">
        <v>5000</v>
      </c>
      <c r="E4503" s="343"/>
    </row>
    <row r="4504" spans="1:5" s="335" customFormat="1" ht="36">
      <c r="A4504" s="342" t="s">
        <v>3507</v>
      </c>
      <c r="B4504" s="342" t="s">
        <v>3508</v>
      </c>
      <c r="C4504" s="342" t="str">
        <f>("7640015168")</f>
        <v>7640015168</v>
      </c>
      <c r="D4504" s="340">
        <v>8000</v>
      </c>
      <c r="E4504" s="343"/>
    </row>
    <row r="4505" spans="1:5" s="335" customFormat="1" ht="12.75">
      <c r="A4505" s="403" t="s">
        <v>3106</v>
      </c>
      <c r="B4505" s="403"/>
      <c r="C4505" s="403"/>
      <c r="D4505" s="403"/>
      <c r="E4505" s="343"/>
    </row>
    <row r="4506" spans="1:5" s="335" customFormat="1" ht="24">
      <c r="A4506" s="342" t="s">
        <v>3509</v>
      </c>
      <c r="B4506" s="342" t="s">
        <v>3510</v>
      </c>
      <c r="C4506" s="342" t="str">
        <f>("7640006831")</f>
        <v>7640006831</v>
      </c>
      <c r="D4506" s="340">
        <v>6000</v>
      </c>
      <c r="E4506" s="343"/>
    </row>
    <row r="4507" spans="1:5" s="335" customFormat="1" ht="36">
      <c r="A4507" s="342" t="s">
        <v>3511</v>
      </c>
      <c r="B4507" s="342" t="s">
        <v>3512</v>
      </c>
      <c r="C4507" s="342" t="str">
        <f>("7640008446")</f>
        <v>7640008446</v>
      </c>
      <c r="D4507" s="340">
        <v>1000</v>
      </c>
      <c r="E4507" s="343"/>
    </row>
    <row r="4508" spans="1:5" s="335" customFormat="1" ht="12.75">
      <c r="A4508" s="403" t="s">
        <v>3111</v>
      </c>
      <c r="B4508" s="403"/>
      <c r="C4508" s="403"/>
      <c r="D4508" s="403"/>
      <c r="E4508" s="343"/>
    </row>
    <row r="4509" spans="1:5" s="335" customFormat="1" ht="24">
      <c r="A4509" s="342" t="s">
        <v>3513</v>
      </c>
      <c r="B4509" s="342" t="s">
        <v>3514</v>
      </c>
      <c r="C4509" s="342" t="str">
        <f>("7640002103")</f>
        <v>7640002103</v>
      </c>
      <c r="D4509" s="340">
        <v>656</v>
      </c>
      <c r="E4509" s="343"/>
    </row>
    <row r="4510" spans="1:5" s="335" customFormat="1" ht="12.75">
      <c r="A4510" s="403" t="s">
        <v>3515</v>
      </c>
      <c r="B4510" s="403"/>
      <c r="C4510" s="403"/>
      <c r="D4510" s="403"/>
      <c r="E4510" s="343"/>
    </row>
    <row r="4511" spans="1:5" s="335" customFormat="1" ht="24">
      <c r="A4511" s="342" t="s">
        <v>3516</v>
      </c>
      <c r="B4511" s="342" t="s">
        <v>3517</v>
      </c>
      <c r="C4511" s="342" t="str">
        <f>("7640002333")</f>
        <v>7640002333</v>
      </c>
      <c r="D4511" s="340">
        <v>3200</v>
      </c>
      <c r="E4511" s="343"/>
    </row>
    <row r="4512" spans="1:5" s="335" customFormat="1" ht="12.75">
      <c r="A4512" s="403" t="s">
        <v>3518</v>
      </c>
      <c r="B4512" s="403"/>
      <c r="C4512" s="403"/>
      <c r="D4512" s="403"/>
      <c r="E4512" s="343"/>
    </row>
    <row r="4513" spans="1:5" s="335" customFormat="1" ht="72">
      <c r="A4513" s="342" t="s">
        <v>3519</v>
      </c>
      <c r="B4513" s="342" t="s">
        <v>3520</v>
      </c>
      <c r="C4513" s="342" t="str">
        <f>("7640006811")</f>
        <v>7640006811</v>
      </c>
      <c r="D4513" s="340">
        <v>2600</v>
      </c>
      <c r="E4513" s="343"/>
    </row>
    <row r="4514" spans="1:5" s="335" customFormat="1" ht="24">
      <c r="A4514" s="342" t="s">
        <v>3521</v>
      </c>
      <c r="B4514" s="342" t="s">
        <v>3522</v>
      </c>
      <c r="C4514" s="342" t="str">
        <f>("7640006813")</f>
        <v>7640006813</v>
      </c>
      <c r="D4514" s="340">
        <v>8000</v>
      </c>
      <c r="E4514" s="343"/>
    </row>
    <row r="4515" spans="1:5" s="335" customFormat="1" ht="12.75">
      <c r="A4515" s="403" t="s">
        <v>1562</v>
      </c>
      <c r="B4515" s="403"/>
      <c r="C4515" s="403"/>
      <c r="D4515" s="403"/>
      <c r="E4515" s="343"/>
    </row>
    <row r="4516" spans="1:5" s="335" customFormat="1" ht="36">
      <c r="A4516" s="342" t="s">
        <v>3523</v>
      </c>
      <c r="B4516" s="342" t="s">
        <v>3524</v>
      </c>
      <c r="C4516" s="342" t="s">
        <v>6269</v>
      </c>
      <c r="D4516" s="340">
        <v>3720</v>
      </c>
      <c r="E4516" s="343"/>
    </row>
    <row r="4517" spans="1:5" s="335" customFormat="1" ht="36">
      <c r="A4517" s="342" t="s">
        <v>3525</v>
      </c>
      <c r="B4517" s="342" t="s">
        <v>3526</v>
      </c>
      <c r="C4517" s="342" t="str">
        <f>("7640006884")</f>
        <v>7640006884</v>
      </c>
      <c r="D4517" s="340">
        <v>3100</v>
      </c>
      <c r="E4517" s="343"/>
    </row>
    <row r="4518" spans="1:5" s="335" customFormat="1" ht="60">
      <c r="A4518" s="342" t="s">
        <v>3527</v>
      </c>
      <c r="B4518" s="342" t="s">
        <v>3528</v>
      </c>
      <c r="C4518" s="342" t="str">
        <f>("7640006885")</f>
        <v>7640006885</v>
      </c>
      <c r="D4518" s="340">
        <v>2200</v>
      </c>
      <c r="E4518" s="343"/>
    </row>
    <row r="4519" spans="1:5" s="335" customFormat="1" ht="72">
      <c r="A4519" s="342" t="s">
        <v>3529</v>
      </c>
      <c r="B4519" s="342" t="s">
        <v>3530</v>
      </c>
      <c r="C4519" s="342" t="str">
        <f>("7640006886")</f>
        <v>7640006886</v>
      </c>
      <c r="D4519" s="340">
        <v>200</v>
      </c>
      <c r="E4519" s="343"/>
    </row>
    <row r="4520" spans="1:5" s="335" customFormat="1" ht="72">
      <c r="A4520" s="342" t="s">
        <v>3531</v>
      </c>
      <c r="B4520" s="342" t="s">
        <v>3532</v>
      </c>
      <c r="C4520" s="342" t="str">
        <f>("7640006887")</f>
        <v>7640006887</v>
      </c>
      <c r="D4520" s="340">
        <v>930</v>
      </c>
      <c r="E4520" s="343"/>
    </row>
    <row r="4521" spans="1:5" s="335" customFormat="1" ht="36">
      <c r="A4521" s="342" t="s">
        <v>3533</v>
      </c>
      <c r="B4521" s="342" t="s">
        <v>3534</v>
      </c>
      <c r="C4521" s="342" t="str">
        <f>("7640006891")</f>
        <v>7640006891</v>
      </c>
      <c r="D4521" s="340">
        <v>5000</v>
      </c>
      <c r="E4521" s="343"/>
    </row>
    <row r="4522" spans="1:5" s="335" customFormat="1" ht="36">
      <c r="A4522" s="342" t="s">
        <v>3535</v>
      </c>
      <c r="B4522" s="342" t="s">
        <v>3536</v>
      </c>
      <c r="C4522" s="342" t="str">
        <f>("7640006892")</f>
        <v>7640006892</v>
      </c>
      <c r="D4522" s="340">
        <v>11500</v>
      </c>
      <c r="E4522" s="343"/>
    </row>
    <row r="4523" spans="1:5" s="335" customFormat="1" ht="24">
      <c r="A4523" s="342" t="s">
        <v>3537</v>
      </c>
      <c r="B4523" s="342" t="s">
        <v>3538</v>
      </c>
      <c r="C4523" s="342" t="s">
        <v>6270</v>
      </c>
      <c r="D4523" s="340">
        <v>3100</v>
      </c>
      <c r="E4523" s="343"/>
    </row>
    <row r="4524" spans="1:5" s="335" customFormat="1" ht="60">
      <c r="A4524" s="342" t="s">
        <v>1563</v>
      </c>
      <c r="B4524" s="342" t="s">
        <v>1564</v>
      </c>
      <c r="C4524" s="342" t="str">
        <f>("7640012393")</f>
        <v>7640012393</v>
      </c>
      <c r="D4524" s="340">
        <v>200</v>
      </c>
      <c r="E4524" s="343"/>
    </row>
    <row r="4525" spans="1:5" s="335" customFormat="1" ht="60">
      <c r="A4525" s="342" t="s">
        <v>3539</v>
      </c>
      <c r="B4525" s="342" t="s">
        <v>3540</v>
      </c>
      <c r="C4525" s="342" t="str">
        <f>("7640012394")</f>
        <v>7640012394</v>
      </c>
      <c r="D4525" s="340">
        <v>930</v>
      </c>
      <c r="E4525" s="343"/>
    </row>
    <row r="4526" spans="1:5" s="335" customFormat="1" ht="12.75">
      <c r="A4526" s="403" t="s">
        <v>3121</v>
      </c>
      <c r="B4526" s="403"/>
      <c r="C4526" s="403"/>
      <c r="D4526" s="403"/>
      <c r="E4526" s="343"/>
    </row>
    <row r="4527" spans="1:5" s="335" customFormat="1" ht="24">
      <c r="A4527" s="342" t="s">
        <v>3541</v>
      </c>
      <c r="B4527" s="342" t="s">
        <v>3542</v>
      </c>
      <c r="C4527" s="342" t="str">
        <f>("7640006824")</f>
        <v>7640006824</v>
      </c>
      <c r="D4527" s="340">
        <v>4000</v>
      </c>
      <c r="E4527" s="343"/>
    </row>
    <row r="4528" spans="1:5" s="335" customFormat="1" ht="24">
      <c r="A4528" s="342" t="s">
        <v>3543</v>
      </c>
      <c r="B4528" s="342" t="s">
        <v>3544</v>
      </c>
      <c r="C4528" s="342" t="str">
        <f>("7640006825")</f>
        <v>7640006825</v>
      </c>
      <c r="D4528" s="340">
        <v>7200</v>
      </c>
      <c r="E4528" s="343"/>
    </row>
    <row r="4529" spans="1:5" s="335" customFormat="1" ht="24">
      <c r="A4529" s="342" t="s">
        <v>3545</v>
      </c>
      <c r="B4529" s="342" t="s">
        <v>3546</v>
      </c>
      <c r="C4529" s="342" t="str">
        <f>("7640006826")</f>
        <v>7640006826</v>
      </c>
      <c r="D4529" s="340">
        <v>10000</v>
      </c>
      <c r="E4529" s="343"/>
    </row>
    <row r="4530" spans="1:5" s="335" customFormat="1" ht="24">
      <c r="A4530" s="342" t="s">
        <v>3547</v>
      </c>
      <c r="B4530" s="342" t="s">
        <v>3548</v>
      </c>
      <c r="C4530" s="342" t="str">
        <f>("7640006827")</f>
        <v>7640006827</v>
      </c>
      <c r="D4530" s="340">
        <v>13600</v>
      </c>
      <c r="E4530" s="343"/>
    </row>
    <row r="4531" spans="1:5" s="335" customFormat="1" ht="24">
      <c r="A4531" s="342" t="s">
        <v>3549</v>
      </c>
      <c r="B4531" s="342" t="s">
        <v>3550</v>
      </c>
      <c r="C4531" s="342" t="str">
        <f>("7640006828")</f>
        <v>7640006828</v>
      </c>
      <c r="D4531" s="340">
        <v>16800</v>
      </c>
      <c r="E4531" s="343"/>
    </row>
    <row r="4532" spans="1:5" s="335" customFormat="1" ht="24">
      <c r="A4532" s="342" t="s">
        <v>3551</v>
      </c>
      <c r="B4532" s="342" t="s">
        <v>3552</v>
      </c>
      <c r="C4532" s="342" t="s">
        <v>6271</v>
      </c>
      <c r="D4532" s="340">
        <v>1000</v>
      </c>
      <c r="E4532" s="343"/>
    </row>
    <row r="4533" spans="1:5" s="335" customFormat="1" ht="12.75">
      <c r="A4533" s="350"/>
      <c r="B4533" s="350"/>
      <c r="C4533" s="350"/>
      <c r="D4533" s="341"/>
      <c r="E4533" s="343"/>
    </row>
    <row r="4534" spans="1:5" s="335" customFormat="1" ht="30" customHeight="1">
      <c r="A4534" s="345"/>
      <c r="B4534" s="404" t="s">
        <v>3553</v>
      </c>
      <c r="C4534" s="404"/>
      <c r="D4534" s="404"/>
      <c r="E4534" s="404"/>
    </row>
    <row r="4535" spans="1:5" s="335" customFormat="1" ht="25.5">
      <c r="A4535" s="346" t="s">
        <v>789</v>
      </c>
      <c r="B4535" s="346" t="s">
        <v>409</v>
      </c>
      <c r="C4535" s="346" t="s">
        <v>26</v>
      </c>
      <c r="D4535" s="337" t="s">
        <v>6425</v>
      </c>
      <c r="E4535" s="343"/>
    </row>
    <row r="4536" spans="1:5" s="335" customFormat="1" ht="36">
      <c r="A4536" s="342" t="s">
        <v>3554</v>
      </c>
      <c r="B4536" s="342" t="s">
        <v>3555</v>
      </c>
      <c r="C4536" s="342" t="s">
        <v>6272</v>
      </c>
      <c r="D4536" s="340">
        <v>48690</v>
      </c>
      <c r="E4536" s="343"/>
    </row>
    <row r="4537" spans="1:5" s="335" customFormat="1" ht="12.75">
      <c r="A4537" s="403" t="s">
        <v>3495</v>
      </c>
      <c r="B4537" s="403"/>
      <c r="C4537" s="403"/>
      <c r="D4537" s="403"/>
      <c r="E4537" s="343"/>
    </row>
    <row r="4538" spans="1:5" s="335" customFormat="1" ht="24">
      <c r="A4538" s="342" t="s">
        <v>3496</v>
      </c>
      <c r="B4538" s="342" t="s">
        <v>3497</v>
      </c>
      <c r="C4538" s="342" t="str">
        <f>("7640001453")</f>
        <v>7640001453</v>
      </c>
      <c r="D4538" s="340">
        <v>5000</v>
      </c>
      <c r="E4538" s="343"/>
    </row>
    <row r="4539" spans="1:5" s="335" customFormat="1" ht="36">
      <c r="A4539" s="342" t="s">
        <v>3498</v>
      </c>
      <c r="B4539" s="342" t="s">
        <v>3497</v>
      </c>
      <c r="C4539" s="342" t="str">
        <f>("7640001841")</f>
        <v>7640001841</v>
      </c>
      <c r="D4539" s="340">
        <v>5000</v>
      </c>
      <c r="E4539" s="343"/>
    </row>
    <row r="4540" spans="1:5" s="335" customFormat="1" ht="36">
      <c r="A4540" s="342" t="s">
        <v>3499</v>
      </c>
      <c r="B4540" s="342" t="s">
        <v>3500</v>
      </c>
      <c r="C4540" s="342" t="s">
        <v>6268</v>
      </c>
      <c r="D4540" s="340">
        <v>5000</v>
      </c>
      <c r="E4540" s="343"/>
    </row>
    <row r="4541" spans="1:5" s="335" customFormat="1" ht="48">
      <c r="A4541" s="342" t="s">
        <v>3501</v>
      </c>
      <c r="B4541" s="342" t="s">
        <v>3502</v>
      </c>
      <c r="C4541" s="342" t="str">
        <f>("7640006882")</f>
        <v>7640006882</v>
      </c>
      <c r="D4541" s="340">
        <v>5000</v>
      </c>
      <c r="E4541" s="343"/>
    </row>
    <row r="4542" spans="1:5" s="335" customFormat="1" ht="36">
      <c r="A4542" s="342" t="s">
        <v>3503</v>
      </c>
      <c r="B4542" s="342" t="s">
        <v>3504</v>
      </c>
      <c r="C4542" s="342" t="str">
        <f>("7640006883")</f>
        <v>7640006883</v>
      </c>
      <c r="D4542" s="340">
        <v>3120</v>
      </c>
      <c r="E4542" s="343"/>
    </row>
    <row r="4543" spans="1:5" s="335" customFormat="1" ht="36">
      <c r="A4543" s="342" t="s">
        <v>3505</v>
      </c>
      <c r="B4543" s="342" t="s">
        <v>3497</v>
      </c>
      <c r="C4543" s="342" t="str">
        <f>("7640008054")</f>
        <v>7640008054</v>
      </c>
      <c r="D4543" s="340">
        <v>5000</v>
      </c>
      <c r="E4543" s="343"/>
    </row>
    <row r="4544" spans="1:5" s="335" customFormat="1" ht="48">
      <c r="A4544" s="342" t="s">
        <v>3506</v>
      </c>
      <c r="B4544" s="342" t="s">
        <v>3497</v>
      </c>
      <c r="C4544" s="342" t="str">
        <f>("7640008302")</f>
        <v>7640008302</v>
      </c>
      <c r="D4544" s="340">
        <v>5000</v>
      </c>
      <c r="E4544" s="343"/>
    </row>
    <row r="4545" spans="1:5" s="335" customFormat="1" ht="36">
      <c r="A4545" s="342" t="s">
        <v>3507</v>
      </c>
      <c r="B4545" s="342" t="s">
        <v>3508</v>
      </c>
      <c r="C4545" s="342" t="str">
        <f>("7640015168")</f>
        <v>7640015168</v>
      </c>
      <c r="D4545" s="340">
        <v>8000</v>
      </c>
      <c r="E4545" s="343"/>
    </row>
    <row r="4546" spans="1:5" s="335" customFormat="1" ht="12.75">
      <c r="A4546" s="403" t="s">
        <v>3106</v>
      </c>
      <c r="B4546" s="403"/>
      <c r="C4546" s="403"/>
      <c r="D4546" s="403"/>
      <c r="E4546" s="343"/>
    </row>
    <row r="4547" spans="1:5" s="335" customFormat="1" ht="36">
      <c r="A4547" s="342" t="s">
        <v>3556</v>
      </c>
      <c r="B4547" s="342" t="s">
        <v>3557</v>
      </c>
      <c r="C4547" s="342" t="str">
        <f>("7640008445")</f>
        <v>7640008445</v>
      </c>
      <c r="D4547" s="340">
        <v>6000</v>
      </c>
      <c r="E4547" s="343"/>
    </row>
    <row r="4548" spans="1:5" s="335" customFormat="1" ht="36">
      <c r="A4548" s="342" t="s">
        <v>3511</v>
      </c>
      <c r="B4548" s="342" t="s">
        <v>3512</v>
      </c>
      <c r="C4548" s="342" t="str">
        <f>("7640008446")</f>
        <v>7640008446</v>
      </c>
      <c r="D4548" s="340">
        <v>1000</v>
      </c>
      <c r="E4548" s="343"/>
    </row>
    <row r="4549" spans="1:5" s="335" customFormat="1" ht="12.75">
      <c r="A4549" s="403" t="s">
        <v>3111</v>
      </c>
      <c r="B4549" s="403"/>
      <c r="C4549" s="403"/>
      <c r="D4549" s="403"/>
      <c r="E4549" s="343"/>
    </row>
    <row r="4550" spans="1:5" s="335" customFormat="1" ht="24">
      <c r="A4550" s="342" t="s">
        <v>3513</v>
      </c>
      <c r="B4550" s="342" t="s">
        <v>3514</v>
      </c>
      <c r="C4550" s="342" t="str">
        <f>("7640002103")</f>
        <v>7640002103</v>
      </c>
      <c r="D4550" s="340">
        <v>656</v>
      </c>
      <c r="E4550" s="343"/>
    </row>
    <row r="4551" spans="1:5" s="335" customFormat="1" ht="12.75">
      <c r="A4551" s="403" t="s">
        <v>3515</v>
      </c>
      <c r="B4551" s="403"/>
      <c r="C4551" s="403"/>
      <c r="D4551" s="403"/>
      <c r="E4551" s="343"/>
    </row>
    <row r="4552" spans="1:5" s="335" customFormat="1" ht="24">
      <c r="A4552" s="342" t="s">
        <v>3516</v>
      </c>
      <c r="B4552" s="342" t="s">
        <v>3517</v>
      </c>
      <c r="C4552" s="342" t="str">
        <f>("7640002333")</f>
        <v>7640002333</v>
      </c>
      <c r="D4552" s="340">
        <v>3200</v>
      </c>
      <c r="E4552" s="343"/>
    </row>
    <row r="4553" spans="1:5" s="335" customFormat="1" ht="12.75">
      <c r="A4553" s="403" t="s">
        <v>3518</v>
      </c>
      <c r="B4553" s="403"/>
      <c r="C4553" s="403"/>
      <c r="D4553" s="403"/>
      <c r="E4553" s="343"/>
    </row>
    <row r="4554" spans="1:5" s="335" customFormat="1" ht="72">
      <c r="A4554" s="342" t="s">
        <v>3519</v>
      </c>
      <c r="B4554" s="342" t="s">
        <v>3520</v>
      </c>
      <c r="C4554" s="342" t="str">
        <f>("7640006811")</f>
        <v>7640006811</v>
      </c>
      <c r="D4554" s="340">
        <v>2600</v>
      </c>
      <c r="E4554" s="343"/>
    </row>
    <row r="4555" spans="1:5" s="335" customFormat="1" ht="24">
      <c r="A4555" s="342" t="s">
        <v>3521</v>
      </c>
      <c r="B4555" s="342" t="s">
        <v>3522</v>
      </c>
      <c r="C4555" s="342" t="str">
        <f>("7640006813")</f>
        <v>7640006813</v>
      </c>
      <c r="D4555" s="340">
        <v>8000</v>
      </c>
      <c r="E4555" s="343"/>
    </row>
    <row r="4556" spans="1:5" s="335" customFormat="1" ht="12.75">
      <c r="A4556" s="403" t="s">
        <v>1562</v>
      </c>
      <c r="B4556" s="403"/>
      <c r="C4556" s="403"/>
      <c r="D4556" s="403"/>
      <c r="E4556" s="343"/>
    </row>
    <row r="4557" spans="1:5" s="335" customFormat="1" ht="36">
      <c r="A4557" s="342" t="s">
        <v>3523</v>
      </c>
      <c r="B4557" s="342" t="s">
        <v>3524</v>
      </c>
      <c r="C4557" s="342" t="s">
        <v>6269</v>
      </c>
      <c r="D4557" s="340">
        <v>3720</v>
      </c>
      <c r="E4557" s="343"/>
    </row>
    <row r="4558" spans="1:5" s="335" customFormat="1" ht="36">
      <c r="A4558" s="342" t="s">
        <v>3525</v>
      </c>
      <c r="B4558" s="342" t="s">
        <v>3526</v>
      </c>
      <c r="C4558" s="342" t="str">
        <f>("7640006884")</f>
        <v>7640006884</v>
      </c>
      <c r="D4558" s="340">
        <v>3100</v>
      </c>
      <c r="E4558" s="343"/>
    </row>
    <row r="4559" spans="1:5" s="335" customFormat="1" ht="60">
      <c r="A4559" s="342" t="s">
        <v>3527</v>
      </c>
      <c r="B4559" s="342" t="s">
        <v>3528</v>
      </c>
      <c r="C4559" s="342" t="str">
        <f>("7640006885")</f>
        <v>7640006885</v>
      </c>
      <c r="D4559" s="340">
        <v>2200</v>
      </c>
      <c r="E4559" s="343"/>
    </row>
    <row r="4560" spans="1:5" s="335" customFormat="1" ht="72">
      <c r="A4560" s="342" t="s">
        <v>3529</v>
      </c>
      <c r="B4560" s="342" t="s">
        <v>3530</v>
      </c>
      <c r="C4560" s="342" t="str">
        <f>("7640006886")</f>
        <v>7640006886</v>
      </c>
      <c r="D4560" s="340">
        <v>200</v>
      </c>
      <c r="E4560" s="343"/>
    </row>
    <row r="4561" spans="1:5" s="335" customFormat="1" ht="72">
      <c r="A4561" s="342" t="s">
        <v>3531</v>
      </c>
      <c r="B4561" s="342" t="s">
        <v>3532</v>
      </c>
      <c r="C4561" s="342" t="str">
        <f>("7640006887")</f>
        <v>7640006887</v>
      </c>
      <c r="D4561" s="340">
        <v>930</v>
      </c>
      <c r="E4561" s="343"/>
    </row>
    <row r="4562" spans="1:5" s="335" customFormat="1" ht="36">
      <c r="A4562" s="342" t="s">
        <v>3533</v>
      </c>
      <c r="B4562" s="342" t="s">
        <v>3534</v>
      </c>
      <c r="C4562" s="342" t="str">
        <f>("7640006891")</f>
        <v>7640006891</v>
      </c>
      <c r="D4562" s="340">
        <v>5000</v>
      </c>
      <c r="E4562" s="343"/>
    </row>
    <row r="4563" spans="1:5" s="335" customFormat="1" ht="36">
      <c r="A4563" s="342" t="s">
        <v>3535</v>
      </c>
      <c r="B4563" s="342" t="s">
        <v>3536</v>
      </c>
      <c r="C4563" s="342" t="str">
        <f>("7640006892")</f>
        <v>7640006892</v>
      </c>
      <c r="D4563" s="340">
        <v>11500</v>
      </c>
      <c r="E4563" s="343"/>
    </row>
    <row r="4564" spans="1:5" s="335" customFormat="1" ht="24">
      <c r="A4564" s="342" t="s">
        <v>3537</v>
      </c>
      <c r="B4564" s="342" t="s">
        <v>3538</v>
      </c>
      <c r="C4564" s="342" t="s">
        <v>6270</v>
      </c>
      <c r="D4564" s="340">
        <v>3100</v>
      </c>
      <c r="E4564" s="343"/>
    </row>
    <row r="4565" spans="1:5" s="335" customFormat="1" ht="12.75">
      <c r="A4565" s="403" t="s">
        <v>3121</v>
      </c>
      <c r="B4565" s="403"/>
      <c r="C4565" s="403"/>
      <c r="D4565" s="403"/>
      <c r="E4565" s="343"/>
    </row>
    <row r="4566" spans="1:5" s="335" customFormat="1" ht="24">
      <c r="A4566" s="342" t="s">
        <v>3541</v>
      </c>
      <c r="B4566" s="342" t="s">
        <v>3542</v>
      </c>
      <c r="C4566" s="342" t="str">
        <f>("7640006824")</f>
        <v>7640006824</v>
      </c>
      <c r="D4566" s="340">
        <v>4000</v>
      </c>
      <c r="E4566" s="343"/>
    </row>
    <row r="4567" spans="1:5" s="335" customFormat="1" ht="24">
      <c r="A4567" s="342" t="s">
        <v>3543</v>
      </c>
      <c r="B4567" s="342" t="s">
        <v>3544</v>
      </c>
      <c r="C4567" s="342" t="str">
        <f>("7640006825")</f>
        <v>7640006825</v>
      </c>
      <c r="D4567" s="340">
        <v>7200</v>
      </c>
      <c r="E4567" s="343"/>
    </row>
    <row r="4568" spans="1:5" s="335" customFormat="1" ht="24">
      <c r="A4568" s="342" t="s">
        <v>3545</v>
      </c>
      <c r="B4568" s="342" t="s">
        <v>3546</v>
      </c>
      <c r="C4568" s="342" t="str">
        <f>("7640006826")</f>
        <v>7640006826</v>
      </c>
      <c r="D4568" s="340">
        <v>10000</v>
      </c>
      <c r="E4568" s="343"/>
    </row>
    <row r="4569" spans="1:5" s="335" customFormat="1" ht="24">
      <c r="A4569" s="342" t="s">
        <v>3547</v>
      </c>
      <c r="B4569" s="342" t="s">
        <v>3548</v>
      </c>
      <c r="C4569" s="342" t="str">
        <f>("7640006827")</f>
        <v>7640006827</v>
      </c>
      <c r="D4569" s="340">
        <v>13600</v>
      </c>
      <c r="E4569" s="343"/>
    </row>
    <row r="4570" spans="1:5" s="335" customFormat="1" ht="24">
      <c r="A4570" s="342" t="s">
        <v>3549</v>
      </c>
      <c r="B4570" s="342" t="s">
        <v>3550</v>
      </c>
      <c r="C4570" s="342" t="str">
        <f>("7640006828")</f>
        <v>7640006828</v>
      </c>
      <c r="D4570" s="340">
        <v>16800</v>
      </c>
      <c r="E4570" s="343"/>
    </row>
    <row r="4571" spans="1:5" s="335" customFormat="1" ht="24">
      <c r="A4571" s="342" t="s">
        <v>3551</v>
      </c>
      <c r="B4571" s="342" t="s">
        <v>3552</v>
      </c>
      <c r="C4571" s="342" t="s">
        <v>6271</v>
      </c>
      <c r="D4571" s="340">
        <v>1000</v>
      </c>
      <c r="E4571" s="343"/>
    </row>
    <row r="4572" spans="1:5" s="335" customFormat="1" ht="12.75">
      <c r="A4572" s="344"/>
      <c r="B4572" s="343"/>
      <c r="C4572" s="343"/>
      <c r="D4572" s="395"/>
      <c r="E4572" s="343"/>
    </row>
    <row r="4573" spans="1:5" s="335" customFormat="1" ht="30" customHeight="1">
      <c r="A4573" s="345"/>
      <c r="B4573" s="404" t="s">
        <v>3558</v>
      </c>
      <c r="C4573" s="404"/>
      <c r="D4573" s="404"/>
      <c r="E4573" s="404"/>
    </row>
    <row r="4574" spans="1:5" s="335" customFormat="1" ht="25.5">
      <c r="A4574" s="346" t="s">
        <v>789</v>
      </c>
      <c r="B4574" s="346" t="s">
        <v>409</v>
      </c>
      <c r="C4574" s="346" t="s">
        <v>26</v>
      </c>
      <c r="D4574" s="337" t="s">
        <v>6425</v>
      </c>
      <c r="E4574" s="343"/>
    </row>
    <row r="4575" spans="1:5" s="335" customFormat="1" ht="24">
      <c r="A4575" s="342" t="s">
        <v>3559</v>
      </c>
      <c r="B4575" s="342" t="s">
        <v>3560</v>
      </c>
      <c r="C4575" s="342" t="s">
        <v>6273</v>
      </c>
      <c r="D4575" s="340">
        <v>25990</v>
      </c>
      <c r="E4575" s="343"/>
    </row>
    <row r="4576" spans="1:5" s="335" customFormat="1" ht="12.75">
      <c r="A4576" s="403" t="s">
        <v>3495</v>
      </c>
      <c r="B4576" s="403"/>
      <c r="C4576" s="403"/>
      <c r="D4576" s="403"/>
      <c r="E4576" s="343"/>
    </row>
    <row r="4577" spans="1:5" s="335" customFormat="1" ht="24">
      <c r="A4577" s="342" t="s">
        <v>3496</v>
      </c>
      <c r="B4577" s="342" t="s">
        <v>3497</v>
      </c>
      <c r="C4577" s="342" t="str">
        <f>("7640001453")</f>
        <v>7640001453</v>
      </c>
      <c r="D4577" s="340">
        <v>5000</v>
      </c>
      <c r="E4577" s="343"/>
    </row>
    <row r="4578" spans="1:5" s="335" customFormat="1" ht="36">
      <c r="A4578" s="342" t="s">
        <v>3498</v>
      </c>
      <c r="B4578" s="342" t="s">
        <v>3497</v>
      </c>
      <c r="C4578" s="342" t="str">
        <f>("7640001841")</f>
        <v>7640001841</v>
      </c>
      <c r="D4578" s="340">
        <v>5000</v>
      </c>
      <c r="E4578" s="343"/>
    </row>
    <row r="4579" spans="1:5" s="335" customFormat="1" ht="36">
      <c r="A4579" s="342" t="s">
        <v>3499</v>
      </c>
      <c r="B4579" s="342" t="s">
        <v>3500</v>
      </c>
      <c r="C4579" s="342" t="s">
        <v>6268</v>
      </c>
      <c r="D4579" s="340">
        <v>5000</v>
      </c>
      <c r="E4579" s="343"/>
    </row>
    <row r="4580" spans="1:5" s="335" customFormat="1" ht="48">
      <c r="A4580" s="342" t="s">
        <v>3501</v>
      </c>
      <c r="B4580" s="342" t="s">
        <v>3502</v>
      </c>
      <c r="C4580" s="342" t="str">
        <f>("7640006882")</f>
        <v>7640006882</v>
      </c>
      <c r="D4580" s="340">
        <v>5000</v>
      </c>
      <c r="E4580" s="343"/>
    </row>
    <row r="4581" spans="1:5" s="335" customFormat="1" ht="36">
      <c r="A4581" s="342" t="s">
        <v>3503</v>
      </c>
      <c r="B4581" s="342" t="s">
        <v>3504</v>
      </c>
      <c r="C4581" s="342" t="str">
        <f>("7640006883")</f>
        <v>7640006883</v>
      </c>
      <c r="D4581" s="340">
        <v>3120</v>
      </c>
      <c r="E4581" s="343"/>
    </row>
    <row r="4582" spans="1:5" s="335" customFormat="1" ht="36">
      <c r="A4582" s="342" t="s">
        <v>3505</v>
      </c>
      <c r="B4582" s="342" t="s">
        <v>3497</v>
      </c>
      <c r="C4582" s="342" t="str">
        <f>("7640008054")</f>
        <v>7640008054</v>
      </c>
      <c r="D4582" s="340">
        <v>5000</v>
      </c>
      <c r="E4582" s="343"/>
    </row>
    <row r="4583" spans="1:5" s="335" customFormat="1" ht="48">
      <c r="A4583" s="342" t="s">
        <v>3506</v>
      </c>
      <c r="B4583" s="342" t="s">
        <v>3497</v>
      </c>
      <c r="C4583" s="342" t="str">
        <f>("7640008302")</f>
        <v>7640008302</v>
      </c>
      <c r="D4583" s="340">
        <v>5000</v>
      </c>
      <c r="E4583" s="343"/>
    </row>
    <row r="4584" spans="1:5" s="335" customFormat="1" ht="36">
      <c r="A4584" s="342" t="s">
        <v>3507</v>
      </c>
      <c r="B4584" s="342" t="s">
        <v>3508</v>
      </c>
      <c r="C4584" s="342" t="str">
        <f>("7640015168")</f>
        <v>7640015168</v>
      </c>
      <c r="D4584" s="340">
        <v>8000</v>
      </c>
      <c r="E4584" s="343"/>
    </row>
    <row r="4585" spans="1:5" s="335" customFormat="1" ht="12.75">
      <c r="A4585" s="403" t="s">
        <v>3106</v>
      </c>
      <c r="B4585" s="403"/>
      <c r="C4585" s="403"/>
      <c r="D4585" s="403"/>
      <c r="E4585" s="343"/>
    </row>
    <row r="4586" spans="1:5" s="335" customFormat="1" ht="24">
      <c r="A4586" s="342" t="s">
        <v>3561</v>
      </c>
      <c r="B4586" s="342" t="s">
        <v>3562</v>
      </c>
      <c r="C4586" s="342" t="str">
        <f>("7640006830")</f>
        <v>7640006830</v>
      </c>
      <c r="D4586" s="340">
        <v>1300</v>
      </c>
      <c r="E4586" s="343"/>
    </row>
    <row r="4587" spans="1:5" s="335" customFormat="1" ht="36">
      <c r="A4587" s="342" t="s">
        <v>3511</v>
      </c>
      <c r="B4587" s="342" t="s">
        <v>3512</v>
      </c>
      <c r="C4587" s="342" t="str">
        <f>("7640008446")</f>
        <v>7640008446</v>
      </c>
      <c r="D4587" s="340">
        <v>1000</v>
      </c>
      <c r="E4587" s="343"/>
    </row>
    <row r="4588" spans="1:5" s="335" customFormat="1" ht="12.75">
      <c r="A4588" s="403" t="s">
        <v>3111</v>
      </c>
      <c r="B4588" s="403"/>
      <c r="C4588" s="403"/>
      <c r="D4588" s="403"/>
      <c r="E4588" s="343"/>
    </row>
    <row r="4589" spans="1:5" s="335" customFormat="1" ht="24">
      <c r="A4589" s="342" t="s">
        <v>3513</v>
      </c>
      <c r="B4589" s="342" t="s">
        <v>3514</v>
      </c>
      <c r="C4589" s="342" t="str">
        <f>("7640002103")</f>
        <v>7640002103</v>
      </c>
      <c r="D4589" s="340">
        <v>656</v>
      </c>
      <c r="E4589" s="343"/>
    </row>
    <row r="4590" spans="1:5" s="335" customFormat="1" ht="12.75">
      <c r="A4590" s="403" t="s">
        <v>3515</v>
      </c>
      <c r="B4590" s="403"/>
      <c r="C4590" s="403"/>
      <c r="D4590" s="403"/>
      <c r="E4590" s="343"/>
    </row>
    <row r="4591" spans="1:5" s="335" customFormat="1" ht="24">
      <c r="A4591" s="342" t="s">
        <v>3516</v>
      </c>
      <c r="B4591" s="342" t="s">
        <v>3517</v>
      </c>
      <c r="C4591" s="342" t="str">
        <f>("7640002333")</f>
        <v>7640002333</v>
      </c>
      <c r="D4591" s="340">
        <v>3200</v>
      </c>
      <c r="E4591" s="343"/>
    </row>
    <row r="4592" spans="1:5" s="335" customFormat="1" ht="12.75">
      <c r="A4592" s="403" t="s">
        <v>3518</v>
      </c>
      <c r="B4592" s="403"/>
      <c r="C4592" s="403"/>
      <c r="D4592" s="403"/>
      <c r="E4592" s="343"/>
    </row>
    <row r="4593" spans="1:5" s="335" customFormat="1" ht="72">
      <c r="A4593" s="342" t="s">
        <v>3519</v>
      </c>
      <c r="B4593" s="342" t="s">
        <v>3520</v>
      </c>
      <c r="C4593" s="342" t="str">
        <f>("7640006811")</f>
        <v>7640006811</v>
      </c>
      <c r="D4593" s="340">
        <v>2600</v>
      </c>
      <c r="E4593" s="343"/>
    </row>
    <row r="4594" spans="1:5" s="335" customFormat="1" ht="48">
      <c r="A4594" s="342" t="s">
        <v>3563</v>
      </c>
      <c r="B4594" s="342" t="s">
        <v>3564</v>
      </c>
      <c r="C4594" s="342" t="str">
        <f>("7640006812")</f>
        <v>7640006812</v>
      </c>
      <c r="D4594" s="340">
        <v>2600</v>
      </c>
      <c r="E4594" s="343"/>
    </row>
    <row r="4595" spans="1:5" s="335" customFormat="1" ht="24">
      <c r="A4595" s="342" t="s">
        <v>3521</v>
      </c>
      <c r="B4595" s="342" t="s">
        <v>3522</v>
      </c>
      <c r="C4595" s="342" t="str">
        <f>("7640006813")</f>
        <v>7640006813</v>
      </c>
      <c r="D4595" s="340">
        <v>8000</v>
      </c>
      <c r="E4595" s="343"/>
    </row>
    <row r="4596" spans="1:5" s="335" customFormat="1" ht="12.75">
      <c r="A4596" s="403" t="s">
        <v>1562</v>
      </c>
      <c r="B4596" s="403"/>
      <c r="C4596" s="403"/>
      <c r="D4596" s="403"/>
      <c r="E4596" s="343"/>
    </row>
    <row r="4597" spans="1:5" s="335" customFormat="1" ht="36">
      <c r="A4597" s="342" t="s">
        <v>3523</v>
      </c>
      <c r="B4597" s="342" t="s">
        <v>3524</v>
      </c>
      <c r="C4597" s="342" t="s">
        <v>6269</v>
      </c>
      <c r="D4597" s="340">
        <v>3720</v>
      </c>
      <c r="E4597" s="343"/>
    </row>
    <row r="4598" spans="1:5" s="335" customFormat="1" ht="24">
      <c r="A4598" s="342" t="s">
        <v>3565</v>
      </c>
      <c r="B4598" s="342" t="s">
        <v>3566</v>
      </c>
      <c r="C4598" s="342" t="str">
        <f>("7640006809")</f>
        <v>7640006809</v>
      </c>
      <c r="D4598" s="340">
        <v>750</v>
      </c>
      <c r="E4598" s="343"/>
    </row>
    <row r="4599" spans="1:5" s="335" customFormat="1" ht="24">
      <c r="A4599" s="342" t="s">
        <v>3567</v>
      </c>
      <c r="B4599" s="342" t="s">
        <v>3568</v>
      </c>
      <c r="C4599" s="342" t="str">
        <f>("7640006810")</f>
        <v>7640006810</v>
      </c>
      <c r="D4599" s="340">
        <v>2500</v>
      </c>
      <c r="E4599" s="343"/>
    </row>
    <row r="4600" spans="1:5" s="335" customFormat="1" ht="36">
      <c r="A4600" s="342" t="s">
        <v>3525</v>
      </c>
      <c r="B4600" s="342" t="s">
        <v>3526</v>
      </c>
      <c r="C4600" s="342" t="str">
        <f>("7640006884")</f>
        <v>7640006884</v>
      </c>
      <c r="D4600" s="340">
        <v>3100</v>
      </c>
      <c r="E4600" s="343"/>
    </row>
    <row r="4601" spans="1:5" s="335" customFormat="1" ht="60">
      <c r="A4601" s="342" t="s">
        <v>3527</v>
      </c>
      <c r="B4601" s="342" t="s">
        <v>3528</v>
      </c>
      <c r="C4601" s="342" t="str">
        <f>("7640006885")</f>
        <v>7640006885</v>
      </c>
      <c r="D4601" s="340">
        <v>2200</v>
      </c>
      <c r="E4601" s="343"/>
    </row>
    <row r="4602" spans="1:5" s="335" customFormat="1" ht="72">
      <c r="A4602" s="342" t="s">
        <v>3529</v>
      </c>
      <c r="B4602" s="342" t="s">
        <v>3530</v>
      </c>
      <c r="C4602" s="342" t="str">
        <f>("7640006886")</f>
        <v>7640006886</v>
      </c>
      <c r="D4602" s="340">
        <v>200</v>
      </c>
      <c r="E4602" s="343"/>
    </row>
    <row r="4603" spans="1:5" s="335" customFormat="1" ht="72">
      <c r="A4603" s="342" t="s">
        <v>3531</v>
      </c>
      <c r="B4603" s="342" t="s">
        <v>3532</v>
      </c>
      <c r="C4603" s="342" t="str">
        <f>("7640006887")</f>
        <v>7640006887</v>
      </c>
      <c r="D4603" s="340">
        <v>930</v>
      </c>
      <c r="E4603" s="343"/>
    </row>
    <row r="4604" spans="1:5" s="335" customFormat="1" ht="36">
      <c r="A4604" s="342" t="s">
        <v>3533</v>
      </c>
      <c r="B4604" s="342" t="s">
        <v>3534</v>
      </c>
      <c r="C4604" s="342" t="str">
        <f>("7640006891")</f>
        <v>7640006891</v>
      </c>
      <c r="D4604" s="340">
        <v>5000</v>
      </c>
      <c r="E4604" s="343"/>
    </row>
    <row r="4605" spans="1:5" s="335" customFormat="1" ht="36">
      <c r="A4605" s="342" t="s">
        <v>3535</v>
      </c>
      <c r="B4605" s="342" t="s">
        <v>3536</v>
      </c>
      <c r="C4605" s="342" t="str">
        <f>("7640006892")</f>
        <v>7640006892</v>
      </c>
      <c r="D4605" s="340">
        <v>11500</v>
      </c>
      <c r="E4605" s="343"/>
    </row>
    <row r="4606" spans="1:5" s="335" customFormat="1" ht="36">
      <c r="A4606" s="342" t="s">
        <v>3569</v>
      </c>
      <c r="B4606" s="342" t="s">
        <v>3570</v>
      </c>
      <c r="C4606" s="342" t="str">
        <f>("7640006893")</f>
        <v>7640006893</v>
      </c>
      <c r="D4606" s="340">
        <v>5000</v>
      </c>
      <c r="E4606" s="343"/>
    </row>
    <row r="4607" spans="1:5" s="335" customFormat="1" ht="24">
      <c r="A4607" s="342" t="s">
        <v>3537</v>
      </c>
      <c r="B4607" s="342" t="s">
        <v>3538</v>
      </c>
      <c r="C4607" s="342" t="s">
        <v>6270</v>
      </c>
      <c r="D4607" s="340">
        <v>3100</v>
      </c>
      <c r="E4607" s="343"/>
    </row>
    <row r="4608" spans="1:5" s="335" customFormat="1" ht="12.75">
      <c r="A4608" s="403" t="s">
        <v>3121</v>
      </c>
      <c r="B4608" s="403"/>
      <c r="C4608" s="403"/>
      <c r="D4608" s="403"/>
      <c r="E4608" s="343"/>
    </row>
    <row r="4609" spans="1:5" s="335" customFormat="1" ht="24">
      <c r="A4609" s="342" t="s">
        <v>3571</v>
      </c>
      <c r="B4609" s="342" t="s">
        <v>3572</v>
      </c>
      <c r="C4609" s="342" t="str">
        <f>("7640006819")</f>
        <v>7640006819</v>
      </c>
      <c r="D4609" s="340">
        <v>3000</v>
      </c>
      <c r="E4609" s="343"/>
    </row>
    <row r="4610" spans="1:5" s="335" customFormat="1" ht="24">
      <c r="A4610" s="342" t="s">
        <v>3573</v>
      </c>
      <c r="B4610" s="342" t="s">
        <v>3574</v>
      </c>
      <c r="C4610" s="342" t="str">
        <f>("7640006820")</f>
        <v>7640006820</v>
      </c>
      <c r="D4610" s="340">
        <v>5400</v>
      </c>
      <c r="E4610" s="343"/>
    </row>
    <row r="4611" spans="1:5" s="335" customFormat="1" ht="24">
      <c r="A4611" s="342" t="s">
        <v>3575</v>
      </c>
      <c r="B4611" s="342" t="s">
        <v>3576</v>
      </c>
      <c r="C4611" s="342" t="str">
        <f>("7640006821")</f>
        <v>7640006821</v>
      </c>
      <c r="D4611" s="340">
        <v>7500</v>
      </c>
      <c r="E4611" s="343"/>
    </row>
    <row r="4612" spans="1:5" s="335" customFormat="1" ht="24">
      <c r="A4612" s="342" t="s">
        <v>3577</v>
      </c>
      <c r="B4612" s="342" t="s">
        <v>3578</v>
      </c>
      <c r="C4612" s="342" t="str">
        <f>("7640006822")</f>
        <v>7640006822</v>
      </c>
      <c r="D4612" s="340">
        <v>10200</v>
      </c>
      <c r="E4612" s="343"/>
    </row>
    <row r="4613" spans="1:5" s="335" customFormat="1" ht="24">
      <c r="A4613" s="342" t="s">
        <v>3579</v>
      </c>
      <c r="B4613" s="342" t="s">
        <v>3580</v>
      </c>
      <c r="C4613" s="342" t="str">
        <f>("7640006823")</f>
        <v>7640006823</v>
      </c>
      <c r="D4613" s="340">
        <v>12600</v>
      </c>
      <c r="E4613" s="343"/>
    </row>
    <row r="4614" spans="1:5" s="335" customFormat="1" ht="24">
      <c r="A4614" s="342" t="s">
        <v>3551</v>
      </c>
      <c r="B4614" s="342" t="s">
        <v>3552</v>
      </c>
      <c r="C4614" s="342" t="s">
        <v>6271</v>
      </c>
      <c r="D4614" s="340">
        <v>1000</v>
      </c>
      <c r="E4614" s="343"/>
    </row>
    <row r="4615" spans="1:5" s="335" customFormat="1" ht="12.75">
      <c r="A4615" s="344"/>
      <c r="B4615" s="343"/>
      <c r="C4615" s="343"/>
      <c r="D4615" s="395"/>
      <c r="E4615" s="343"/>
    </row>
    <row r="4616" spans="1:5" s="335" customFormat="1" ht="15" customHeight="1">
      <c r="A4616" s="345"/>
      <c r="B4616" s="404" t="s">
        <v>3581</v>
      </c>
      <c r="C4616" s="404"/>
      <c r="D4616" s="404"/>
      <c r="E4616" s="404"/>
    </row>
    <row r="4617" spans="1:5" s="335" customFormat="1" ht="25.5">
      <c r="A4617" s="346" t="s">
        <v>789</v>
      </c>
      <c r="B4617" s="346" t="s">
        <v>409</v>
      </c>
      <c r="C4617" s="346" t="s">
        <v>26</v>
      </c>
      <c r="D4617" s="337" t="s">
        <v>6425</v>
      </c>
      <c r="E4617" s="343"/>
    </row>
    <row r="4618" spans="1:5" s="335" customFormat="1" ht="26.25">
      <c r="A4618" s="342" t="s">
        <v>3582</v>
      </c>
      <c r="B4618" s="342"/>
      <c r="C4618" s="342" t="s">
        <v>6274</v>
      </c>
      <c r="D4618" s="340">
        <v>0</v>
      </c>
      <c r="E4618" s="343"/>
    </row>
    <row r="4619" spans="1:5" s="335" customFormat="1" ht="12.75">
      <c r="A4619" s="402" t="s">
        <v>1587</v>
      </c>
      <c r="B4619" s="402"/>
      <c r="C4619" s="402"/>
      <c r="D4619" s="402"/>
      <c r="E4619" s="343"/>
    </row>
    <row r="4620" spans="1:5" s="335" customFormat="1" ht="48">
      <c r="A4620" s="342" t="s">
        <v>3583</v>
      </c>
      <c r="B4620" s="342" t="s">
        <v>3584</v>
      </c>
      <c r="C4620" s="342" t="s">
        <v>6275</v>
      </c>
      <c r="D4620" s="340">
        <v>12990</v>
      </c>
      <c r="E4620" s="343"/>
    </row>
    <row r="4621" spans="1:5" s="335" customFormat="1" ht="36">
      <c r="A4621" s="342" t="s">
        <v>3585</v>
      </c>
      <c r="B4621" s="342" t="s">
        <v>3586</v>
      </c>
      <c r="C4621" s="342" t="s">
        <v>6276</v>
      </c>
      <c r="D4621" s="340">
        <v>12990</v>
      </c>
      <c r="E4621" s="343"/>
    </row>
    <row r="4622" spans="1:5" s="335" customFormat="1" ht="24">
      <c r="A4622" s="342" t="s">
        <v>3587</v>
      </c>
      <c r="B4622" s="342" t="s">
        <v>3588</v>
      </c>
      <c r="C4622" s="342" t="s">
        <v>6277</v>
      </c>
      <c r="D4622" s="340">
        <v>12990</v>
      </c>
      <c r="E4622" s="343"/>
    </row>
    <row r="4623" spans="1:5" s="335" customFormat="1" ht="24">
      <c r="A4623" s="342" t="s">
        <v>3589</v>
      </c>
      <c r="B4623" s="342" t="s">
        <v>3590</v>
      </c>
      <c r="C4623" s="342" t="s">
        <v>6278</v>
      </c>
      <c r="D4623" s="340">
        <v>12990</v>
      </c>
      <c r="E4623" s="343"/>
    </row>
    <row r="4624" spans="1:5" s="335" customFormat="1" ht="24">
      <c r="A4624" s="342" t="s">
        <v>3591</v>
      </c>
      <c r="B4624" s="342" t="s">
        <v>3592</v>
      </c>
      <c r="C4624" s="342" t="s">
        <v>6279</v>
      </c>
      <c r="D4624" s="340">
        <v>12990</v>
      </c>
      <c r="E4624" s="343"/>
    </row>
    <row r="4625" spans="1:5" s="335" customFormat="1" ht="24">
      <c r="A4625" s="342" t="s">
        <v>3593</v>
      </c>
      <c r="B4625" s="342" t="s">
        <v>3594</v>
      </c>
      <c r="C4625" s="342" t="s">
        <v>6280</v>
      </c>
      <c r="D4625" s="340">
        <v>12990</v>
      </c>
      <c r="E4625" s="343"/>
    </row>
    <row r="4626" spans="1:5" s="335" customFormat="1" ht="36">
      <c r="A4626" s="342" t="s">
        <v>3595</v>
      </c>
      <c r="B4626" s="342" t="s">
        <v>3596</v>
      </c>
      <c r="C4626" s="342" t="str">
        <f>("7640015167")</f>
        <v>7640015167</v>
      </c>
      <c r="D4626" s="340">
        <v>15990</v>
      </c>
      <c r="E4626" s="343"/>
    </row>
    <row r="4627" spans="1:5" s="335" customFormat="1" ht="12.75">
      <c r="A4627" s="403" t="s">
        <v>3106</v>
      </c>
      <c r="B4627" s="403"/>
      <c r="C4627" s="403"/>
      <c r="D4627" s="403"/>
      <c r="E4627" s="343"/>
    </row>
    <row r="4628" spans="1:5" s="335" customFormat="1" ht="24">
      <c r="A4628" s="342" t="s">
        <v>3597</v>
      </c>
      <c r="B4628" s="342" t="s">
        <v>3598</v>
      </c>
      <c r="C4628" s="342" t="str">
        <f>("7640006829")</f>
        <v>7640006829</v>
      </c>
      <c r="D4628" s="340">
        <v>1000</v>
      </c>
      <c r="E4628" s="343"/>
    </row>
    <row r="4629" spans="1:5" s="335" customFormat="1" ht="36">
      <c r="A4629" s="342" t="s">
        <v>3511</v>
      </c>
      <c r="B4629" s="342" t="s">
        <v>3512</v>
      </c>
      <c r="C4629" s="342" t="str">
        <f>("7640008446")</f>
        <v>7640008446</v>
      </c>
      <c r="D4629" s="340">
        <v>1000</v>
      </c>
      <c r="E4629" s="343"/>
    </row>
    <row r="4630" spans="1:5" s="335" customFormat="1" ht="12.75">
      <c r="A4630" s="403" t="s">
        <v>3111</v>
      </c>
      <c r="B4630" s="403"/>
      <c r="C4630" s="403"/>
      <c r="D4630" s="403"/>
      <c r="E4630" s="343"/>
    </row>
    <row r="4631" spans="1:5" s="335" customFormat="1" ht="24">
      <c r="A4631" s="342" t="s">
        <v>3513</v>
      </c>
      <c r="B4631" s="342" t="s">
        <v>3514</v>
      </c>
      <c r="C4631" s="342" t="str">
        <f>("7640002103")</f>
        <v>7640002103</v>
      </c>
      <c r="D4631" s="340">
        <v>656</v>
      </c>
      <c r="E4631" s="343"/>
    </row>
    <row r="4632" spans="1:5" s="335" customFormat="1" ht="12.75">
      <c r="A4632" s="403" t="s">
        <v>3515</v>
      </c>
      <c r="B4632" s="403"/>
      <c r="C4632" s="403"/>
      <c r="D4632" s="403"/>
      <c r="E4632" s="343"/>
    </row>
    <row r="4633" spans="1:5" s="335" customFormat="1" ht="24">
      <c r="A4633" s="342" t="s">
        <v>3516</v>
      </c>
      <c r="B4633" s="342" t="s">
        <v>3517</v>
      </c>
      <c r="C4633" s="342" t="str">
        <f>("7640002333")</f>
        <v>7640002333</v>
      </c>
      <c r="D4633" s="340">
        <v>3200</v>
      </c>
      <c r="E4633" s="343"/>
    </row>
    <row r="4634" spans="1:5" s="335" customFormat="1" ht="12.75">
      <c r="A4634" s="403" t="s">
        <v>3518</v>
      </c>
      <c r="B4634" s="403"/>
      <c r="C4634" s="403"/>
      <c r="D4634" s="403"/>
      <c r="E4634" s="343"/>
    </row>
    <row r="4635" spans="1:5" s="335" customFormat="1" ht="72">
      <c r="A4635" s="342" t="s">
        <v>3519</v>
      </c>
      <c r="B4635" s="342" t="s">
        <v>3520</v>
      </c>
      <c r="C4635" s="342" t="str">
        <f>("7640006811")</f>
        <v>7640006811</v>
      </c>
      <c r="D4635" s="340">
        <v>2600</v>
      </c>
      <c r="E4635" s="343"/>
    </row>
    <row r="4636" spans="1:5" s="335" customFormat="1" ht="48">
      <c r="A4636" s="342" t="s">
        <v>3563</v>
      </c>
      <c r="B4636" s="342" t="s">
        <v>3564</v>
      </c>
      <c r="C4636" s="342" t="str">
        <f>("7640006812")</f>
        <v>7640006812</v>
      </c>
      <c r="D4636" s="340">
        <v>2600</v>
      </c>
      <c r="E4636" s="343"/>
    </row>
    <row r="4637" spans="1:5" s="335" customFormat="1" ht="24">
      <c r="A4637" s="342" t="s">
        <v>3521</v>
      </c>
      <c r="B4637" s="342" t="s">
        <v>3522</v>
      </c>
      <c r="C4637" s="342" t="str">
        <f>("7640006813")</f>
        <v>7640006813</v>
      </c>
      <c r="D4637" s="340">
        <v>8000</v>
      </c>
      <c r="E4637" s="343"/>
    </row>
    <row r="4638" spans="1:5" s="335" customFormat="1" ht="12.75">
      <c r="A4638" s="403" t="s">
        <v>1562</v>
      </c>
      <c r="B4638" s="403"/>
      <c r="C4638" s="403"/>
      <c r="D4638" s="403"/>
      <c r="E4638" s="343"/>
    </row>
    <row r="4639" spans="1:5" s="335" customFormat="1" ht="24">
      <c r="A4639" s="342" t="s">
        <v>3599</v>
      </c>
      <c r="B4639" s="342" t="s">
        <v>3600</v>
      </c>
      <c r="C4639" s="342" t="str">
        <f>("7640006808")</f>
        <v>7640006808</v>
      </c>
      <c r="D4639" s="340">
        <v>3000</v>
      </c>
      <c r="E4639" s="343"/>
    </row>
    <row r="4640" spans="1:5" s="335" customFormat="1" ht="24">
      <c r="A4640" s="342" t="s">
        <v>3565</v>
      </c>
      <c r="B4640" s="342" t="s">
        <v>3566</v>
      </c>
      <c r="C4640" s="342" t="str">
        <f>("7640006809")</f>
        <v>7640006809</v>
      </c>
      <c r="D4640" s="340">
        <v>750</v>
      </c>
      <c r="E4640" s="343"/>
    </row>
    <row r="4641" spans="1:5" s="335" customFormat="1" ht="24">
      <c r="A4641" s="342" t="s">
        <v>3567</v>
      </c>
      <c r="B4641" s="342" t="s">
        <v>3568</v>
      </c>
      <c r="C4641" s="342" t="str">
        <f>("7640006810")</f>
        <v>7640006810</v>
      </c>
      <c r="D4641" s="340">
        <v>2500</v>
      </c>
      <c r="E4641" s="343"/>
    </row>
    <row r="4642" spans="1:5" s="335" customFormat="1" ht="72">
      <c r="A4642" s="342" t="s">
        <v>3529</v>
      </c>
      <c r="B4642" s="342" t="s">
        <v>3530</v>
      </c>
      <c r="C4642" s="342" t="str">
        <f>("7640006886")</f>
        <v>7640006886</v>
      </c>
      <c r="D4642" s="340">
        <v>200</v>
      </c>
      <c r="E4642" s="343"/>
    </row>
    <row r="4643" spans="1:5" s="335" customFormat="1" ht="36">
      <c r="A4643" s="342" t="s">
        <v>3601</v>
      </c>
      <c r="B4643" s="342" t="s">
        <v>3602</v>
      </c>
      <c r="C4643" s="342" t="str">
        <f>("7640006888")</f>
        <v>7640006888</v>
      </c>
      <c r="D4643" s="340">
        <v>2000</v>
      </c>
      <c r="E4643" s="343"/>
    </row>
    <row r="4644" spans="1:5" s="335" customFormat="1" ht="36">
      <c r="A4644" s="342" t="s">
        <v>3603</v>
      </c>
      <c r="B4644" s="342" t="s">
        <v>3604</v>
      </c>
      <c r="C4644" s="342" t="str">
        <f>("7640006889")</f>
        <v>7640006889</v>
      </c>
      <c r="D4644" s="340">
        <v>7000</v>
      </c>
      <c r="E4644" s="343"/>
    </row>
    <row r="4645" spans="1:5" s="335" customFormat="1" ht="36">
      <c r="A4645" s="342" t="s">
        <v>3605</v>
      </c>
      <c r="B4645" s="342" t="s">
        <v>3606</v>
      </c>
      <c r="C4645" s="342" t="str">
        <f>("7640006890")</f>
        <v>7640006890</v>
      </c>
      <c r="D4645" s="340">
        <v>13500</v>
      </c>
      <c r="E4645" s="343"/>
    </row>
    <row r="4646" spans="1:5" s="335" customFormat="1" ht="36">
      <c r="A4646" s="342" t="s">
        <v>3569</v>
      </c>
      <c r="B4646" s="342" t="s">
        <v>3570</v>
      </c>
      <c r="C4646" s="342" t="str">
        <f>("7640006893")</f>
        <v>7640006893</v>
      </c>
      <c r="D4646" s="340">
        <v>5000</v>
      </c>
      <c r="E4646" s="343"/>
    </row>
    <row r="4647" spans="1:5" s="335" customFormat="1" ht="12.75">
      <c r="A4647" s="403" t="s">
        <v>3121</v>
      </c>
      <c r="B4647" s="403"/>
      <c r="C4647" s="403"/>
      <c r="D4647" s="403"/>
      <c r="E4647" s="343"/>
    </row>
    <row r="4648" spans="1:5" s="335" customFormat="1" ht="36">
      <c r="A4648" s="342" t="s">
        <v>3607</v>
      </c>
      <c r="B4648" s="342" t="s">
        <v>3608</v>
      </c>
      <c r="C4648" s="342" t="str">
        <f>("7640006814")</f>
        <v>7640006814</v>
      </c>
      <c r="D4648" s="340">
        <v>2000</v>
      </c>
      <c r="E4648" s="343"/>
    </row>
    <row r="4649" spans="1:5" s="335" customFormat="1" ht="36">
      <c r="A4649" s="342" t="s">
        <v>3609</v>
      </c>
      <c r="B4649" s="342" t="s">
        <v>3610</v>
      </c>
      <c r="C4649" s="342" t="str">
        <f>("7640006815")</f>
        <v>7640006815</v>
      </c>
      <c r="D4649" s="340">
        <v>3600</v>
      </c>
      <c r="E4649" s="343"/>
    </row>
    <row r="4650" spans="1:5" s="335" customFormat="1" ht="36">
      <c r="A4650" s="342" t="s">
        <v>3611</v>
      </c>
      <c r="B4650" s="342" t="s">
        <v>3612</v>
      </c>
      <c r="C4650" s="342" t="str">
        <f>("7640006816")</f>
        <v>7640006816</v>
      </c>
      <c r="D4650" s="340">
        <v>5000</v>
      </c>
      <c r="E4650" s="343"/>
    </row>
    <row r="4651" spans="1:5" s="335" customFormat="1" ht="36">
      <c r="A4651" s="342" t="s">
        <v>3613</v>
      </c>
      <c r="B4651" s="342" t="s">
        <v>3614</v>
      </c>
      <c r="C4651" s="342" t="str">
        <f>("7640006817")</f>
        <v>7640006817</v>
      </c>
      <c r="D4651" s="340">
        <v>6800</v>
      </c>
      <c r="E4651" s="343"/>
    </row>
    <row r="4652" spans="1:5" s="335" customFormat="1" ht="36">
      <c r="A4652" s="342" t="s">
        <v>3615</v>
      </c>
      <c r="B4652" s="342" t="s">
        <v>3616</v>
      </c>
      <c r="C4652" s="342" t="str">
        <f>("7640006818")</f>
        <v>7640006818</v>
      </c>
      <c r="D4652" s="340">
        <v>8400</v>
      </c>
      <c r="E4652" s="343"/>
    </row>
    <row r="4653" spans="1:5" s="335" customFormat="1" ht="24">
      <c r="A4653" s="342" t="s">
        <v>3551</v>
      </c>
      <c r="B4653" s="342" t="s">
        <v>3552</v>
      </c>
      <c r="C4653" s="342" t="s">
        <v>6281</v>
      </c>
      <c r="D4653" s="340">
        <v>1000</v>
      </c>
      <c r="E4653" s="343"/>
    </row>
    <row r="4654" spans="1:5" s="335" customFormat="1" ht="12.75">
      <c r="A4654" s="403" t="s">
        <v>1675</v>
      </c>
      <c r="B4654" s="403"/>
      <c r="C4654" s="403"/>
      <c r="D4654" s="403"/>
      <c r="E4654" s="343"/>
    </row>
    <row r="4655" spans="1:5" s="335" customFormat="1" ht="36">
      <c r="A4655" s="342" t="s">
        <v>3617</v>
      </c>
      <c r="B4655" s="342" t="s">
        <v>3618</v>
      </c>
      <c r="C4655" s="342" t="str">
        <f>("7640006832")</f>
        <v>7640006832</v>
      </c>
      <c r="D4655" s="340">
        <v>20990</v>
      </c>
      <c r="E4655" s="343"/>
    </row>
    <row r="4656" spans="1:5" s="335" customFormat="1" ht="12.75">
      <c r="A4656" s="344"/>
      <c r="B4656" s="343"/>
      <c r="C4656" s="343"/>
      <c r="D4656" s="395"/>
      <c r="E4656" s="343"/>
    </row>
    <row r="4657" spans="1:5" s="335" customFormat="1" ht="15" customHeight="1">
      <c r="A4657" s="345"/>
      <c r="B4657" s="404" t="s">
        <v>3619</v>
      </c>
      <c r="C4657" s="404"/>
      <c r="D4657" s="404"/>
      <c r="E4657" s="404"/>
    </row>
    <row r="4658" spans="1:5" s="335" customFormat="1" ht="25.5">
      <c r="A4658" s="346" t="s">
        <v>789</v>
      </c>
      <c r="B4658" s="346" t="s">
        <v>409</v>
      </c>
      <c r="C4658" s="346" t="s">
        <v>26</v>
      </c>
      <c r="D4658" s="337" t="s">
        <v>6425</v>
      </c>
      <c r="E4658" s="343"/>
    </row>
    <row r="4659" spans="1:5" s="335" customFormat="1" ht="12.75">
      <c r="A4659" s="342" t="s">
        <v>3620</v>
      </c>
      <c r="B4659" s="342"/>
      <c r="C4659" s="342" t="str">
        <f>("Nuance")</f>
        <v>Nuance</v>
      </c>
      <c r="D4659" s="340">
        <v>0</v>
      </c>
      <c r="E4659" s="343"/>
    </row>
    <row r="4660" spans="1:5" s="335" customFormat="1" ht="12.75">
      <c r="A4660" s="412" t="s">
        <v>3621</v>
      </c>
      <c r="B4660" s="412"/>
      <c r="C4660" s="412"/>
      <c r="D4660" s="412"/>
      <c r="E4660" s="343"/>
    </row>
    <row r="4661" spans="1:5" s="335" customFormat="1" ht="36">
      <c r="A4661" s="342" t="s">
        <v>3622</v>
      </c>
      <c r="B4661" s="342" t="s">
        <v>3622</v>
      </c>
      <c r="C4661" s="342" t="str">
        <f>("7640004342")</f>
        <v>7640004342</v>
      </c>
      <c r="D4661" s="340">
        <v>499.99</v>
      </c>
      <c r="E4661" s="343"/>
    </row>
    <row r="4662" spans="1:5" s="335" customFormat="1" ht="12.75">
      <c r="A4662" s="403" t="s">
        <v>3623</v>
      </c>
      <c r="B4662" s="403"/>
      <c r="C4662" s="403"/>
      <c r="D4662" s="403"/>
      <c r="E4662" s="343"/>
    </row>
    <row r="4663" spans="1:5" s="335" customFormat="1" ht="24">
      <c r="A4663" s="342" t="s">
        <v>3624</v>
      </c>
      <c r="B4663" s="342" t="s">
        <v>3625</v>
      </c>
      <c r="C4663" s="342" t="str">
        <f>("709927")</f>
        <v>709927</v>
      </c>
      <c r="D4663" s="340">
        <v>499.99</v>
      </c>
      <c r="E4663" s="343"/>
    </row>
    <row r="4664" spans="1:5" s="335" customFormat="1" ht="24">
      <c r="A4664" s="342" t="s">
        <v>3624</v>
      </c>
      <c r="B4664" s="342" t="s">
        <v>3626</v>
      </c>
      <c r="C4664" s="342" t="str">
        <f>("709928")</f>
        <v>709928</v>
      </c>
      <c r="D4664" s="340">
        <v>2374.9499999999998</v>
      </c>
      <c r="E4664" s="343"/>
    </row>
    <row r="4665" spans="1:5" s="335" customFormat="1" ht="24">
      <c r="A4665" s="342" t="s">
        <v>3624</v>
      </c>
      <c r="B4665" s="342" t="s">
        <v>3627</v>
      </c>
      <c r="C4665" s="342" t="str">
        <f>("709930")</f>
        <v>709930</v>
      </c>
      <c r="D4665" s="340">
        <v>149.99</v>
      </c>
      <c r="E4665" s="343"/>
    </row>
    <row r="4666" spans="1:5" s="335" customFormat="1" ht="36">
      <c r="A4666" s="342" t="s">
        <v>3628</v>
      </c>
      <c r="B4666" s="342" t="s">
        <v>3629</v>
      </c>
      <c r="C4666" s="342" t="str">
        <f>("709931")</f>
        <v>709931</v>
      </c>
      <c r="D4666" s="340">
        <v>712.45</v>
      </c>
      <c r="E4666" s="343"/>
    </row>
    <row r="4667" spans="1:5" s="335" customFormat="1" ht="12.75">
      <c r="A4667" s="411" t="s">
        <v>3630</v>
      </c>
      <c r="B4667" s="411"/>
      <c r="C4667" s="411"/>
      <c r="D4667" s="411"/>
      <c r="E4667" s="343"/>
    </row>
    <row r="4668" spans="1:5" s="335" customFormat="1" ht="24">
      <c r="A4668" s="342" t="s">
        <v>3631</v>
      </c>
      <c r="B4668" s="342" t="s">
        <v>3632</v>
      </c>
      <c r="C4668" s="342" t="str">
        <f>("7640002595")</f>
        <v>7640002595</v>
      </c>
      <c r="D4668" s="340">
        <v>199.99</v>
      </c>
      <c r="E4668" s="343"/>
    </row>
    <row r="4669" spans="1:5" s="335" customFormat="1" ht="12.75">
      <c r="A4669" s="403" t="s">
        <v>3633</v>
      </c>
      <c r="B4669" s="403"/>
      <c r="C4669" s="403"/>
      <c r="D4669" s="403"/>
      <c r="E4669" s="343"/>
    </row>
    <row r="4670" spans="1:5" s="335" customFormat="1" ht="36">
      <c r="A4670" s="342" t="s">
        <v>3634</v>
      </c>
      <c r="B4670" s="342" t="s">
        <v>3634</v>
      </c>
      <c r="C4670" s="342" t="str">
        <f>("7640005054")</f>
        <v>7640005054</v>
      </c>
      <c r="D4670" s="340">
        <v>99.99</v>
      </c>
      <c r="E4670" s="343"/>
    </row>
    <row r="4671" spans="1:5" s="335" customFormat="1" ht="36">
      <c r="A4671" s="342" t="s">
        <v>3635</v>
      </c>
      <c r="B4671" s="342" t="s">
        <v>3635</v>
      </c>
      <c r="C4671" s="342" t="str">
        <f>("7640005055")</f>
        <v>7640005055</v>
      </c>
      <c r="D4671" s="340">
        <v>449.96</v>
      </c>
      <c r="E4671" s="343"/>
    </row>
    <row r="4672" spans="1:5" s="335" customFormat="1" ht="36">
      <c r="A4672" s="342" t="s">
        <v>3636</v>
      </c>
      <c r="B4672" s="342" t="s">
        <v>3636</v>
      </c>
      <c r="C4672" s="342" t="str">
        <f>("7640005060")</f>
        <v>7640005060</v>
      </c>
      <c r="D4672" s="340">
        <v>674.96</v>
      </c>
      <c r="E4672" s="343"/>
    </row>
    <row r="4673" spans="1:5" s="335" customFormat="1" ht="36">
      <c r="A4673" s="342" t="s">
        <v>3637</v>
      </c>
      <c r="B4673" s="342" t="s">
        <v>3637</v>
      </c>
      <c r="C4673" s="342" t="str">
        <f>("7640005061")</f>
        <v>7640005061</v>
      </c>
      <c r="D4673" s="340">
        <v>3262.25</v>
      </c>
      <c r="E4673" s="343"/>
    </row>
    <row r="4674" spans="1:5" s="335" customFormat="1" ht="36">
      <c r="A4674" s="342" t="s">
        <v>3638</v>
      </c>
      <c r="B4674" s="342" t="s">
        <v>3638</v>
      </c>
      <c r="C4674" s="342" t="str">
        <f>("7640005062")</f>
        <v>7640005062</v>
      </c>
      <c r="D4674" s="340">
        <v>11999</v>
      </c>
      <c r="E4674" s="343"/>
    </row>
    <row r="4675" spans="1:5" s="335" customFormat="1" ht="36">
      <c r="A4675" s="342" t="s">
        <v>3639</v>
      </c>
      <c r="B4675" s="342" t="s">
        <v>3639</v>
      </c>
      <c r="C4675" s="342" t="str">
        <f>("7640005063")</f>
        <v>7640005063</v>
      </c>
      <c r="D4675" s="340">
        <v>28497.5</v>
      </c>
      <c r="E4675" s="343"/>
    </row>
    <row r="4676" spans="1:5" s="335" customFormat="1" ht="12.75">
      <c r="A4676" s="344"/>
      <c r="B4676" s="343"/>
      <c r="C4676" s="343"/>
      <c r="D4676" s="395"/>
      <c r="E4676" s="343"/>
    </row>
    <row r="4677" spans="1:5" s="335" customFormat="1" ht="15" customHeight="1">
      <c r="A4677" s="345"/>
      <c r="B4677" s="404" t="s">
        <v>3640</v>
      </c>
      <c r="C4677" s="404"/>
      <c r="D4677" s="404"/>
      <c r="E4677" s="404"/>
    </row>
    <row r="4678" spans="1:5" s="335" customFormat="1" ht="25.5">
      <c r="A4678" s="346" t="s">
        <v>789</v>
      </c>
      <c r="B4678" s="346" t="s">
        <v>409</v>
      </c>
      <c r="C4678" s="346" t="s">
        <v>26</v>
      </c>
      <c r="D4678" s="337" t="s">
        <v>6425</v>
      </c>
      <c r="E4678" s="343"/>
    </row>
    <row r="4679" spans="1:5" s="335" customFormat="1" ht="50.25">
      <c r="A4679" s="342" t="s">
        <v>3641</v>
      </c>
      <c r="B4679" s="342"/>
      <c r="C4679" s="342" t="s">
        <v>6282</v>
      </c>
      <c r="D4679" s="338" t="s">
        <v>791</v>
      </c>
      <c r="E4679" s="343"/>
    </row>
    <row r="4680" spans="1:5" s="335" customFormat="1" ht="12.75">
      <c r="A4680" s="402" t="s">
        <v>1587</v>
      </c>
      <c r="B4680" s="402"/>
      <c r="C4680" s="402"/>
      <c r="D4680" s="402"/>
      <c r="E4680" s="343"/>
    </row>
    <row r="4681" spans="1:5" s="335" customFormat="1" ht="24">
      <c r="A4681" s="342" t="s">
        <v>3642</v>
      </c>
      <c r="B4681" s="342" t="s">
        <v>3643</v>
      </c>
      <c r="C4681" s="342" t="s">
        <v>6283</v>
      </c>
      <c r="D4681" s="340">
        <v>19200</v>
      </c>
      <c r="E4681" s="343"/>
    </row>
    <row r="4682" spans="1:5" s="335" customFormat="1" ht="24">
      <c r="A4682" s="342" t="s">
        <v>3644</v>
      </c>
      <c r="B4682" s="342" t="s">
        <v>3645</v>
      </c>
      <c r="C4682" s="342" t="str">
        <f>("7640014048")</f>
        <v>7640014048</v>
      </c>
      <c r="D4682" s="340">
        <v>28200</v>
      </c>
      <c r="E4682" s="343"/>
    </row>
    <row r="4683" spans="1:5" s="335" customFormat="1" ht="36">
      <c r="A4683" s="342" t="s">
        <v>3646</v>
      </c>
      <c r="B4683" s="342" t="s">
        <v>3647</v>
      </c>
      <c r="C4683" s="342" t="str">
        <f>("7640014056")</f>
        <v>7640014056</v>
      </c>
      <c r="D4683" s="340">
        <v>34200</v>
      </c>
      <c r="E4683" s="343"/>
    </row>
    <row r="4684" spans="1:5" s="335" customFormat="1" ht="36">
      <c r="A4684" s="342" t="s">
        <v>3648</v>
      </c>
      <c r="B4684" s="342" t="s">
        <v>3649</v>
      </c>
      <c r="C4684" s="342" t="str">
        <f>("7640014060")</f>
        <v>7640014060</v>
      </c>
      <c r="D4684" s="340">
        <v>51600</v>
      </c>
      <c r="E4684" s="343"/>
    </row>
    <row r="4685" spans="1:5" s="335" customFormat="1" ht="12.75">
      <c r="A4685" s="403" t="s">
        <v>3650</v>
      </c>
      <c r="B4685" s="403"/>
      <c r="C4685" s="403"/>
      <c r="D4685" s="403"/>
      <c r="E4685" s="343"/>
    </row>
    <row r="4686" spans="1:5" s="335" customFormat="1" ht="36">
      <c r="A4686" s="342" t="s">
        <v>3651</v>
      </c>
      <c r="B4686" s="342" t="s">
        <v>3652</v>
      </c>
      <c r="C4686" s="342" t="str">
        <f>("7640014064")</f>
        <v>7640014064</v>
      </c>
      <c r="D4686" s="340">
        <v>16995</v>
      </c>
      <c r="E4686" s="343"/>
    </row>
    <row r="4687" spans="1:5" s="335" customFormat="1" ht="12.75">
      <c r="A4687" s="403" t="s">
        <v>3653</v>
      </c>
      <c r="B4687" s="403"/>
      <c r="C4687" s="403"/>
      <c r="D4687" s="403"/>
      <c r="E4687" s="343"/>
    </row>
    <row r="4688" spans="1:5" s="335" customFormat="1" ht="24">
      <c r="A4688" s="342" t="s">
        <v>3654</v>
      </c>
      <c r="B4688" s="342" t="s">
        <v>3655</v>
      </c>
      <c r="C4688" s="342" t="s">
        <v>6284</v>
      </c>
      <c r="D4688" s="340">
        <v>2400</v>
      </c>
      <c r="E4688" s="343"/>
    </row>
    <row r="4689" spans="1:5" s="335" customFormat="1" ht="24">
      <c r="A4689" s="342" t="s">
        <v>3656</v>
      </c>
      <c r="B4689" s="342" t="s">
        <v>3657</v>
      </c>
      <c r="C4689" s="342" t="str">
        <f>("7640014050")</f>
        <v>7640014050</v>
      </c>
      <c r="D4689" s="340">
        <v>3525</v>
      </c>
      <c r="E4689" s="343"/>
    </row>
    <row r="4690" spans="1:5" s="335" customFormat="1" ht="24">
      <c r="A4690" s="342" t="s">
        <v>3658</v>
      </c>
      <c r="B4690" s="342" t="s">
        <v>3659</v>
      </c>
      <c r="C4690" s="342" t="str">
        <f>("7640014057")</f>
        <v>7640014057</v>
      </c>
      <c r="D4690" s="340">
        <v>4275</v>
      </c>
      <c r="E4690" s="343"/>
    </row>
    <row r="4691" spans="1:5" s="335" customFormat="1" ht="24">
      <c r="A4691" s="342" t="s">
        <v>3660</v>
      </c>
      <c r="B4691" s="342" t="s">
        <v>3661</v>
      </c>
      <c r="C4691" s="342" t="str">
        <f>("7640014061")</f>
        <v>7640014061</v>
      </c>
      <c r="D4691" s="340">
        <v>6450</v>
      </c>
      <c r="E4691" s="343"/>
    </row>
    <row r="4692" spans="1:5" s="335" customFormat="1" ht="12.75">
      <c r="A4692" s="403" t="s">
        <v>3662</v>
      </c>
      <c r="B4692" s="403"/>
      <c r="C4692" s="403"/>
      <c r="D4692" s="403"/>
      <c r="E4692" s="343"/>
    </row>
    <row r="4693" spans="1:5" s="335" customFormat="1" ht="24">
      <c r="A4693" s="342" t="s">
        <v>3663</v>
      </c>
      <c r="B4693" s="342" t="s">
        <v>3664</v>
      </c>
      <c r="C4693" s="342" t="s">
        <v>6285</v>
      </c>
      <c r="D4693" s="340">
        <v>2400</v>
      </c>
      <c r="E4693" s="343"/>
    </row>
    <row r="4694" spans="1:5" s="335" customFormat="1" ht="24">
      <c r="A4694" s="342" t="s">
        <v>3665</v>
      </c>
      <c r="B4694" s="342" t="s">
        <v>3666</v>
      </c>
      <c r="C4694" s="342" t="str">
        <f>("7640014047")</f>
        <v>7640014047</v>
      </c>
      <c r="D4694" s="340">
        <v>3200</v>
      </c>
      <c r="E4694" s="343"/>
    </row>
    <row r="4695" spans="1:5" s="335" customFormat="1" ht="24">
      <c r="A4695" s="342" t="s">
        <v>3656</v>
      </c>
      <c r="B4695" s="342" t="s">
        <v>3667</v>
      </c>
      <c r="C4695" s="342" t="s">
        <v>6286</v>
      </c>
      <c r="D4695" s="340">
        <v>3525</v>
      </c>
      <c r="E4695" s="343"/>
    </row>
    <row r="4696" spans="1:5" s="335" customFormat="1" ht="24">
      <c r="A4696" s="342" t="s">
        <v>3668</v>
      </c>
      <c r="B4696" s="342" t="s">
        <v>3669</v>
      </c>
      <c r="C4696" s="342" t="str">
        <f>("7640014054")</f>
        <v>7640014054</v>
      </c>
      <c r="D4696" s="340">
        <v>4700</v>
      </c>
      <c r="E4696" s="343"/>
    </row>
    <row r="4697" spans="1:5" s="335" customFormat="1" ht="24">
      <c r="A4697" s="342" t="s">
        <v>3670</v>
      </c>
      <c r="B4697" s="342" t="s">
        <v>3671</v>
      </c>
      <c r="C4697" s="342" t="str">
        <f>("7640014058")</f>
        <v>7640014058</v>
      </c>
      <c r="D4697" s="340">
        <v>4275</v>
      </c>
      <c r="E4697" s="343"/>
    </row>
    <row r="4698" spans="1:5" s="335" customFormat="1" ht="24">
      <c r="A4698" s="342" t="s">
        <v>3672</v>
      </c>
      <c r="B4698" s="342" t="s">
        <v>3673</v>
      </c>
      <c r="C4698" s="342" t="str">
        <f>("7640014059")</f>
        <v>7640014059</v>
      </c>
      <c r="D4698" s="340">
        <v>5700</v>
      </c>
      <c r="E4698" s="343"/>
    </row>
    <row r="4699" spans="1:5" s="335" customFormat="1" ht="24">
      <c r="A4699" s="342" t="s">
        <v>3674</v>
      </c>
      <c r="B4699" s="342" t="s">
        <v>3675</v>
      </c>
      <c r="C4699" s="342" t="str">
        <f>("7640014062")</f>
        <v>7640014062</v>
      </c>
      <c r="D4699" s="340">
        <v>6450</v>
      </c>
      <c r="E4699" s="343"/>
    </row>
    <row r="4700" spans="1:5" s="335" customFormat="1" ht="24">
      <c r="A4700" s="342" t="s">
        <v>3676</v>
      </c>
      <c r="B4700" s="342" t="s">
        <v>3677</v>
      </c>
      <c r="C4700" s="342" t="str">
        <f>("7640014063")</f>
        <v>7640014063</v>
      </c>
      <c r="D4700" s="340">
        <v>8600</v>
      </c>
      <c r="E4700" s="343"/>
    </row>
    <row r="4701" spans="1:5" s="335" customFormat="1" ht="12.75">
      <c r="A4701" s="403" t="s">
        <v>856</v>
      </c>
      <c r="B4701" s="403"/>
      <c r="C4701" s="403"/>
      <c r="D4701" s="403"/>
      <c r="E4701" s="343"/>
    </row>
    <row r="4702" spans="1:5" s="335" customFormat="1" ht="36">
      <c r="A4702" s="342" t="s">
        <v>3678</v>
      </c>
      <c r="B4702" s="342" t="s">
        <v>3679</v>
      </c>
      <c r="C4702" s="342" t="str">
        <f>("7640014065")</f>
        <v>7640014065</v>
      </c>
      <c r="D4702" s="340">
        <v>400</v>
      </c>
      <c r="E4702" s="343"/>
    </row>
    <row r="4703" spans="1:5" s="335" customFormat="1" ht="36">
      <c r="A4703" s="342" t="s">
        <v>3680</v>
      </c>
      <c r="B4703" s="342" t="s">
        <v>3681</v>
      </c>
      <c r="C4703" s="342" t="str">
        <f>("7640014066")</f>
        <v>7640014066</v>
      </c>
      <c r="D4703" s="340">
        <v>400</v>
      </c>
      <c r="E4703" s="343"/>
    </row>
    <row r="4704" spans="1:5" s="335" customFormat="1" ht="24">
      <c r="A4704" s="342" t="s">
        <v>3682</v>
      </c>
      <c r="B4704" s="342" t="s">
        <v>3683</v>
      </c>
      <c r="C4704" s="342" t="s">
        <v>6287</v>
      </c>
      <c r="D4704" s="340">
        <v>995</v>
      </c>
      <c r="E4704" s="343"/>
    </row>
    <row r="4705" spans="1:5" s="335" customFormat="1" ht="36">
      <c r="A4705" s="342" t="s">
        <v>3684</v>
      </c>
      <c r="B4705" s="342" t="s">
        <v>3685</v>
      </c>
      <c r="C4705" s="342" t="str">
        <f>("7640014071")</f>
        <v>7640014071</v>
      </c>
      <c r="D4705" s="340">
        <v>400</v>
      </c>
      <c r="E4705" s="343"/>
    </row>
    <row r="4706" spans="1:5" s="335" customFormat="1" ht="36">
      <c r="A4706" s="342" t="s">
        <v>3686</v>
      </c>
      <c r="B4706" s="342" t="s">
        <v>3687</v>
      </c>
      <c r="C4706" s="342" t="str">
        <f>("7640014072")</f>
        <v>7640014072</v>
      </c>
      <c r="D4706" s="340">
        <v>400</v>
      </c>
      <c r="E4706" s="343"/>
    </row>
    <row r="4707" spans="1:5" s="335" customFormat="1" ht="48">
      <c r="A4707" s="342" t="s">
        <v>3688</v>
      </c>
      <c r="B4707" s="342" t="s">
        <v>3689</v>
      </c>
      <c r="C4707" s="342" t="str">
        <f>("7640014073")</f>
        <v>7640014073</v>
      </c>
      <c r="D4707" s="340">
        <v>400</v>
      </c>
      <c r="E4707" s="343"/>
    </row>
    <row r="4708" spans="1:5" s="335" customFormat="1" ht="36">
      <c r="A4708" s="342" t="s">
        <v>3690</v>
      </c>
      <c r="B4708" s="342" t="s">
        <v>3691</v>
      </c>
      <c r="C4708" s="342" t="str">
        <f>("7640014074")</f>
        <v>7640014074</v>
      </c>
      <c r="D4708" s="340">
        <v>400</v>
      </c>
      <c r="E4708" s="343"/>
    </row>
    <row r="4709" spans="1:5" s="335" customFormat="1" ht="12.75">
      <c r="A4709" s="403" t="s">
        <v>1543</v>
      </c>
      <c r="B4709" s="403"/>
      <c r="C4709" s="403"/>
      <c r="D4709" s="403"/>
      <c r="E4709" s="343"/>
    </row>
    <row r="4710" spans="1:5" s="335" customFormat="1" ht="36">
      <c r="A4710" s="342" t="s">
        <v>3692</v>
      </c>
      <c r="B4710" s="342" t="s">
        <v>3692</v>
      </c>
      <c r="C4710" s="342" t="s">
        <v>6288</v>
      </c>
      <c r="D4710" s="340">
        <v>25</v>
      </c>
      <c r="E4710" s="343"/>
    </row>
    <row r="4711" spans="1:5" s="335" customFormat="1" ht="36">
      <c r="A4711" s="342" t="s">
        <v>3693</v>
      </c>
      <c r="B4711" s="342" t="s">
        <v>3694</v>
      </c>
      <c r="C4711" s="342" t="str">
        <f>("7640014076")</f>
        <v>7640014076</v>
      </c>
      <c r="D4711" s="340">
        <v>75</v>
      </c>
      <c r="E4711" s="343"/>
    </row>
    <row r="4712" spans="1:5" s="335" customFormat="1" ht="36">
      <c r="A4712" s="342" t="s">
        <v>3695</v>
      </c>
      <c r="B4712" s="342" t="s">
        <v>3696</v>
      </c>
      <c r="C4712" s="342" t="s">
        <v>6289</v>
      </c>
      <c r="D4712" s="340">
        <v>12</v>
      </c>
      <c r="E4712" s="343"/>
    </row>
    <row r="4713" spans="1:5" s="335" customFormat="1" ht="36">
      <c r="A4713" s="342" t="s">
        <v>3697</v>
      </c>
      <c r="B4713" s="342" t="s">
        <v>3698</v>
      </c>
      <c r="C4713" s="342" t="str">
        <f>("7640014078")</f>
        <v>7640014078</v>
      </c>
      <c r="D4713" s="340">
        <v>25</v>
      </c>
      <c r="E4713" s="343"/>
    </row>
    <row r="4714" spans="1:5" s="335" customFormat="1" ht="12.75">
      <c r="A4714" s="344"/>
      <c r="B4714" s="343"/>
      <c r="C4714" s="343"/>
      <c r="D4714" s="395"/>
      <c r="E4714" s="343"/>
    </row>
    <row r="4715" spans="1:5" s="335" customFormat="1" ht="15" customHeight="1">
      <c r="A4715" s="345"/>
      <c r="B4715" s="404" t="s">
        <v>3699</v>
      </c>
      <c r="C4715" s="404"/>
      <c r="D4715" s="404"/>
      <c r="E4715" s="404"/>
    </row>
    <row r="4716" spans="1:5" s="335" customFormat="1" ht="25.5">
      <c r="A4716" s="346" t="s">
        <v>789</v>
      </c>
      <c r="B4716" s="346" t="s">
        <v>409</v>
      </c>
      <c r="C4716" s="346" t="s">
        <v>26</v>
      </c>
      <c r="D4716" s="337" t="s">
        <v>6425</v>
      </c>
      <c r="E4716" s="343"/>
    </row>
    <row r="4717" spans="1:5" s="335" customFormat="1" ht="50.25">
      <c r="A4717" s="342" t="s">
        <v>3700</v>
      </c>
      <c r="B4717" s="342"/>
      <c r="C4717" s="342" t="s">
        <v>6290</v>
      </c>
      <c r="D4717" s="338" t="s">
        <v>791</v>
      </c>
      <c r="E4717" s="343"/>
    </row>
    <row r="4718" spans="1:5" s="335" customFormat="1" ht="12.75">
      <c r="A4718" s="402" t="s">
        <v>1587</v>
      </c>
      <c r="B4718" s="402"/>
      <c r="C4718" s="402"/>
      <c r="D4718" s="402"/>
      <c r="E4718" s="343"/>
    </row>
    <row r="4719" spans="1:5" s="335" customFormat="1" ht="24">
      <c r="A4719" s="342" t="s">
        <v>3701</v>
      </c>
      <c r="B4719" s="342" t="s">
        <v>3702</v>
      </c>
      <c r="C4719" s="342" t="s">
        <v>6291</v>
      </c>
      <c r="D4719" s="340">
        <v>8995</v>
      </c>
      <c r="E4719" s="343"/>
    </row>
    <row r="4720" spans="1:5" s="335" customFormat="1" ht="24">
      <c r="A4720" s="342" t="s">
        <v>3703</v>
      </c>
      <c r="B4720" s="342" t="s">
        <v>3704</v>
      </c>
      <c r="C4720" s="342" t="str">
        <f>("7640014029")</f>
        <v>7640014029</v>
      </c>
      <c r="D4720" s="340">
        <v>12995</v>
      </c>
      <c r="E4720" s="343"/>
    </row>
    <row r="4721" spans="1:5" s="335" customFormat="1" ht="24">
      <c r="A4721" s="342" t="s">
        <v>3705</v>
      </c>
      <c r="B4721" s="342" t="s">
        <v>3706</v>
      </c>
      <c r="C4721" s="342" t="str">
        <f>("7640014033")</f>
        <v>7640014033</v>
      </c>
      <c r="D4721" s="340">
        <v>17495</v>
      </c>
      <c r="E4721" s="343"/>
    </row>
    <row r="4722" spans="1:5" s="335" customFormat="1" ht="24">
      <c r="A4722" s="342" t="s">
        <v>3707</v>
      </c>
      <c r="B4722" s="342" t="s">
        <v>3708</v>
      </c>
      <c r="C4722" s="342" t="str">
        <f>("7640014037")</f>
        <v>7640014037</v>
      </c>
      <c r="D4722" s="340">
        <v>22495</v>
      </c>
      <c r="E4722" s="343"/>
    </row>
    <row r="4723" spans="1:5" s="335" customFormat="1" ht="12.75">
      <c r="A4723" s="403" t="s">
        <v>3650</v>
      </c>
      <c r="B4723" s="403"/>
      <c r="C4723" s="403"/>
      <c r="D4723" s="403"/>
      <c r="E4723" s="343"/>
    </row>
    <row r="4724" spans="1:5" s="335" customFormat="1" ht="24">
      <c r="A4724" s="342" t="s">
        <v>3709</v>
      </c>
      <c r="B4724" s="342" t="s">
        <v>3710</v>
      </c>
      <c r="C4724" s="342" t="str">
        <f>("7640014041")</f>
        <v>7640014041</v>
      </c>
      <c r="D4724" s="340">
        <v>3995</v>
      </c>
      <c r="E4724" s="343"/>
    </row>
    <row r="4725" spans="1:5" s="335" customFormat="1" ht="24">
      <c r="A4725" s="342" t="s">
        <v>3711</v>
      </c>
      <c r="B4725" s="342" t="s">
        <v>3712</v>
      </c>
      <c r="C4725" s="342" t="str">
        <f>("7640014042")</f>
        <v>7640014042</v>
      </c>
      <c r="D4725" s="340">
        <v>7995</v>
      </c>
      <c r="E4725" s="343"/>
    </row>
    <row r="4726" spans="1:5" s="335" customFormat="1" ht="36">
      <c r="A4726" s="342" t="s">
        <v>3713</v>
      </c>
      <c r="B4726" s="342" t="s">
        <v>3714</v>
      </c>
      <c r="C4726" s="342" t="str">
        <f>("7640014043")</f>
        <v>7640014043</v>
      </c>
      <c r="D4726" s="340">
        <v>1995</v>
      </c>
      <c r="E4726" s="343"/>
    </row>
    <row r="4727" spans="1:5" s="335" customFormat="1" ht="12.75">
      <c r="A4727" s="403" t="s">
        <v>3653</v>
      </c>
      <c r="B4727" s="403"/>
      <c r="C4727" s="403"/>
      <c r="D4727" s="403"/>
      <c r="E4727" s="343"/>
    </row>
    <row r="4728" spans="1:5" s="335" customFormat="1" ht="24">
      <c r="A4728" s="342" t="s">
        <v>3715</v>
      </c>
      <c r="B4728" s="342" t="s">
        <v>3716</v>
      </c>
      <c r="C4728" s="342" t="s">
        <v>6292</v>
      </c>
      <c r="D4728" s="340">
        <v>1124</v>
      </c>
      <c r="E4728" s="343"/>
    </row>
    <row r="4729" spans="1:5" s="335" customFormat="1" ht="24">
      <c r="A4729" s="342" t="s">
        <v>3717</v>
      </c>
      <c r="B4729" s="342" t="s">
        <v>3718</v>
      </c>
      <c r="C4729" s="342" t="str">
        <f>("7640014030")</f>
        <v>7640014030</v>
      </c>
      <c r="D4729" s="340">
        <v>1624</v>
      </c>
      <c r="E4729" s="343"/>
    </row>
    <row r="4730" spans="1:5" s="335" customFormat="1" ht="24">
      <c r="A4730" s="342" t="s">
        <v>3719</v>
      </c>
      <c r="B4730" s="342" t="s">
        <v>3720</v>
      </c>
      <c r="C4730" s="342" t="str">
        <f>("7640014038")</f>
        <v>7640014038</v>
      </c>
      <c r="D4730" s="340">
        <v>2812</v>
      </c>
      <c r="E4730" s="343"/>
    </row>
    <row r="4731" spans="1:5" s="335" customFormat="1" ht="12.75">
      <c r="A4731" s="344"/>
      <c r="B4731" s="343"/>
      <c r="C4731" s="343"/>
      <c r="D4731" s="395"/>
      <c r="E4731" s="343"/>
    </row>
    <row r="4732" spans="1:5" s="335" customFormat="1" ht="12.75">
      <c r="A4732" s="403" t="s">
        <v>3662</v>
      </c>
      <c r="B4732" s="403"/>
      <c r="C4732" s="403"/>
      <c r="D4732" s="403"/>
      <c r="E4732" s="343"/>
    </row>
    <row r="4733" spans="1:5" s="335" customFormat="1" ht="24">
      <c r="A4733" s="342" t="s">
        <v>3721</v>
      </c>
      <c r="B4733" s="342" t="s">
        <v>3722</v>
      </c>
      <c r="C4733" s="342" t="s">
        <v>6293</v>
      </c>
      <c r="D4733" s="340">
        <v>1124</v>
      </c>
      <c r="E4733" s="343"/>
    </row>
    <row r="4734" spans="1:5" s="335" customFormat="1" ht="24">
      <c r="A4734" s="342" t="s">
        <v>3723</v>
      </c>
      <c r="B4734" s="342" t="s">
        <v>3724</v>
      </c>
      <c r="C4734" s="342" t="str">
        <f>("7640014028")</f>
        <v>7640014028</v>
      </c>
      <c r="D4734" s="340">
        <v>1499</v>
      </c>
      <c r="E4734" s="343"/>
    </row>
    <row r="4735" spans="1:5" s="335" customFormat="1" ht="24">
      <c r="A4735" s="342" t="s">
        <v>3725</v>
      </c>
      <c r="B4735" s="342" t="s">
        <v>3726</v>
      </c>
      <c r="C4735" s="342" t="str">
        <f>("7640014031")</f>
        <v>7640014031</v>
      </c>
      <c r="D4735" s="340">
        <v>1624</v>
      </c>
      <c r="E4735" s="343"/>
    </row>
    <row r="4736" spans="1:5" s="335" customFormat="1" ht="24">
      <c r="A4736" s="342" t="s">
        <v>3727</v>
      </c>
      <c r="B4736" s="342" t="s">
        <v>3728</v>
      </c>
      <c r="C4736" s="342" t="str">
        <f>("7640014032")</f>
        <v>7640014032</v>
      </c>
      <c r="D4736" s="340">
        <v>2166</v>
      </c>
      <c r="E4736" s="343"/>
    </row>
    <row r="4737" spans="1:5" s="335" customFormat="1" ht="24">
      <c r="A4737" s="342" t="s">
        <v>3729</v>
      </c>
      <c r="B4737" s="342" t="s">
        <v>3730</v>
      </c>
      <c r="C4737" s="342" t="s">
        <v>6294</v>
      </c>
      <c r="D4737" s="340">
        <v>2187</v>
      </c>
      <c r="E4737" s="343"/>
    </row>
    <row r="4738" spans="1:5" s="335" customFormat="1" ht="24">
      <c r="A4738" s="342" t="s">
        <v>3731</v>
      </c>
      <c r="B4738" s="342" t="s">
        <v>3732</v>
      </c>
      <c r="C4738" s="342" t="str">
        <f>("7640014036")</f>
        <v>7640014036</v>
      </c>
      <c r="D4738" s="340">
        <v>2916</v>
      </c>
      <c r="E4738" s="343"/>
    </row>
    <row r="4739" spans="1:5" s="335" customFormat="1" ht="24">
      <c r="A4739" s="342" t="s">
        <v>3733</v>
      </c>
      <c r="B4739" s="342" t="s">
        <v>3734</v>
      </c>
      <c r="C4739" s="342" t="str">
        <f>("7640014039")</f>
        <v>7640014039</v>
      </c>
      <c r="D4739" s="340">
        <v>2812</v>
      </c>
      <c r="E4739" s="343"/>
    </row>
    <row r="4740" spans="1:5" s="335" customFormat="1" ht="24">
      <c r="A4740" s="342" t="s">
        <v>3735</v>
      </c>
      <c r="B4740" s="342" t="s">
        <v>3736</v>
      </c>
      <c r="C4740" s="342" t="str">
        <f>("7640014040")</f>
        <v>7640014040</v>
      </c>
      <c r="D4740" s="340">
        <v>3749</v>
      </c>
      <c r="E4740" s="343"/>
    </row>
    <row r="4741" spans="1:5" s="335" customFormat="1" ht="12.75">
      <c r="A4741" s="403" t="s">
        <v>856</v>
      </c>
      <c r="B4741" s="403"/>
      <c r="C4741" s="403"/>
      <c r="D4741" s="403"/>
      <c r="E4741" s="343"/>
    </row>
    <row r="4742" spans="1:5" s="335" customFormat="1" ht="36">
      <c r="A4742" s="342" t="s">
        <v>3678</v>
      </c>
      <c r="B4742" s="342" t="s">
        <v>3679</v>
      </c>
      <c r="C4742" s="342" t="str">
        <f>("7640014065")</f>
        <v>7640014065</v>
      </c>
      <c r="D4742" s="340">
        <v>400</v>
      </c>
      <c r="E4742" s="343"/>
    </row>
    <row r="4743" spans="1:5" s="335" customFormat="1" ht="36">
      <c r="A4743" s="342" t="s">
        <v>3680</v>
      </c>
      <c r="B4743" s="342" t="s">
        <v>3681</v>
      </c>
      <c r="C4743" s="342" t="str">
        <f>("7640014066")</f>
        <v>7640014066</v>
      </c>
      <c r="D4743" s="340">
        <v>400</v>
      </c>
      <c r="E4743" s="343"/>
    </row>
    <row r="4744" spans="1:5" s="335" customFormat="1" ht="24">
      <c r="A4744" s="342" t="s">
        <v>3682</v>
      </c>
      <c r="B4744" s="342" t="s">
        <v>3683</v>
      </c>
      <c r="C4744" s="342" t="s">
        <v>6287</v>
      </c>
      <c r="D4744" s="340">
        <v>995</v>
      </c>
      <c r="E4744" s="343"/>
    </row>
    <row r="4745" spans="1:5" s="335" customFormat="1" ht="36">
      <c r="A4745" s="342" t="s">
        <v>3684</v>
      </c>
      <c r="B4745" s="342" t="s">
        <v>3685</v>
      </c>
      <c r="C4745" s="342" t="str">
        <f>("7640014071")</f>
        <v>7640014071</v>
      </c>
      <c r="D4745" s="340">
        <v>400</v>
      </c>
      <c r="E4745" s="343"/>
    </row>
    <row r="4746" spans="1:5" s="335" customFormat="1" ht="36">
      <c r="A4746" s="342" t="s">
        <v>3686</v>
      </c>
      <c r="B4746" s="342" t="s">
        <v>3687</v>
      </c>
      <c r="C4746" s="342" t="str">
        <f>("7640014072")</f>
        <v>7640014072</v>
      </c>
      <c r="D4746" s="340">
        <v>400</v>
      </c>
      <c r="E4746" s="343"/>
    </row>
    <row r="4747" spans="1:5" s="335" customFormat="1" ht="48">
      <c r="A4747" s="342" t="s">
        <v>3688</v>
      </c>
      <c r="B4747" s="342" t="s">
        <v>3689</v>
      </c>
      <c r="C4747" s="342" t="str">
        <f>("7640014073")</f>
        <v>7640014073</v>
      </c>
      <c r="D4747" s="340">
        <v>400</v>
      </c>
      <c r="E4747" s="343"/>
    </row>
    <row r="4748" spans="1:5" s="335" customFormat="1" ht="36">
      <c r="A4748" s="342" t="s">
        <v>3690</v>
      </c>
      <c r="B4748" s="342" t="s">
        <v>3691</v>
      </c>
      <c r="C4748" s="342" t="str">
        <f>("7640014074")</f>
        <v>7640014074</v>
      </c>
      <c r="D4748" s="340">
        <v>400</v>
      </c>
      <c r="E4748" s="343"/>
    </row>
    <row r="4749" spans="1:5" s="335" customFormat="1" ht="12.75">
      <c r="A4749" s="403" t="s">
        <v>1543</v>
      </c>
      <c r="B4749" s="403"/>
      <c r="C4749" s="403"/>
      <c r="D4749" s="403"/>
      <c r="E4749" s="343"/>
    </row>
    <row r="4750" spans="1:5" s="335" customFormat="1" ht="36">
      <c r="A4750" s="342" t="s">
        <v>3692</v>
      </c>
      <c r="B4750" s="342" t="s">
        <v>3692</v>
      </c>
      <c r="C4750" s="342" t="s">
        <v>6288</v>
      </c>
      <c r="D4750" s="340">
        <v>25</v>
      </c>
      <c r="E4750" s="343"/>
    </row>
    <row r="4751" spans="1:5" s="335" customFormat="1" ht="36">
      <c r="A4751" s="342" t="s">
        <v>3693</v>
      </c>
      <c r="B4751" s="342" t="s">
        <v>3694</v>
      </c>
      <c r="C4751" s="342" t="str">
        <f>("7640014076")</f>
        <v>7640014076</v>
      </c>
      <c r="D4751" s="340">
        <v>75</v>
      </c>
      <c r="E4751" s="343"/>
    </row>
    <row r="4752" spans="1:5" s="335" customFormat="1" ht="36">
      <c r="A4752" s="342" t="s">
        <v>3695</v>
      </c>
      <c r="B4752" s="342" t="s">
        <v>3696</v>
      </c>
      <c r="C4752" s="342" t="s">
        <v>6289</v>
      </c>
      <c r="D4752" s="340">
        <v>12</v>
      </c>
      <c r="E4752" s="343"/>
    </row>
    <row r="4753" spans="1:5" s="335" customFormat="1" ht="36">
      <c r="A4753" s="342" t="s">
        <v>3697</v>
      </c>
      <c r="B4753" s="342" t="s">
        <v>3698</v>
      </c>
      <c r="C4753" s="342" t="str">
        <f>("7640014078")</f>
        <v>7640014078</v>
      </c>
      <c r="D4753" s="340">
        <v>25</v>
      </c>
      <c r="E4753" s="343"/>
    </row>
    <row r="4754" spans="1:5" s="335" customFormat="1" ht="12.75">
      <c r="A4754" s="350"/>
      <c r="B4754" s="350"/>
      <c r="C4754" s="350"/>
      <c r="D4754" s="341"/>
      <c r="E4754" s="343"/>
    </row>
    <row r="4755" spans="1:5" s="335" customFormat="1" ht="15" customHeight="1">
      <c r="A4755" s="345"/>
      <c r="B4755" s="404" t="s">
        <v>3737</v>
      </c>
      <c r="C4755" s="404"/>
      <c r="D4755" s="404"/>
      <c r="E4755" s="404"/>
    </row>
    <row r="4756" spans="1:5" s="335" customFormat="1" ht="25.5">
      <c r="A4756" s="346" t="s">
        <v>789</v>
      </c>
      <c r="B4756" s="346" t="s">
        <v>409</v>
      </c>
      <c r="C4756" s="346" t="s">
        <v>26</v>
      </c>
      <c r="D4756" s="337" t="s">
        <v>6425</v>
      </c>
      <c r="E4756" s="343"/>
    </row>
    <row r="4757" spans="1:5" s="335" customFormat="1" ht="26.25">
      <c r="A4757" s="342" t="s">
        <v>3738</v>
      </c>
      <c r="B4757" s="342"/>
      <c r="C4757" s="342" t="s">
        <v>6295</v>
      </c>
      <c r="D4757" s="338" t="s">
        <v>791</v>
      </c>
      <c r="E4757" s="343"/>
    </row>
    <row r="4758" spans="1:5" s="335" customFormat="1" ht="12.75">
      <c r="A4758" s="402" t="s">
        <v>1587</v>
      </c>
      <c r="B4758" s="402"/>
      <c r="C4758" s="402"/>
      <c r="D4758" s="402"/>
      <c r="E4758" s="343"/>
    </row>
    <row r="4759" spans="1:5" s="335" customFormat="1" ht="24">
      <c r="A4759" s="342" t="s">
        <v>3739</v>
      </c>
      <c r="B4759" s="342" t="s">
        <v>3740</v>
      </c>
      <c r="C4759" s="342" t="str">
        <f>("SCPFAPG2LINE")</f>
        <v>SCPFAPG2LINE</v>
      </c>
      <c r="D4759" s="340">
        <v>2995</v>
      </c>
      <c r="E4759" s="343"/>
    </row>
    <row r="4760" spans="1:5" s="335" customFormat="1" ht="24">
      <c r="A4760" s="342" t="s">
        <v>3741</v>
      </c>
      <c r="B4760" s="342" t="s">
        <v>3742</v>
      </c>
      <c r="C4760" s="342" t="str">
        <f>("SCPFAPG4LINE")</f>
        <v>SCPFAPG4LINE</v>
      </c>
      <c r="D4760" s="340">
        <v>3995</v>
      </c>
      <c r="E4760" s="343"/>
    </row>
    <row r="4761" spans="1:5" s="335" customFormat="1" ht="12.75">
      <c r="A4761" s="403" t="s">
        <v>3743</v>
      </c>
      <c r="B4761" s="403"/>
      <c r="C4761" s="403"/>
      <c r="D4761" s="403"/>
      <c r="E4761" s="343"/>
    </row>
    <row r="4762" spans="1:5" s="335" customFormat="1" ht="26.25">
      <c r="A4762" s="342" t="s">
        <v>3744</v>
      </c>
      <c r="B4762" s="342" t="s">
        <v>3745</v>
      </c>
      <c r="C4762" s="342" t="s">
        <v>6296</v>
      </c>
      <c r="D4762" s="340">
        <v>499</v>
      </c>
      <c r="E4762" s="343"/>
    </row>
    <row r="4763" spans="1:5" s="335" customFormat="1" ht="24">
      <c r="A4763" s="342" t="s">
        <v>3746</v>
      </c>
      <c r="B4763" s="342" t="s">
        <v>3747</v>
      </c>
      <c r="C4763" s="342" t="str">
        <f>("SCPFAPG4LINEM")</f>
        <v>SCPFAPG4LINEM</v>
      </c>
      <c r="D4763" s="340">
        <v>666</v>
      </c>
      <c r="E4763" s="343"/>
    </row>
    <row r="4764" spans="1:5" s="335" customFormat="1" ht="12.75">
      <c r="A4764" s="403" t="s">
        <v>3653</v>
      </c>
      <c r="B4764" s="403"/>
      <c r="C4764" s="403"/>
      <c r="D4764" s="403"/>
      <c r="E4764" s="343"/>
    </row>
    <row r="4765" spans="1:5" s="335" customFormat="1" ht="26.25">
      <c r="A4765" s="342" t="s">
        <v>3748</v>
      </c>
      <c r="B4765" s="342" t="s">
        <v>3749</v>
      </c>
      <c r="C4765" s="342" t="s">
        <v>6297</v>
      </c>
      <c r="D4765" s="340">
        <v>374</v>
      </c>
      <c r="E4765" s="343"/>
    </row>
    <row r="4766" spans="1:5" s="335" customFormat="1" ht="24">
      <c r="A4766" s="342" t="s">
        <v>3750</v>
      </c>
      <c r="B4766" s="342" t="s">
        <v>3751</v>
      </c>
      <c r="C4766" s="342" t="str">
        <f>("SCPFAPG4LINEA")</f>
        <v>SCPFAPG4LINEA</v>
      </c>
      <c r="D4766" s="340">
        <v>499</v>
      </c>
      <c r="E4766" s="343"/>
    </row>
    <row r="4767" spans="1:5" s="335" customFormat="1" ht="12.75">
      <c r="A4767" s="403" t="s">
        <v>3662</v>
      </c>
      <c r="B4767" s="403"/>
      <c r="C4767" s="403"/>
      <c r="D4767" s="403"/>
      <c r="E4767" s="343"/>
    </row>
    <row r="4768" spans="1:5" s="335" customFormat="1" ht="26.25">
      <c r="A4768" s="342" t="s">
        <v>3752</v>
      </c>
      <c r="B4768" s="342" t="s">
        <v>3753</v>
      </c>
      <c r="C4768" s="342" t="s">
        <v>6298</v>
      </c>
      <c r="D4768" s="340">
        <v>374</v>
      </c>
      <c r="E4768" s="343"/>
    </row>
    <row r="4769" spans="1:5" s="335" customFormat="1" ht="26.25">
      <c r="A4769" s="342" t="s">
        <v>3754</v>
      </c>
      <c r="B4769" s="342" t="s">
        <v>3755</v>
      </c>
      <c r="C4769" s="342" t="s">
        <v>6299</v>
      </c>
      <c r="D4769" s="340">
        <v>499</v>
      </c>
      <c r="E4769" s="343"/>
    </row>
    <row r="4770" spans="1:5" s="335" customFormat="1" ht="24">
      <c r="A4770" s="342" t="s">
        <v>3756</v>
      </c>
      <c r="B4770" s="342" t="s">
        <v>3757</v>
      </c>
      <c r="C4770" s="342" t="str">
        <f>("SCPFAPG4LINEAR")</f>
        <v>SCPFAPG4LINEAR</v>
      </c>
      <c r="D4770" s="340">
        <v>499</v>
      </c>
      <c r="E4770" s="343"/>
    </row>
    <row r="4771" spans="1:5" s="335" customFormat="1" ht="24">
      <c r="A4771" s="342" t="s">
        <v>3758</v>
      </c>
      <c r="B4771" s="342" t="s">
        <v>3759</v>
      </c>
      <c r="C4771" s="342" t="str">
        <f>("SCPFAPG4LINEMR")</f>
        <v>SCPFAPG4LINEMR</v>
      </c>
      <c r="D4771" s="340">
        <v>666</v>
      </c>
      <c r="E4771" s="343"/>
    </row>
    <row r="4772" spans="1:5" s="335" customFormat="1" ht="12.75">
      <c r="A4772" s="403" t="s">
        <v>856</v>
      </c>
      <c r="B4772" s="403"/>
      <c r="C4772" s="403"/>
      <c r="D4772" s="403"/>
      <c r="E4772" s="343"/>
    </row>
    <row r="4773" spans="1:5" s="335" customFormat="1" ht="24">
      <c r="A4773" s="342" t="s">
        <v>3760</v>
      </c>
      <c r="B4773" s="342" t="s">
        <v>3761</v>
      </c>
      <c r="C4773" s="342" t="s">
        <v>6300</v>
      </c>
      <c r="D4773" s="340">
        <v>495</v>
      </c>
      <c r="E4773" s="343"/>
    </row>
    <row r="4774" spans="1:5" s="335" customFormat="1" ht="12.75">
      <c r="A4774" s="344"/>
      <c r="B4774" s="343"/>
      <c r="C4774" s="343"/>
      <c r="D4774" s="395"/>
      <c r="E4774" s="343"/>
    </row>
    <row r="4775" spans="1:5" s="335" customFormat="1" ht="12.75">
      <c r="A4775" s="403" t="s">
        <v>1543</v>
      </c>
      <c r="B4775" s="403"/>
      <c r="C4775" s="403"/>
      <c r="D4775" s="403"/>
      <c r="E4775" s="343"/>
    </row>
    <row r="4776" spans="1:5" s="335" customFormat="1" ht="36">
      <c r="A4776" s="342" t="s">
        <v>3692</v>
      </c>
      <c r="B4776" s="342" t="s">
        <v>3692</v>
      </c>
      <c r="C4776" s="342" t="s">
        <v>6288</v>
      </c>
      <c r="D4776" s="340">
        <v>25</v>
      </c>
      <c r="E4776" s="343"/>
    </row>
    <row r="4777" spans="1:5" s="335" customFormat="1" ht="36">
      <c r="A4777" s="342" t="s">
        <v>3693</v>
      </c>
      <c r="B4777" s="342" t="s">
        <v>3694</v>
      </c>
      <c r="C4777" s="342" t="str">
        <f>("7640014076")</f>
        <v>7640014076</v>
      </c>
      <c r="D4777" s="340">
        <v>75</v>
      </c>
      <c r="E4777" s="343"/>
    </row>
    <row r="4778" spans="1:5" s="335" customFormat="1" ht="12.75">
      <c r="A4778" s="344"/>
      <c r="B4778" s="343"/>
      <c r="C4778" s="343"/>
      <c r="D4778" s="395"/>
      <c r="E4778" s="343"/>
    </row>
    <row r="4779" spans="1:5" s="335" customFormat="1" ht="15" customHeight="1">
      <c r="A4779" s="345"/>
      <c r="B4779" s="404" t="s">
        <v>3762</v>
      </c>
      <c r="C4779" s="404"/>
      <c r="D4779" s="404"/>
      <c r="E4779" s="404"/>
    </row>
    <row r="4780" spans="1:5" s="335" customFormat="1" ht="25.5">
      <c r="A4780" s="346" t="s">
        <v>789</v>
      </c>
      <c r="B4780" s="346" t="s">
        <v>409</v>
      </c>
      <c r="C4780" s="346" t="s">
        <v>26</v>
      </c>
      <c r="D4780" s="337" t="s">
        <v>6425</v>
      </c>
      <c r="E4780" s="343"/>
    </row>
    <row r="4781" spans="1:5" s="335" customFormat="1" ht="12.75">
      <c r="A4781" s="403" t="s">
        <v>3662</v>
      </c>
      <c r="B4781" s="403"/>
      <c r="C4781" s="403"/>
      <c r="D4781" s="403"/>
      <c r="E4781" s="343"/>
    </row>
    <row r="4782" spans="1:5" s="335" customFormat="1" ht="24">
      <c r="A4782" s="342" t="s">
        <v>3763</v>
      </c>
      <c r="B4782" s="342" t="s">
        <v>3764</v>
      </c>
      <c r="C4782" s="342" t="s">
        <v>6301</v>
      </c>
      <c r="D4782" s="340">
        <v>499</v>
      </c>
      <c r="E4782" s="343"/>
    </row>
    <row r="4783" spans="1:5" s="335" customFormat="1" ht="24">
      <c r="A4783" s="342" t="s">
        <v>3765</v>
      </c>
      <c r="B4783" s="342" t="s">
        <v>3766</v>
      </c>
      <c r="C4783" s="342" t="s">
        <v>6302</v>
      </c>
      <c r="D4783" s="340">
        <v>749</v>
      </c>
      <c r="E4783" s="343"/>
    </row>
    <row r="4784" spans="1:5" s="335" customFormat="1" ht="24">
      <c r="A4784" s="342" t="s">
        <v>3767</v>
      </c>
      <c r="B4784" s="342" t="s">
        <v>3768</v>
      </c>
      <c r="C4784" s="342" t="str">
        <f>("7640015263")</f>
        <v>7640015263</v>
      </c>
      <c r="D4784" s="340">
        <v>665</v>
      </c>
      <c r="E4784" s="343"/>
    </row>
    <row r="4785" spans="1:5" s="335" customFormat="1" ht="24">
      <c r="A4785" s="342" t="s">
        <v>3769</v>
      </c>
      <c r="B4785" s="342" t="s">
        <v>3770</v>
      </c>
      <c r="C4785" s="342" t="str">
        <f>("7640015264")</f>
        <v>7640015264</v>
      </c>
      <c r="D4785" s="340">
        <v>999</v>
      </c>
      <c r="E4785" s="343"/>
    </row>
    <row r="4786" spans="1:5" s="335" customFormat="1" ht="12.75">
      <c r="A4786" s="344"/>
      <c r="B4786" s="343"/>
      <c r="C4786" s="343"/>
      <c r="D4786" s="395"/>
      <c r="E4786" s="343"/>
    </row>
    <row r="4787" spans="1:5" s="335" customFormat="1" ht="15" customHeight="1">
      <c r="A4787" s="345"/>
      <c r="B4787" s="404" t="s">
        <v>3771</v>
      </c>
      <c r="C4787" s="404"/>
      <c r="D4787" s="404"/>
      <c r="E4787" s="404"/>
    </row>
    <row r="4788" spans="1:5" s="335" customFormat="1" ht="25.5">
      <c r="A4788" s="346" t="s">
        <v>789</v>
      </c>
      <c r="B4788" s="346" t="s">
        <v>409</v>
      </c>
      <c r="C4788" s="346" t="s">
        <v>26</v>
      </c>
      <c r="D4788" s="337" t="s">
        <v>6425</v>
      </c>
      <c r="E4788" s="343"/>
    </row>
    <row r="4789" spans="1:5" s="335" customFormat="1" ht="36">
      <c r="A4789" s="342" t="s">
        <v>3772</v>
      </c>
      <c r="B4789" s="342" t="s">
        <v>3773</v>
      </c>
      <c r="C4789" s="342" t="s">
        <v>6303</v>
      </c>
      <c r="D4789" s="340">
        <v>0</v>
      </c>
      <c r="E4789" s="343"/>
    </row>
    <row r="4790" spans="1:5" s="335" customFormat="1" ht="12.75">
      <c r="A4790" s="403" t="s">
        <v>3774</v>
      </c>
      <c r="B4790" s="403"/>
      <c r="C4790" s="403"/>
      <c r="D4790" s="403"/>
      <c r="E4790" s="343"/>
    </row>
    <row r="4791" spans="1:5" s="335" customFormat="1" ht="24">
      <c r="A4791" s="342" t="s">
        <v>3775</v>
      </c>
      <c r="B4791" s="342" t="s">
        <v>3776</v>
      </c>
      <c r="C4791" s="342" t="str">
        <f>("SCPRFPG2420004")</f>
        <v>SCPRFPG2420004</v>
      </c>
      <c r="D4791" s="340">
        <v>4995</v>
      </c>
      <c r="E4791" s="343"/>
    </row>
    <row r="4792" spans="1:5" s="335" customFormat="1" ht="24">
      <c r="A4792" s="342" t="s">
        <v>3777</v>
      </c>
      <c r="B4792" s="342" t="s">
        <v>3778</v>
      </c>
      <c r="C4792" s="342" t="str">
        <f>("SCPRFPG2420005")</f>
        <v>SCPRFPG2420005</v>
      </c>
      <c r="D4792" s="340">
        <v>14995</v>
      </c>
      <c r="E4792" s="343"/>
    </row>
    <row r="4793" spans="1:5" s="335" customFormat="1" ht="24">
      <c r="A4793" s="342" t="s">
        <v>3779</v>
      </c>
      <c r="B4793" s="342" t="s">
        <v>3780</v>
      </c>
      <c r="C4793" s="342" t="str">
        <f>("SCPRFPG2420006")</f>
        <v>SCPRFPG2420006</v>
      </c>
      <c r="D4793" s="340">
        <v>11995</v>
      </c>
      <c r="E4793" s="343"/>
    </row>
    <row r="4794" spans="1:5" s="335" customFormat="1" ht="24">
      <c r="A4794" s="342" t="s">
        <v>3781</v>
      </c>
      <c r="B4794" s="342" t="s">
        <v>3782</v>
      </c>
      <c r="C4794" s="342" t="str">
        <f>("SCPRFPGENTINTA")</f>
        <v>SCPRFPGENTINTA</v>
      </c>
      <c r="D4794" s="340">
        <v>19995</v>
      </c>
      <c r="E4794" s="343"/>
    </row>
    <row r="4795" spans="1:5" s="335" customFormat="1" ht="24">
      <c r="A4795" s="342" t="s">
        <v>3783</v>
      </c>
      <c r="B4795" s="342" t="s">
        <v>3784</v>
      </c>
      <c r="C4795" s="342" t="str">
        <f>("SCPRFPGENTSTEA")</f>
        <v>SCPRFPGENTSTEA</v>
      </c>
      <c r="D4795" s="340">
        <v>9495</v>
      </c>
      <c r="E4795" s="343"/>
    </row>
    <row r="4796" spans="1:5" s="335" customFormat="1" ht="12.75">
      <c r="A4796" s="403" t="s">
        <v>3785</v>
      </c>
      <c r="B4796" s="403"/>
      <c r="C4796" s="403"/>
      <c r="D4796" s="403"/>
      <c r="E4796" s="343"/>
    </row>
    <row r="4797" spans="1:5" s="335" customFormat="1" ht="24">
      <c r="A4797" s="342" t="s">
        <v>3786</v>
      </c>
      <c r="B4797" s="342" t="s">
        <v>3787</v>
      </c>
      <c r="C4797" s="342" t="str">
        <f>("SCPRFPG2420008")</f>
        <v>SCPRFPG2420008</v>
      </c>
      <c r="D4797" s="340">
        <v>1748</v>
      </c>
      <c r="E4797" s="343"/>
    </row>
    <row r="4798" spans="1:5" s="335" customFormat="1" ht="24">
      <c r="A4798" s="342" t="s">
        <v>3788</v>
      </c>
      <c r="B4798" s="342" t="s">
        <v>3789</v>
      </c>
      <c r="C4798" s="342" t="str">
        <f>("SCPRFPG2420009")</f>
        <v>SCPRFPG2420009</v>
      </c>
      <c r="D4798" s="340">
        <v>3748</v>
      </c>
      <c r="E4798" s="343"/>
    </row>
    <row r="4799" spans="1:5" s="335" customFormat="1" ht="24">
      <c r="A4799" s="342" t="s">
        <v>3790</v>
      </c>
      <c r="B4799" s="342" t="s">
        <v>3791</v>
      </c>
      <c r="C4799" s="342" t="str">
        <f>("SCPRFPG2420010")</f>
        <v>SCPRFPG2420010</v>
      </c>
      <c r="D4799" s="340">
        <v>8748</v>
      </c>
      <c r="E4799" s="343"/>
    </row>
    <row r="4800" spans="1:5" s="335" customFormat="1" ht="24">
      <c r="A4800" s="342" t="s">
        <v>3792</v>
      </c>
      <c r="B4800" s="342" t="s">
        <v>3793</v>
      </c>
      <c r="C4800" s="342" t="str">
        <f>("SCPRFPGBSNRA")</f>
        <v>SCPRFPGBSNRA</v>
      </c>
      <c r="D4800" s="340">
        <v>997.5</v>
      </c>
      <c r="E4800" s="343"/>
    </row>
    <row r="4801" spans="1:5" s="335" customFormat="1" ht="24">
      <c r="A4801" s="342" t="s">
        <v>3794</v>
      </c>
      <c r="B4801" s="342" t="s">
        <v>3795</v>
      </c>
      <c r="C4801" s="342" t="str">
        <f>("SCPRFPGENTINTRA")</f>
        <v>SCPRFPGENTINTRA</v>
      </c>
      <c r="D4801" s="340">
        <v>9997.5</v>
      </c>
      <c r="E4801" s="343"/>
    </row>
    <row r="4802" spans="1:5" s="335" customFormat="1" ht="24">
      <c r="A4802" s="342" t="s">
        <v>3796</v>
      </c>
      <c r="B4802" s="342" t="s">
        <v>3797</v>
      </c>
      <c r="C4802" s="342" t="str">
        <f>("SCPRFPGENTRA")</f>
        <v>SCPRFPGENTRA</v>
      </c>
      <c r="D4802" s="340">
        <v>2647.5</v>
      </c>
      <c r="E4802" s="343"/>
    </row>
    <row r="4803" spans="1:5" s="335" customFormat="1" ht="24">
      <c r="A4803" s="342" t="s">
        <v>3798</v>
      </c>
      <c r="B4803" s="342" t="s">
        <v>3799</v>
      </c>
      <c r="C4803" s="342" t="str">
        <f>("SCPRFPGENTSTERA")</f>
        <v>SCPRFPGENTSTERA</v>
      </c>
      <c r="D4803" s="340">
        <v>4747.5</v>
      </c>
      <c r="E4803" s="343"/>
    </row>
    <row r="4804" spans="1:5" s="335" customFormat="1" ht="12.75">
      <c r="A4804" s="403" t="s">
        <v>3800</v>
      </c>
      <c r="B4804" s="403"/>
      <c r="C4804" s="403"/>
      <c r="D4804" s="403"/>
      <c r="E4804" s="343"/>
    </row>
    <row r="4805" spans="1:5" s="335" customFormat="1" ht="24">
      <c r="A4805" s="342" t="s">
        <v>3801</v>
      </c>
      <c r="B4805" s="342" t="s">
        <v>3802</v>
      </c>
      <c r="C4805" s="342" t="str">
        <f>("7640018039")</f>
        <v>7640018039</v>
      </c>
      <c r="D4805" s="340">
        <v>9495</v>
      </c>
      <c r="E4805" s="343"/>
    </row>
    <row r="4806" spans="1:5" s="335" customFormat="1" ht="24">
      <c r="A4806" s="342" t="s">
        <v>3803</v>
      </c>
      <c r="B4806" s="342" t="s">
        <v>3804</v>
      </c>
      <c r="C4806" s="342" t="str">
        <f>("7640018040")</f>
        <v>7640018040</v>
      </c>
      <c r="D4806" s="340">
        <v>8495</v>
      </c>
      <c r="E4806" s="343"/>
    </row>
    <row r="4807" spans="1:5" s="335" customFormat="1" ht="36">
      <c r="A4807" s="342" t="s">
        <v>3805</v>
      </c>
      <c r="B4807" s="342" t="s">
        <v>3806</v>
      </c>
      <c r="C4807" s="342" t="str">
        <f>("7640018041")</f>
        <v>7640018041</v>
      </c>
      <c r="D4807" s="340">
        <v>2995</v>
      </c>
      <c r="E4807" s="343"/>
    </row>
    <row r="4808" spans="1:5" s="335" customFormat="1" ht="24">
      <c r="A4808" s="342" t="s">
        <v>3807</v>
      </c>
      <c r="B4808" s="342" t="s">
        <v>3808</v>
      </c>
      <c r="C4808" s="342" t="str">
        <f>("7640018042")</f>
        <v>7640018042</v>
      </c>
      <c r="D4808" s="340">
        <v>1895</v>
      </c>
      <c r="E4808" s="343"/>
    </row>
    <row r="4809" spans="1:5" s="335" customFormat="1" ht="24">
      <c r="A4809" s="342" t="s">
        <v>3809</v>
      </c>
      <c r="B4809" s="342" t="s">
        <v>3810</v>
      </c>
      <c r="C4809" s="342" t="str">
        <f>("7640018043")</f>
        <v>7640018043</v>
      </c>
      <c r="D4809" s="340">
        <v>1895</v>
      </c>
      <c r="E4809" s="343"/>
    </row>
    <row r="4810" spans="1:5" s="335" customFormat="1" ht="24">
      <c r="A4810" s="342" t="s">
        <v>3811</v>
      </c>
      <c r="B4810" s="342" t="s">
        <v>3812</v>
      </c>
      <c r="C4810" s="342" t="str">
        <f>("7640018066")</f>
        <v>7640018066</v>
      </c>
      <c r="D4810" s="340">
        <v>2495</v>
      </c>
      <c r="E4810" s="343"/>
    </row>
    <row r="4811" spans="1:5" s="335" customFormat="1" ht="24">
      <c r="A4811" s="342" t="s">
        <v>3813</v>
      </c>
      <c r="B4811" s="342" t="s">
        <v>3814</v>
      </c>
      <c r="C4811" s="342" t="str">
        <f>("7640018068")</f>
        <v>7640018068</v>
      </c>
      <c r="D4811" s="340">
        <v>395</v>
      </c>
      <c r="E4811" s="343"/>
    </row>
    <row r="4812" spans="1:5" s="335" customFormat="1" ht="24">
      <c r="A4812" s="342" t="s">
        <v>3815</v>
      </c>
      <c r="B4812" s="342" t="s">
        <v>3816</v>
      </c>
      <c r="C4812" s="342" t="str">
        <f>("7640018069")</f>
        <v>7640018069</v>
      </c>
      <c r="D4812" s="340">
        <v>295</v>
      </c>
      <c r="E4812" s="343"/>
    </row>
    <row r="4813" spans="1:5" s="335" customFormat="1" ht="24">
      <c r="A4813" s="342" t="s">
        <v>3817</v>
      </c>
      <c r="B4813" s="342" t="s">
        <v>3818</v>
      </c>
      <c r="C4813" s="342" t="str">
        <f>("7640018070")</f>
        <v>7640018070</v>
      </c>
      <c r="D4813" s="340">
        <v>125</v>
      </c>
      <c r="E4813" s="343"/>
    </row>
    <row r="4814" spans="1:5" s="335" customFormat="1" ht="36">
      <c r="A4814" s="342" t="s">
        <v>3819</v>
      </c>
      <c r="B4814" s="342" t="s">
        <v>3820</v>
      </c>
      <c r="C4814" s="342" t="str">
        <f>("7640018071")</f>
        <v>7640018071</v>
      </c>
      <c r="D4814" s="340">
        <v>75</v>
      </c>
      <c r="E4814" s="343"/>
    </row>
    <row r="4815" spans="1:5" s="335" customFormat="1" ht="12.75">
      <c r="A4815" s="342" t="s">
        <v>3821</v>
      </c>
      <c r="B4815" s="342" t="s">
        <v>3822</v>
      </c>
      <c r="C4815" s="342" t="str">
        <f>("SCPRF2450003")</f>
        <v>SCPRF2450003</v>
      </c>
      <c r="D4815" s="340">
        <v>8995</v>
      </c>
      <c r="E4815" s="343"/>
    </row>
    <row r="4816" spans="1:5" s="335" customFormat="1" ht="24">
      <c r="A4816" s="342" t="s">
        <v>3823</v>
      </c>
      <c r="B4816" s="342" t="s">
        <v>3824</v>
      </c>
      <c r="C4816" s="342" t="str">
        <f>("SCPRF28000019")</f>
        <v>SCPRF28000019</v>
      </c>
      <c r="D4816" s="340">
        <v>600</v>
      </c>
      <c r="E4816" s="343"/>
    </row>
    <row r="4817" spans="1:5" s="335" customFormat="1" ht="24">
      <c r="A4817" s="342" t="s">
        <v>3825</v>
      </c>
      <c r="B4817" s="342" t="s">
        <v>3826</v>
      </c>
      <c r="C4817" s="342" t="str">
        <f>("SCPRF280004000")</f>
        <v>SCPRF280004000</v>
      </c>
      <c r="D4817" s="340">
        <v>1895</v>
      </c>
      <c r="E4817" s="343"/>
    </row>
    <row r="4818" spans="1:5" s="335" customFormat="1" ht="12.75">
      <c r="A4818" s="342" t="s">
        <v>3827</v>
      </c>
      <c r="B4818" s="342" t="s">
        <v>3828</v>
      </c>
      <c r="C4818" s="342" t="str">
        <f>("SCPRF3000020")</f>
        <v>SCPRF3000020</v>
      </c>
      <c r="D4818" s="340">
        <v>4995</v>
      </c>
      <c r="E4818" s="343"/>
    </row>
    <row r="4819" spans="1:5" s="335" customFormat="1" ht="24">
      <c r="A4819" s="342" t="s">
        <v>3829</v>
      </c>
      <c r="B4819" s="342" t="s">
        <v>3830</v>
      </c>
      <c r="C4819" s="342" t="str">
        <f>("SCPRFFNFC")</f>
        <v>SCPRFFNFC</v>
      </c>
      <c r="D4819" s="340">
        <v>2995</v>
      </c>
      <c r="E4819" s="343"/>
    </row>
    <row r="4820" spans="1:5" s="335" customFormat="1" ht="12.75">
      <c r="A4820" s="342" t="s">
        <v>3831</v>
      </c>
      <c r="B4820" s="342" t="s">
        <v>3832</v>
      </c>
      <c r="C4820" s="342" t="str">
        <f>("SCPRFPG0020173")</f>
        <v>SCPRFPG0020173</v>
      </c>
      <c r="D4820" s="340">
        <v>1895</v>
      </c>
      <c r="E4820" s="343"/>
    </row>
    <row r="4821" spans="1:5" s="335" customFormat="1" ht="12.75">
      <c r="A4821" s="403" t="s">
        <v>3833</v>
      </c>
      <c r="B4821" s="403"/>
      <c r="C4821" s="403"/>
      <c r="D4821" s="403"/>
      <c r="E4821" s="343"/>
    </row>
    <row r="4822" spans="1:5" s="335" customFormat="1" ht="24">
      <c r="A4822" s="342" t="s">
        <v>3834</v>
      </c>
      <c r="B4822" s="342" t="s">
        <v>3835</v>
      </c>
      <c r="C4822" s="342" t="str">
        <f>("7640016652")</f>
        <v>7640016652</v>
      </c>
      <c r="D4822" s="340">
        <v>0</v>
      </c>
      <c r="E4822" s="343"/>
    </row>
    <row r="4823" spans="1:5" s="335" customFormat="1" ht="24">
      <c r="A4823" s="342" t="s">
        <v>3836</v>
      </c>
      <c r="B4823" s="342" t="s">
        <v>3837</v>
      </c>
      <c r="C4823" s="342" t="str">
        <f>("7640018044")</f>
        <v>7640018044</v>
      </c>
      <c r="D4823" s="340">
        <v>447.5</v>
      </c>
      <c r="E4823" s="343"/>
    </row>
    <row r="4824" spans="1:5" s="335" customFormat="1" ht="24">
      <c r="A4824" s="342" t="s">
        <v>3838</v>
      </c>
      <c r="B4824" s="342" t="s">
        <v>3839</v>
      </c>
      <c r="C4824" s="342" t="str">
        <f>("7640018045")</f>
        <v>7640018045</v>
      </c>
      <c r="D4824" s="340">
        <v>947.5</v>
      </c>
      <c r="E4824" s="343"/>
    </row>
    <row r="4825" spans="1:5" s="335" customFormat="1" ht="24">
      <c r="A4825" s="342" t="s">
        <v>3840</v>
      </c>
      <c r="B4825" s="342" t="s">
        <v>3841</v>
      </c>
      <c r="C4825" s="342" t="str">
        <f>("7640018046")</f>
        <v>7640018046</v>
      </c>
      <c r="D4825" s="340">
        <v>947.5</v>
      </c>
      <c r="E4825" s="343"/>
    </row>
    <row r="4826" spans="1:5" s="335" customFormat="1" ht="12.75">
      <c r="A4826" s="342" t="s">
        <v>3842</v>
      </c>
      <c r="B4826" s="342" t="s">
        <v>3843</v>
      </c>
      <c r="C4826" s="342" t="str">
        <f>("7640018047")</f>
        <v>7640018047</v>
      </c>
      <c r="D4826" s="340">
        <v>947.5</v>
      </c>
      <c r="E4826" s="343"/>
    </row>
    <row r="4827" spans="1:5" s="335" customFormat="1" ht="24">
      <c r="A4827" s="342" t="s">
        <v>3844</v>
      </c>
      <c r="B4827" s="342" t="s">
        <v>3845</v>
      </c>
      <c r="C4827" s="342" t="str">
        <f>("7640018048")</f>
        <v>7640018048</v>
      </c>
      <c r="D4827" s="340">
        <v>997.5</v>
      </c>
      <c r="E4827" s="343"/>
    </row>
    <row r="4828" spans="1:5" s="335" customFormat="1" ht="24">
      <c r="A4828" s="342" t="s">
        <v>3846</v>
      </c>
      <c r="B4828" s="342" t="s">
        <v>3847</v>
      </c>
      <c r="C4828" s="342" t="str">
        <f>("7640018049")</f>
        <v>7640018049</v>
      </c>
      <c r="D4828" s="340">
        <v>4747.5</v>
      </c>
      <c r="E4828" s="343"/>
    </row>
    <row r="4829" spans="1:5" s="335" customFormat="1" ht="24">
      <c r="A4829" s="342" t="s">
        <v>3848</v>
      </c>
      <c r="B4829" s="342" t="s">
        <v>3849</v>
      </c>
      <c r="C4829" s="342" t="str">
        <f>("7640018050")</f>
        <v>7640018050</v>
      </c>
      <c r="D4829" s="340">
        <v>4247.5</v>
      </c>
      <c r="E4829" s="343"/>
    </row>
    <row r="4830" spans="1:5" s="335" customFormat="1" ht="24">
      <c r="A4830" s="342" t="s">
        <v>3850</v>
      </c>
      <c r="B4830" s="342" t="s">
        <v>3851</v>
      </c>
      <c r="C4830" s="342" t="str">
        <f>("7640018051")</f>
        <v>7640018051</v>
      </c>
      <c r="D4830" s="340">
        <v>1497.5</v>
      </c>
      <c r="E4830" s="343"/>
    </row>
    <row r="4831" spans="1:5" s="335" customFormat="1" ht="24">
      <c r="A4831" s="342" t="s">
        <v>3852</v>
      </c>
      <c r="B4831" s="342" t="s">
        <v>3853</v>
      </c>
      <c r="C4831" s="342" t="str">
        <f>("7640018052")</f>
        <v>7640018052</v>
      </c>
      <c r="D4831" s="340">
        <v>948</v>
      </c>
      <c r="E4831" s="343"/>
    </row>
    <row r="4832" spans="1:5" s="335" customFormat="1" ht="24">
      <c r="A4832" s="342" t="s">
        <v>3854</v>
      </c>
      <c r="B4832" s="342" t="s">
        <v>3855</v>
      </c>
      <c r="C4832" s="342" t="str">
        <f>("7640018053")</f>
        <v>7640018053</v>
      </c>
      <c r="D4832" s="340">
        <v>948</v>
      </c>
      <c r="E4832" s="343"/>
    </row>
    <row r="4833" spans="1:5" s="335" customFormat="1" ht="24">
      <c r="A4833" s="342" t="s">
        <v>3856</v>
      </c>
      <c r="B4833" s="342" t="s">
        <v>3857</v>
      </c>
      <c r="C4833" s="342" t="str">
        <f>("7640018056")</f>
        <v>7640018056</v>
      </c>
      <c r="D4833" s="340">
        <v>723</v>
      </c>
      <c r="E4833" s="343"/>
    </row>
    <row r="4834" spans="1:5" s="335" customFormat="1" ht="24">
      <c r="A4834" s="342" t="s">
        <v>3858</v>
      </c>
      <c r="B4834" s="342" t="s">
        <v>3859</v>
      </c>
      <c r="C4834" s="342" t="str">
        <f>("7640018058")</f>
        <v>7640018058</v>
      </c>
      <c r="D4834" s="340">
        <v>275</v>
      </c>
      <c r="E4834" s="343"/>
    </row>
    <row r="4835" spans="1:5" s="335" customFormat="1" ht="24">
      <c r="A4835" s="342" t="s">
        <v>3860</v>
      </c>
      <c r="B4835" s="342" t="s">
        <v>3861</v>
      </c>
      <c r="C4835" s="342" t="str">
        <f>("7640018067")</f>
        <v>7640018067</v>
      </c>
      <c r="D4835" s="340">
        <v>1248</v>
      </c>
      <c r="E4835" s="343"/>
    </row>
    <row r="4836" spans="1:5" s="335" customFormat="1" ht="24">
      <c r="A4836" s="342" t="s">
        <v>3862</v>
      </c>
      <c r="B4836" s="342" t="s">
        <v>3863</v>
      </c>
      <c r="C4836" s="342" t="str">
        <f>("7640018072")</f>
        <v>7640018072</v>
      </c>
      <c r="D4836" s="340">
        <v>0.01</v>
      </c>
      <c r="E4836" s="343"/>
    </row>
    <row r="4837" spans="1:5" s="335" customFormat="1" ht="24">
      <c r="A4837" s="342" t="s">
        <v>3864</v>
      </c>
      <c r="B4837" s="342" t="s">
        <v>3865</v>
      </c>
      <c r="C4837" s="342" t="str">
        <f>("SCPRF2450006")</f>
        <v>SCPRF2450006</v>
      </c>
      <c r="D4837" s="340">
        <v>4498</v>
      </c>
      <c r="E4837" s="343"/>
    </row>
    <row r="4838" spans="1:5" s="335" customFormat="1" ht="24">
      <c r="A4838" s="342" t="s">
        <v>3866</v>
      </c>
      <c r="B4838" s="342" t="s">
        <v>3867</v>
      </c>
      <c r="C4838" s="342" t="str">
        <f>("SCPRF28000019R")</f>
        <v>SCPRF28000019R</v>
      </c>
      <c r="D4838" s="340">
        <v>300</v>
      </c>
      <c r="E4838" s="343"/>
    </row>
    <row r="4839" spans="1:5" s="335" customFormat="1" ht="24">
      <c r="A4839" s="342" t="s">
        <v>3868</v>
      </c>
      <c r="B4839" s="342" t="s">
        <v>3869</v>
      </c>
      <c r="C4839" s="342" t="str">
        <f>("SCPRF280004000R")</f>
        <v>SCPRF280004000R</v>
      </c>
      <c r="D4839" s="340">
        <v>948</v>
      </c>
      <c r="E4839" s="343"/>
    </row>
    <row r="4840" spans="1:5" s="335" customFormat="1" ht="12.75">
      <c r="A4840" s="342" t="s">
        <v>3870</v>
      </c>
      <c r="B4840" s="342" t="s">
        <v>3871</v>
      </c>
      <c r="C4840" s="342" t="str">
        <f>("SCPRF3000020R")</f>
        <v>SCPRF3000020R</v>
      </c>
      <c r="D4840" s="340">
        <v>8995</v>
      </c>
      <c r="E4840" s="343"/>
    </row>
    <row r="4841" spans="1:5" s="335" customFormat="1" ht="24">
      <c r="A4841" s="342" t="s">
        <v>3872</v>
      </c>
      <c r="B4841" s="342" t="s">
        <v>3873</v>
      </c>
      <c r="C4841" s="342" t="str">
        <f>("SCPRFPG0020173R")</f>
        <v>SCPRFPG0020173R</v>
      </c>
      <c r="D4841" s="340">
        <v>948</v>
      </c>
      <c r="E4841" s="343"/>
    </row>
    <row r="4842" spans="1:5" s="335" customFormat="1" ht="12.75">
      <c r="A4842" s="403" t="s">
        <v>3874</v>
      </c>
      <c r="B4842" s="403"/>
      <c r="C4842" s="403"/>
      <c r="D4842" s="403"/>
      <c r="E4842" s="343"/>
    </row>
    <row r="4843" spans="1:5" s="335" customFormat="1" ht="24">
      <c r="A4843" s="342" t="s">
        <v>3875</v>
      </c>
      <c r="B4843" s="342" t="s">
        <v>3876</v>
      </c>
      <c r="C4843" s="342" t="str">
        <f>("SCPRF2420015")</f>
        <v>SCPRF2420015</v>
      </c>
      <c r="D4843" s="340">
        <v>1</v>
      </c>
      <c r="E4843" s="343"/>
    </row>
    <row r="4844" spans="1:5" s="335" customFormat="1" ht="12.75">
      <c r="A4844" s="403" t="s">
        <v>3877</v>
      </c>
      <c r="B4844" s="403"/>
      <c r="C4844" s="403"/>
      <c r="D4844" s="403"/>
      <c r="E4844" s="343"/>
    </row>
    <row r="4845" spans="1:5" s="335" customFormat="1" ht="24">
      <c r="A4845" s="342" t="s">
        <v>3878</v>
      </c>
      <c r="B4845" s="342" t="s">
        <v>3879</v>
      </c>
      <c r="C4845" s="342" t="str">
        <f>("SCPRF2670008")</f>
        <v>SCPRF2670008</v>
      </c>
      <c r="D4845" s="340">
        <v>16480</v>
      </c>
      <c r="E4845" s="343"/>
    </row>
    <row r="4846" spans="1:5" s="335" customFormat="1" ht="24">
      <c r="A4846" s="342" t="s">
        <v>3880</v>
      </c>
      <c r="B4846" s="342" t="s">
        <v>3881</v>
      </c>
      <c r="C4846" s="342" t="str">
        <f>("SCPRF2670009")</f>
        <v>SCPRF2670009</v>
      </c>
      <c r="D4846" s="340">
        <v>26368</v>
      </c>
      <c r="E4846" s="343"/>
    </row>
    <row r="4847" spans="1:5" s="335" customFormat="1" ht="12.75">
      <c r="A4847" s="403" t="s">
        <v>3882</v>
      </c>
      <c r="B4847" s="403"/>
      <c r="C4847" s="403"/>
      <c r="D4847" s="403"/>
      <c r="E4847" s="343"/>
    </row>
    <row r="4848" spans="1:5" s="335" customFormat="1" ht="24">
      <c r="A4848" s="342" t="s">
        <v>3883</v>
      </c>
      <c r="B4848" s="342" t="s">
        <v>3884</v>
      </c>
      <c r="C4848" s="342" t="str">
        <f>("SCPRF2670014")</f>
        <v>SCPRF2670014</v>
      </c>
      <c r="D4848" s="340">
        <v>550</v>
      </c>
      <c r="E4848" s="343"/>
    </row>
    <row r="4849" spans="1:5" s="335" customFormat="1" ht="24">
      <c r="A4849" s="342" t="s">
        <v>3885</v>
      </c>
      <c r="B4849" s="342" t="s">
        <v>3886</v>
      </c>
      <c r="C4849" s="342" t="str">
        <f>("SCPRF2670015")</f>
        <v>SCPRF2670015</v>
      </c>
      <c r="D4849" s="340">
        <v>1099</v>
      </c>
      <c r="E4849" s="343"/>
    </row>
    <row r="4850" spans="1:5" s="335" customFormat="1" ht="24">
      <c r="A4850" s="342" t="s">
        <v>3887</v>
      </c>
      <c r="B4850" s="342" t="s">
        <v>3888</v>
      </c>
      <c r="C4850" s="342" t="str">
        <f>("SCPRF2670016")</f>
        <v>SCPRF2670016</v>
      </c>
      <c r="D4850" s="340">
        <v>2198</v>
      </c>
      <c r="E4850" s="343"/>
    </row>
    <row r="4851" spans="1:5" s="335" customFormat="1" ht="24">
      <c r="A4851" s="342" t="s">
        <v>3889</v>
      </c>
      <c r="B4851" s="342" t="s">
        <v>3890</v>
      </c>
      <c r="C4851" s="342" t="str">
        <f>("SCPRF2670017")</f>
        <v>SCPRF2670017</v>
      </c>
      <c r="D4851" s="340">
        <v>3296</v>
      </c>
      <c r="E4851" s="343"/>
    </row>
    <row r="4852" spans="1:5" s="335" customFormat="1" ht="24">
      <c r="A4852" s="342" t="s">
        <v>3891</v>
      </c>
      <c r="B4852" s="342" t="s">
        <v>3892</v>
      </c>
      <c r="C4852" s="342" t="str">
        <f>("SCPRF2670018")</f>
        <v>SCPRF2670018</v>
      </c>
      <c r="D4852" s="340">
        <v>6592</v>
      </c>
      <c r="E4852" s="343"/>
    </row>
    <row r="4853" spans="1:5" s="335" customFormat="1" ht="24">
      <c r="A4853" s="342" t="s">
        <v>3893</v>
      </c>
      <c r="B4853" s="342" t="s">
        <v>3894</v>
      </c>
      <c r="C4853" s="342" t="str">
        <f>("SCPRF2670019")</f>
        <v>SCPRF2670019</v>
      </c>
      <c r="D4853" s="340">
        <v>8240</v>
      </c>
      <c r="E4853" s="343"/>
    </row>
    <row r="4854" spans="1:5" s="335" customFormat="1" ht="24">
      <c r="A4854" s="342" t="s">
        <v>3895</v>
      </c>
      <c r="B4854" s="342" t="s">
        <v>3896</v>
      </c>
      <c r="C4854" s="342" t="str">
        <f>("SCPRF2670020")</f>
        <v>SCPRF2670020</v>
      </c>
      <c r="D4854" s="340">
        <v>13184</v>
      </c>
      <c r="E4854" s="343"/>
    </row>
    <row r="4855" spans="1:5" s="335" customFormat="1" ht="24">
      <c r="A4855" s="342" t="s">
        <v>3897</v>
      </c>
      <c r="B4855" s="342" t="s">
        <v>3898</v>
      </c>
      <c r="C4855" s="342" t="str">
        <f>("SCPRF2670021")</f>
        <v>SCPRF2670021</v>
      </c>
      <c r="D4855" s="340">
        <v>16480</v>
      </c>
      <c r="E4855" s="343"/>
    </row>
    <row r="4856" spans="1:5" s="335" customFormat="1" ht="12.75">
      <c r="A4856" s="403" t="s">
        <v>3899</v>
      </c>
      <c r="B4856" s="403"/>
      <c r="C4856" s="403"/>
      <c r="D4856" s="403"/>
      <c r="E4856" s="343"/>
    </row>
    <row r="4857" spans="1:5" s="335" customFormat="1" ht="24">
      <c r="A4857" s="342" t="s">
        <v>3900</v>
      </c>
      <c r="B4857" s="342" t="s">
        <v>3901</v>
      </c>
      <c r="C4857" s="342" t="str">
        <f>("SCPRF2690001")</f>
        <v>SCPRF2690001</v>
      </c>
      <c r="D4857" s="340">
        <v>604</v>
      </c>
      <c r="E4857" s="343"/>
    </row>
    <row r="4858" spans="1:5" s="335" customFormat="1" ht="24">
      <c r="A4858" s="342" t="s">
        <v>3902</v>
      </c>
      <c r="B4858" s="342" t="s">
        <v>3903</v>
      </c>
      <c r="C4858" s="342" t="str">
        <f>("SCPRF2690002")</f>
        <v>SCPRF2690002</v>
      </c>
      <c r="D4858" s="340">
        <v>1280</v>
      </c>
      <c r="E4858" s="343"/>
    </row>
    <row r="4859" spans="1:5" s="335" customFormat="1" ht="24">
      <c r="A4859" s="342" t="s">
        <v>3904</v>
      </c>
      <c r="B4859" s="342" t="s">
        <v>3905</v>
      </c>
      <c r="C4859" s="342" t="str">
        <f>("SCPRF2690003")</f>
        <v>SCPRF2690003</v>
      </c>
      <c r="D4859" s="340">
        <v>2417</v>
      </c>
      <c r="E4859" s="343"/>
    </row>
    <row r="4860" spans="1:5" s="335" customFormat="1" ht="24">
      <c r="A4860" s="342" t="s">
        <v>3906</v>
      </c>
      <c r="B4860" s="342" t="s">
        <v>3907</v>
      </c>
      <c r="C4860" s="342" t="str">
        <f>("SCPRF2690004")</f>
        <v>SCPRF2690004</v>
      </c>
      <c r="D4860" s="340">
        <v>3626</v>
      </c>
      <c r="E4860" s="343"/>
    </row>
    <row r="4861" spans="1:5" s="335" customFormat="1" ht="24">
      <c r="A4861" s="342" t="s">
        <v>3908</v>
      </c>
      <c r="B4861" s="342" t="s">
        <v>3909</v>
      </c>
      <c r="C4861" s="342" t="str">
        <f>("SCPRF2690005")</f>
        <v>SCPRF2690005</v>
      </c>
      <c r="D4861" s="340">
        <v>7251</v>
      </c>
      <c r="E4861" s="343"/>
    </row>
    <row r="4862" spans="1:5" s="335" customFormat="1" ht="24">
      <c r="A4862" s="342" t="s">
        <v>3910</v>
      </c>
      <c r="B4862" s="342" t="s">
        <v>3911</v>
      </c>
      <c r="C4862" s="342" t="str">
        <f>("SCPRF2690006")</f>
        <v>SCPRF2690006</v>
      </c>
      <c r="D4862" s="340">
        <v>9064</v>
      </c>
      <c r="E4862" s="343"/>
    </row>
    <row r="4863" spans="1:5" s="335" customFormat="1" ht="24">
      <c r="A4863" s="342" t="s">
        <v>3912</v>
      </c>
      <c r="B4863" s="342" t="s">
        <v>3913</v>
      </c>
      <c r="C4863" s="342" t="str">
        <f>("SCPRF2690007")</f>
        <v>SCPRF2690007</v>
      </c>
      <c r="D4863" s="340">
        <v>14502</v>
      </c>
      <c r="E4863" s="343"/>
    </row>
    <row r="4864" spans="1:5" s="335" customFormat="1" ht="24">
      <c r="A4864" s="342" t="s">
        <v>3914</v>
      </c>
      <c r="B4864" s="342" t="s">
        <v>3915</v>
      </c>
      <c r="C4864" s="342" t="str">
        <f>("SCPRF2690008")</f>
        <v>SCPRF2690008</v>
      </c>
      <c r="D4864" s="340">
        <v>18128</v>
      </c>
      <c r="E4864" s="343"/>
    </row>
    <row r="4865" spans="1:5" s="335" customFormat="1" ht="12.75">
      <c r="A4865" s="403" t="s">
        <v>3916</v>
      </c>
      <c r="B4865" s="403"/>
      <c r="C4865" s="403"/>
      <c r="D4865" s="403"/>
      <c r="E4865" s="343"/>
    </row>
    <row r="4866" spans="1:5" s="335" customFormat="1" ht="24">
      <c r="A4866" s="342" t="s">
        <v>3917</v>
      </c>
      <c r="B4866" s="342" t="s">
        <v>3918</v>
      </c>
      <c r="C4866" s="342" t="str">
        <f>("SCPFGVM4FXOMR")</f>
        <v>SCPFGVM4FXOMR</v>
      </c>
      <c r="D4866" s="340">
        <v>63</v>
      </c>
      <c r="E4866" s="343"/>
    </row>
    <row r="4867" spans="1:5" s="335" customFormat="1" ht="12.75">
      <c r="A4867" s="403" t="s">
        <v>3919</v>
      </c>
      <c r="B4867" s="403"/>
      <c r="C4867" s="403"/>
      <c r="D4867" s="403"/>
      <c r="E4867" s="343"/>
    </row>
    <row r="4868" spans="1:5" s="335" customFormat="1" ht="24">
      <c r="A4868" s="342" t="s">
        <v>3920</v>
      </c>
      <c r="B4868" s="342" t="s">
        <v>3921</v>
      </c>
      <c r="C4868" s="342" t="str">
        <f>("7640018016")</f>
        <v>7640018016</v>
      </c>
      <c r="D4868" s="340">
        <v>6300</v>
      </c>
      <c r="E4868" s="343"/>
    </row>
    <row r="4869" spans="1:5" s="335" customFormat="1" ht="36">
      <c r="A4869" s="342" t="s">
        <v>3922</v>
      </c>
      <c r="B4869" s="342" t="s">
        <v>3923</v>
      </c>
      <c r="C4869" s="342" t="str">
        <f>("SCPFG10R11X")</f>
        <v>SCPFG10R11X</v>
      </c>
      <c r="D4869" s="340">
        <v>15</v>
      </c>
      <c r="E4869" s="343"/>
    </row>
    <row r="4870" spans="1:5" s="335" customFormat="1" ht="24">
      <c r="A4870" s="342" t="s">
        <v>3924</v>
      </c>
      <c r="B4870" s="342" t="s">
        <v>3925</v>
      </c>
      <c r="C4870" s="342" t="str">
        <f>("SCPFG2100D4N")</f>
        <v>SCPFG2100D4N</v>
      </c>
      <c r="D4870" s="340">
        <v>11000</v>
      </c>
      <c r="E4870" s="343"/>
    </row>
    <row r="4871" spans="1:5" s="335" customFormat="1" ht="36">
      <c r="A4871" s="342" t="s">
        <v>3926</v>
      </c>
      <c r="B4871" s="342" t="s">
        <v>3927</v>
      </c>
      <c r="C4871" s="342" t="str">
        <f>("SCPFGAVQFXS")</f>
        <v>SCPFGAVQFXS</v>
      </c>
      <c r="D4871" s="340">
        <v>295</v>
      </c>
      <c r="E4871" s="343"/>
    </row>
    <row r="4872" spans="1:5" s="335" customFormat="1" ht="24">
      <c r="A4872" s="342" t="s">
        <v>3928</v>
      </c>
      <c r="B4872" s="342" t="s">
        <v>3929</v>
      </c>
      <c r="C4872" s="342" t="str">
        <f>("SCPFGVM1SPAN")</f>
        <v>SCPFGVM1SPAN</v>
      </c>
      <c r="D4872" s="340">
        <v>2750</v>
      </c>
      <c r="E4872" s="343"/>
    </row>
    <row r="4873" spans="1:5" s="335" customFormat="1" ht="24">
      <c r="A4873" s="342" t="s">
        <v>3930</v>
      </c>
      <c r="B4873" s="342" t="s">
        <v>3931</v>
      </c>
      <c r="C4873" s="342" t="str">
        <f>("SCPFGVM2SPAN")</f>
        <v>SCPFGVM2SPAN</v>
      </c>
      <c r="D4873" s="340">
        <v>4470</v>
      </c>
      <c r="E4873" s="343"/>
    </row>
    <row r="4874" spans="1:5" s="335" customFormat="1" ht="36">
      <c r="A4874" s="342" t="s">
        <v>3932</v>
      </c>
      <c r="B4874" s="342" t="s">
        <v>3933</v>
      </c>
      <c r="C4874" s="342" t="str">
        <f>("SCPFGVM4FXO")</f>
        <v>SCPFGVM4FXO</v>
      </c>
      <c r="D4874" s="340">
        <v>380</v>
      </c>
      <c r="E4874" s="343"/>
    </row>
    <row r="4875" spans="1:5" s="335" customFormat="1" ht="12.75">
      <c r="A4875" s="403" t="s">
        <v>3934</v>
      </c>
      <c r="B4875" s="403"/>
      <c r="C4875" s="403"/>
      <c r="D4875" s="403"/>
      <c r="E4875" s="343"/>
    </row>
    <row r="4876" spans="1:5" s="335" customFormat="1" ht="24">
      <c r="A4876" s="342" t="s">
        <v>3935</v>
      </c>
      <c r="B4876" s="342" t="s">
        <v>3936</v>
      </c>
      <c r="C4876" s="342" t="str">
        <f>("7640018018")</f>
        <v>7640018018</v>
      </c>
      <c r="D4876" s="340">
        <v>1833</v>
      </c>
      <c r="E4876" s="343"/>
    </row>
    <row r="4877" spans="1:5" s="335" customFormat="1" ht="24">
      <c r="A4877" s="342" t="s">
        <v>3937</v>
      </c>
      <c r="B4877" s="342" t="s">
        <v>3938</v>
      </c>
      <c r="C4877" s="342" t="str">
        <f>("SCPFG2100D2M")</f>
        <v>SCPFG2100D2M</v>
      </c>
      <c r="D4877" s="340">
        <v>1050</v>
      </c>
      <c r="E4877" s="343"/>
    </row>
    <row r="4878" spans="1:5" s="335" customFormat="1" ht="24">
      <c r="A4878" s="342" t="s">
        <v>3939</v>
      </c>
      <c r="B4878" s="342" t="s">
        <v>3940</v>
      </c>
      <c r="C4878" s="342" t="str">
        <f>("SCPFGAVQFXSM")</f>
        <v>SCPFGAVQFXSM</v>
      </c>
      <c r="D4878" s="340">
        <v>49</v>
      </c>
      <c r="E4878" s="343"/>
    </row>
    <row r="4879" spans="1:5" s="335" customFormat="1" ht="36">
      <c r="A4879" s="342" t="s">
        <v>3941</v>
      </c>
      <c r="B4879" s="342" t="s">
        <v>3942</v>
      </c>
      <c r="C4879" s="342" t="str">
        <f>("SCPFGVM1SPANM")</f>
        <v>SCPFGVM1SPANM</v>
      </c>
      <c r="D4879" s="340">
        <v>458</v>
      </c>
      <c r="E4879" s="343"/>
    </row>
    <row r="4880" spans="1:5" s="335" customFormat="1" ht="24">
      <c r="A4880" s="342" t="s">
        <v>3943</v>
      </c>
      <c r="B4880" s="342" t="s">
        <v>3944</v>
      </c>
      <c r="C4880" s="342" t="str">
        <f>("SCPFGVM2SPANM")</f>
        <v>SCPFGVM2SPANM</v>
      </c>
      <c r="D4880" s="340">
        <v>745</v>
      </c>
      <c r="E4880" s="343"/>
    </row>
    <row r="4881" spans="1:5" s="335" customFormat="1" ht="24">
      <c r="A4881" s="342" t="s">
        <v>3945</v>
      </c>
      <c r="B4881" s="342" t="s">
        <v>3946</v>
      </c>
      <c r="C4881" s="342" t="str">
        <f>("SCPFGVM4FXOM")</f>
        <v>SCPFGVM4FXOM</v>
      </c>
      <c r="D4881" s="340">
        <v>63</v>
      </c>
      <c r="E4881" s="343"/>
    </row>
    <row r="4882" spans="1:5" s="335" customFormat="1" ht="12.75">
      <c r="A4882" s="403" t="s">
        <v>3947</v>
      </c>
      <c r="B4882" s="403"/>
      <c r="C4882" s="403"/>
      <c r="D4882" s="403"/>
      <c r="E4882" s="343"/>
    </row>
    <row r="4883" spans="1:5" s="335" customFormat="1" ht="36">
      <c r="A4883" s="342" t="s">
        <v>3948</v>
      </c>
      <c r="B4883" s="342" t="s">
        <v>3949</v>
      </c>
      <c r="C4883" s="342" t="str">
        <f>("7640018017")</f>
        <v>7640018017</v>
      </c>
      <c r="D4883" s="340">
        <v>1375</v>
      </c>
      <c r="E4883" s="343"/>
    </row>
    <row r="4884" spans="1:5" s="335" customFormat="1" ht="24">
      <c r="A4884" s="342" t="s">
        <v>3950</v>
      </c>
      <c r="B4884" s="342" t="s">
        <v>3951</v>
      </c>
      <c r="C4884" s="342" t="str">
        <f>("SCPFG2100D2H")</f>
        <v>SCPFG2100D2H</v>
      </c>
      <c r="D4884" s="340">
        <v>788</v>
      </c>
      <c r="E4884" s="343"/>
    </row>
    <row r="4885" spans="1:5" s="335" customFormat="1" ht="24">
      <c r="A4885" s="342" t="s">
        <v>3952</v>
      </c>
      <c r="B4885" s="342" t="s">
        <v>3953</v>
      </c>
      <c r="C4885" s="342" t="str">
        <f>("SCPFGAVQFXSA")</f>
        <v>SCPFGAVQFXSA</v>
      </c>
      <c r="D4885" s="340">
        <v>37</v>
      </c>
      <c r="E4885" s="343"/>
    </row>
    <row r="4886" spans="1:5" s="335" customFormat="1" ht="36">
      <c r="A4886" s="342" t="s">
        <v>3954</v>
      </c>
      <c r="B4886" s="342" t="s">
        <v>3955</v>
      </c>
      <c r="C4886" s="342" t="str">
        <f>("SCPFGVM1SPANA")</f>
        <v>SCPFGVM1SPANA</v>
      </c>
      <c r="D4886" s="340">
        <v>344</v>
      </c>
      <c r="E4886" s="343"/>
    </row>
    <row r="4887" spans="1:5" s="335" customFormat="1" ht="36">
      <c r="A4887" s="342" t="s">
        <v>3943</v>
      </c>
      <c r="B4887" s="342" t="s">
        <v>3956</v>
      </c>
      <c r="C4887" s="342" t="str">
        <f>("SCPFGVM2SPANA")</f>
        <v>SCPFGVM2SPANA</v>
      </c>
      <c r="D4887" s="340">
        <v>559</v>
      </c>
      <c r="E4887" s="343"/>
    </row>
    <row r="4888" spans="1:5" s="335" customFormat="1" ht="24">
      <c r="A4888" s="342" t="s">
        <v>3957</v>
      </c>
      <c r="B4888" s="342" t="s">
        <v>3958</v>
      </c>
      <c r="C4888" s="342" t="str">
        <f>("SCPFGVM4FXOA")</f>
        <v>SCPFGVM4FXOA</v>
      </c>
      <c r="D4888" s="340">
        <v>48</v>
      </c>
      <c r="E4888" s="343"/>
    </row>
    <row r="4889" spans="1:5" s="335" customFormat="1" ht="12.75">
      <c r="A4889" s="403" t="s">
        <v>3959</v>
      </c>
      <c r="B4889" s="403"/>
      <c r="C4889" s="403"/>
      <c r="D4889" s="403"/>
      <c r="E4889" s="343"/>
    </row>
    <row r="4890" spans="1:5" s="335" customFormat="1" ht="24">
      <c r="A4890" s="342" t="s">
        <v>3960</v>
      </c>
      <c r="B4890" s="342" t="s">
        <v>3961</v>
      </c>
      <c r="C4890" s="342" t="str">
        <f>("SCPFG2100D2MR")</f>
        <v>SCPFG2100D2MR</v>
      </c>
      <c r="D4890" s="340">
        <v>1050</v>
      </c>
      <c r="E4890" s="343"/>
    </row>
    <row r="4891" spans="1:5" s="335" customFormat="1" ht="24">
      <c r="A4891" s="342" t="s">
        <v>3962</v>
      </c>
      <c r="B4891" s="342" t="s">
        <v>3963</v>
      </c>
      <c r="C4891" s="342" t="str">
        <f>("SCPFG2100D4MR")</f>
        <v>SCPFG2100D4MR</v>
      </c>
      <c r="D4891" s="340">
        <v>1833</v>
      </c>
      <c r="E4891" s="343"/>
    </row>
    <row r="4892" spans="1:5" s="335" customFormat="1" ht="24">
      <c r="A4892" s="342" t="s">
        <v>3964</v>
      </c>
      <c r="B4892" s="342" t="s">
        <v>3965</v>
      </c>
      <c r="C4892" s="342" t="str">
        <f>("SCPFGAVQFXSMR")</f>
        <v>SCPFGAVQFXSMR</v>
      </c>
      <c r="D4892" s="340">
        <v>49</v>
      </c>
      <c r="E4892" s="343"/>
    </row>
    <row r="4893" spans="1:5" s="335" customFormat="1" ht="36">
      <c r="A4893" s="342" t="s">
        <v>3966</v>
      </c>
      <c r="B4893" s="342" t="s">
        <v>3967</v>
      </c>
      <c r="C4893" s="342" t="str">
        <f>("SCPFGVM1SPANMR")</f>
        <v>SCPFGVM1SPANMR</v>
      </c>
      <c r="D4893" s="340">
        <v>458</v>
      </c>
      <c r="E4893" s="343"/>
    </row>
    <row r="4894" spans="1:5" s="335" customFormat="1" ht="36">
      <c r="A4894" s="342" t="s">
        <v>3968</v>
      </c>
      <c r="B4894" s="342" t="s">
        <v>3969</v>
      </c>
      <c r="C4894" s="342" t="str">
        <f>("SCPFGVM2SPANMR")</f>
        <v>SCPFGVM2SPANMR</v>
      </c>
      <c r="D4894" s="340">
        <v>745</v>
      </c>
      <c r="E4894" s="343"/>
    </row>
    <row r="4895" spans="1:5" s="335" customFormat="1" ht="12.75">
      <c r="A4895" s="403" t="s">
        <v>3970</v>
      </c>
      <c r="B4895" s="403"/>
      <c r="C4895" s="403"/>
      <c r="D4895" s="403"/>
      <c r="E4895" s="343"/>
    </row>
    <row r="4896" spans="1:5" s="335" customFormat="1" ht="24">
      <c r="A4896" s="342" t="s">
        <v>3971</v>
      </c>
      <c r="B4896" s="342" t="s">
        <v>3972</v>
      </c>
      <c r="C4896" s="342" t="str">
        <f>("SCPFG2100D2HR")</f>
        <v>SCPFG2100D2HR</v>
      </c>
      <c r="D4896" s="340">
        <v>788</v>
      </c>
      <c r="E4896" s="343"/>
    </row>
    <row r="4897" spans="1:5" s="335" customFormat="1" ht="24">
      <c r="A4897" s="342" t="s">
        <v>3973</v>
      </c>
      <c r="B4897" s="342" t="s">
        <v>3974</v>
      </c>
      <c r="C4897" s="342" t="str">
        <f>("SCPFG2100D4HR")</f>
        <v>SCPFG2100D4HR</v>
      </c>
      <c r="D4897" s="340">
        <v>1375</v>
      </c>
      <c r="E4897" s="343"/>
    </row>
    <row r="4898" spans="1:5" s="335" customFormat="1" ht="36">
      <c r="A4898" s="342" t="s">
        <v>3975</v>
      </c>
      <c r="B4898" s="342" t="s">
        <v>3976</v>
      </c>
      <c r="C4898" s="342" t="str">
        <f>("SCPFGAVQFXSAR")</f>
        <v>SCPFGAVQFXSAR</v>
      </c>
      <c r="D4898" s="340">
        <v>37</v>
      </c>
      <c r="E4898" s="343"/>
    </row>
    <row r="4899" spans="1:5" s="335" customFormat="1" ht="36">
      <c r="A4899" s="342" t="s">
        <v>3977</v>
      </c>
      <c r="B4899" s="342" t="s">
        <v>3978</v>
      </c>
      <c r="C4899" s="342" t="str">
        <f>("SCPFGVM1SPANAR")</f>
        <v>SCPFGVM1SPANAR</v>
      </c>
      <c r="D4899" s="340">
        <v>344</v>
      </c>
      <c r="E4899" s="343"/>
    </row>
    <row r="4900" spans="1:5" s="335" customFormat="1" ht="36">
      <c r="A4900" s="342" t="s">
        <v>3979</v>
      </c>
      <c r="B4900" s="342" t="s">
        <v>3980</v>
      </c>
      <c r="C4900" s="342" t="str">
        <f>("SCPFGVM2SPANAR")</f>
        <v>SCPFGVM2SPANAR</v>
      </c>
      <c r="D4900" s="340">
        <v>559</v>
      </c>
      <c r="E4900" s="343"/>
    </row>
    <row r="4901" spans="1:5" s="335" customFormat="1" ht="36">
      <c r="A4901" s="342" t="s">
        <v>3981</v>
      </c>
      <c r="B4901" s="342" t="s">
        <v>3982</v>
      </c>
      <c r="C4901" s="342" t="str">
        <f>("SCPFGVM4FXOAR")</f>
        <v>SCPFGVM4FXOAR</v>
      </c>
      <c r="D4901" s="340">
        <v>48</v>
      </c>
      <c r="E4901" s="343"/>
    </row>
    <row r="4902" spans="1:5" s="335" customFormat="1" ht="12.75">
      <c r="A4902" s="403" t="s">
        <v>3983</v>
      </c>
      <c r="B4902" s="403"/>
      <c r="C4902" s="403"/>
      <c r="D4902" s="403"/>
      <c r="E4902" s="343"/>
    </row>
    <row r="4903" spans="1:5" s="335" customFormat="1" ht="24">
      <c r="A4903" s="342" t="s">
        <v>3984</v>
      </c>
      <c r="B4903" s="342" t="s">
        <v>3985</v>
      </c>
      <c r="C4903" s="342" t="str">
        <f>("SCPRF2410004")</f>
        <v>SCPRF2410004</v>
      </c>
      <c r="D4903" s="340">
        <v>4745</v>
      </c>
      <c r="E4903" s="343"/>
    </row>
    <row r="4904" spans="1:5" s="335" customFormat="1" ht="24">
      <c r="A4904" s="342" t="s">
        <v>3986</v>
      </c>
      <c r="B4904" s="342" t="s">
        <v>3987</v>
      </c>
      <c r="C4904" s="342" t="str">
        <f>("SCPRF2410005")</f>
        <v>SCPRF2410005</v>
      </c>
      <c r="D4904" s="340">
        <v>8545</v>
      </c>
      <c r="E4904" s="343"/>
    </row>
    <row r="4905" spans="1:5" s="335" customFormat="1" ht="24">
      <c r="A4905" s="342" t="s">
        <v>3988</v>
      </c>
      <c r="B4905" s="342" t="s">
        <v>3989</v>
      </c>
      <c r="C4905" s="342" t="str">
        <f>("SCPRF2410006")</f>
        <v>SCPRF2410006</v>
      </c>
      <c r="D4905" s="340">
        <v>17995</v>
      </c>
      <c r="E4905" s="343"/>
    </row>
    <row r="4906" spans="1:5" s="335" customFormat="1" ht="12.75">
      <c r="A4906" s="403" t="s">
        <v>3990</v>
      </c>
      <c r="B4906" s="403"/>
      <c r="C4906" s="403"/>
      <c r="D4906" s="403"/>
      <c r="E4906" s="343"/>
    </row>
    <row r="4907" spans="1:5" s="335" customFormat="1" ht="24">
      <c r="A4907" s="342" t="s">
        <v>3991</v>
      </c>
      <c r="B4907" s="342" t="s">
        <v>3992</v>
      </c>
      <c r="C4907" s="342" t="str">
        <f>("7640018032")</f>
        <v>7640018032</v>
      </c>
      <c r="D4907" s="340">
        <v>30000</v>
      </c>
      <c r="E4907" s="343"/>
    </row>
    <row r="4908" spans="1:5" s="335" customFormat="1" ht="24">
      <c r="A4908" s="342" t="s">
        <v>3993</v>
      </c>
      <c r="B4908" s="342" t="s">
        <v>3994</v>
      </c>
      <c r="C4908" s="342" t="str">
        <f>("7640018033")</f>
        <v>7640018033</v>
      </c>
      <c r="D4908" s="340">
        <v>5000</v>
      </c>
      <c r="E4908" s="343"/>
    </row>
    <row r="4909" spans="1:5" s="335" customFormat="1" ht="12.75">
      <c r="A4909" s="403" t="s">
        <v>856</v>
      </c>
      <c r="B4909" s="403"/>
      <c r="C4909" s="403"/>
      <c r="D4909" s="403"/>
      <c r="E4909" s="343"/>
    </row>
    <row r="4910" spans="1:5" s="335" customFormat="1" ht="24">
      <c r="A4910" s="342" t="s">
        <v>3995</v>
      </c>
      <c r="B4910" s="342" t="s">
        <v>3996</v>
      </c>
      <c r="C4910" s="342" t="str">
        <f>("PRFSERVICE7A")</f>
        <v>PRFSERVICE7A</v>
      </c>
      <c r="D4910" s="340">
        <v>375</v>
      </c>
      <c r="E4910" s="343"/>
    </row>
    <row r="4911" spans="1:5" s="335" customFormat="1" ht="24">
      <c r="A4911" s="342" t="s">
        <v>3997</v>
      </c>
      <c r="B4911" s="342" t="s">
        <v>3998</v>
      </c>
      <c r="C4911" s="342" t="str">
        <f>("PRFSERVICE7T")</f>
        <v>PRFSERVICE7T</v>
      </c>
      <c r="D4911" s="340">
        <v>325</v>
      </c>
      <c r="E4911" s="343"/>
    </row>
    <row r="4912" spans="1:5" s="335" customFormat="1" ht="24">
      <c r="A4912" s="342" t="s">
        <v>3999</v>
      </c>
      <c r="B4912" s="342" t="s">
        <v>4000</v>
      </c>
      <c r="C4912" s="342" t="str">
        <f>("PRFSERVICEC")</f>
        <v>PRFSERVICEC</v>
      </c>
      <c r="D4912" s="340">
        <v>225</v>
      </c>
      <c r="E4912" s="343"/>
    </row>
    <row r="4913" spans="1:5" s="335" customFormat="1" ht="24">
      <c r="A4913" s="342" t="s">
        <v>4001</v>
      </c>
      <c r="B4913" s="342" t="s">
        <v>4002</v>
      </c>
      <c r="C4913" s="342" t="str">
        <f>("PRFSERVICECONSULT7")</f>
        <v>PRFSERVICECONSULT7</v>
      </c>
      <c r="D4913" s="340">
        <v>1500</v>
      </c>
      <c r="E4913" s="343"/>
    </row>
    <row r="4914" spans="1:5" s="335" customFormat="1" ht="24">
      <c r="A4914" s="342" t="s">
        <v>4003</v>
      </c>
      <c r="B4914" s="342" t="s">
        <v>4004</v>
      </c>
      <c r="C4914" s="342" t="str">
        <f>("PRFSERVICECSC")</f>
        <v>PRFSERVICECSC</v>
      </c>
      <c r="D4914" s="340">
        <v>1</v>
      </c>
      <c r="E4914" s="343"/>
    </row>
    <row r="4915" spans="1:5" s="335" customFormat="1" ht="24">
      <c r="A4915" s="342" t="s">
        <v>4005</v>
      </c>
      <c r="B4915" s="342" t="s">
        <v>4006</v>
      </c>
      <c r="C4915" s="342" t="str">
        <f>("PRFSERVICEHEALTH")</f>
        <v>PRFSERVICEHEALTH</v>
      </c>
      <c r="D4915" s="340">
        <v>3495</v>
      </c>
      <c r="E4915" s="343"/>
    </row>
    <row r="4916" spans="1:5" s="335" customFormat="1" ht="36">
      <c r="A4916" s="342" t="s">
        <v>4007</v>
      </c>
      <c r="B4916" s="342" t="s">
        <v>4008</v>
      </c>
      <c r="C4916" s="342" t="str">
        <f>("PRFSERVICETA")</f>
        <v>PRFSERVICETA</v>
      </c>
      <c r="D4916" s="340">
        <v>325</v>
      </c>
      <c r="E4916" s="343"/>
    </row>
    <row r="4917" spans="1:5" s="335" customFormat="1" ht="24">
      <c r="A4917" s="342" t="s">
        <v>4009</v>
      </c>
      <c r="B4917" s="342" t="s">
        <v>4010</v>
      </c>
      <c r="C4917" s="342" t="str">
        <f>("PRFTRAVEL")</f>
        <v>PRFTRAVEL</v>
      </c>
      <c r="D4917" s="340">
        <v>1</v>
      </c>
      <c r="E4917" s="343"/>
    </row>
    <row r="4918" spans="1:5" s="335" customFormat="1" ht="12.75">
      <c r="A4918" s="403" t="s">
        <v>1543</v>
      </c>
      <c r="B4918" s="403"/>
      <c r="C4918" s="403"/>
      <c r="D4918" s="403"/>
      <c r="E4918" s="343"/>
    </row>
    <row r="4919" spans="1:5" s="335" customFormat="1" ht="36">
      <c r="A4919" s="342" t="s">
        <v>3692</v>
      </c>
      <c r="B4919" s="342" t="s">
        <v>3692</v>
      </c>
      <c r="C4919" s="342" t="s">
        <v>6304</v>
      </c>
      <c r="D4919" s="340">
        <v>25</v>
      </c>
      <c r="E4919" s="343"/>
    </row>
    <row r="4920" spans="1:5" s="335" customFormat="1" ht="36">
      <c r="A4920" s="342" t="s">
        <v>3693</v>
      </c>
      <c r="B4920" s="342" t="s">
        <v>3694</v>
      </c>
      <c r="C4920" s="342" t="str">
        <f>("7640014076")</f>
        <v>7640014076</v>
      </c>
      <c r="D4920" s="340">
        <v>75</v>
      </c>
      <c r="E4920" s="343"/>
    </row>
    <row r="4921" spans="1:5" s="335" customFormat="1" ht="36">
      <c r="A4921" s="342" t="s">
        <v>3695</v>
      </c>
      <c r="B4921" s="342" t="s">
        <v>3696</v>
      </c>
      <c r="C4921" s="342" t="s">
        <v>6305</v>
      </c>
      <c r="D4921" s="340">
        <v>12</v>
      </c>
      <c r="E4921" s="343"/>
    </row>
    <row r="4922" spans="1:5" s="335" customFormat="1" ht="36">
      <c r="A4922" s="342" t="s">
        <v>3697</v>
      </c>
      <c r="B4922" s="342" t="s">
        <v>3698</v>
      </c>
      <c r="C4922" s="342" t="str">
        <f>("7640014078")</f>
        <v>7640014078</v>
      </c>
      <c r="D4922" s="340">
        <v>25</v>
      </c>
      <c r="E4922" s="343"/>
    </row>
    <row r="4923" spans="1:5" s="335" customFormat="1" ht="12.75">
      <c r="A4923" s="344"/>
      <c r="B4923" s="343"/>
      <c r="C4923" s="343"/>
      <c r="D4923" s="395"/>
      <c r="E4923" s="343"/>
    </row>
    <row r="4924" spans="1:5" s="335" customFormat="1" ht="15" customHeight="1">
      <c r="A4924" s="345"/>
      <c r="B4924" s="404" t="s">
        <v>4011</v>
      </c>
      <c r="C4924" s="404"/>
      <c r="D4924" s="404"/>
      <c r="E4924" s="404"/>
    </row>
    <row r="4925" spans="1:5" s="335" customFormat="1" ht="25.5">
      <c r="A4925" s="346" t="s">
        <v>789</v>
      </c>
      <c r="B4925" s="346" t="s">
        <v>409</v>
      </c>
      <c r="C4925" s="346" t="s">
        <v>26</v>
      </c>
      <c r="D4925" s="337" t="s">
        <v>6425</v>
      </c>
      <c r="E4925" s="343"/>
    </row>
    <row r="4926" spans="1:5" s="335" customFormat="1" ht="36">
      <c r="A4926" s="342" t="s">
        <v>4012</v>
      </c>
      <c r="B4926" s="342" t="s">
        <v>4013</v>
      </c>
      <c r="C4926" s="342" t="s">
        <v>6306</v>
      </c>
      <c r="D4926" s="340">
        <v>0</v>
      </c>
      <c r="E4926" s="343"/>
    </row>
    <row r="4927" spans="1:5" s="335" customFormat="1" ht="12.75">
      <c r="A4927" s="403" t="s">
        <v>3774</v>
      </c>
      <c r="B4927" s="403"/>
      <c r="C4927" s="403"/>
      <c r="D4927" s="403"/>
      <c r="E4927" s="343"/>
    </row>
    <row r="4928" spans="1:5" s="335" customFormat="1" ht="14.25">
      <c r="A4928" s="342" t="s">
        <v>4014</v>
      </c>
      <c r="B4928" s="342" t="s">
        <v>4015</v>
      </c>
      <c r="C4928" s="342" t="s">
        <v>6307</v>
      </c>
      <c r="D4928" s="340">
        <v>1995</v>
      </c>
      <c r="E4928" s="343"/>
    </row>
    <row r="4929" spans="1:5" s="335" customFormat="1" ht="24">
      <c r="A4929" s="342" t="s">
        <v>4016</v>
      </c>
      <c r="B4929" s="342" t="s">
        <v>4017</v>
      </c>
      <c r="C4929" s="342" t="str">
        <f>("SCPRFPGENTA")</f>
        <v>SCPRFPGENTA</v>
      </c>
      <c r="D4929" s="340">
        <v>5295</v>
      </c>
      <c r="E4929" s="343"/>
    </row>
    <row r="4930" spans="1:5" s="335" customFormat="1" ht="12.75">
      <c r="A4930" s="403" t="s">
        <v>4018</v>
      </c>
      <c r="B4930" s="403"/>
      <c r="C4930" s="403"/>
      <c r="D4930" s="403"/>
      <c r="E4930" s="343"/>
    </row>
    <row r="4931" spans="1:5" s="335" customFormat="1" ht="24">
      <c r="A4931" s="342" t="s">
        <v>4019</v>
      </c>
      <c r="B4931" s="342" t="s">
        <v>4020</v>
      </c>
      <c r="C4931" s="342" t="str">
        <f>("7640018034")</f>
        <v>7640018034</v>
      </c>
      <c r="D4931" s="340">
        <v>895</v>
      </c>
      <c r="E4931" s="343"/>
    </row>
    <row r="4932" spans="1:5" s="335" customFormat="1" ht="24">
      <c r="A4932" s="342" t="s">
        <v>4021</v>
      </c>
      <c r="B4932" s="342" t="s">
        <v>4022</v>
      </c>
      <c r="C4932" s="342" t="str">
        <f>("7640018054")</f>
        <v>7640018054</v>
      </c>
      <c r="D4932" s="340">
        <v>1445</v>
      </c>
      <c r="E4932" s="343"/>
    </row>
    <row r="4933" spans="1:5" s="335" customFormat="1" ht="24">
      <c r="A4933" s="342" t="s">
        <v>4023</v>
      </c>
      <c r="B4933" s="342" t="s">
        <v>4024</v>
      </c>
      <c r="C4933" s="342" t="str">
        <f>("7640018057")</f>
        <v>7640018057</v>
      </c>
      <c r="D4933" s="340">
        <v>550</v>
      </c>
      <c r="E4933" s="343"/>
    </row>
    <row r="4934" spans="1:5" s="335" customFormat="1" ht="12.75">
      <c r="A4934" s="403" t="s">
        <v>4025</v>
      </c>
      <c r="B4934" s="403"/>
      <c r="C4934" s="403"/>
      <c r="D4934" s="403"/>
      <c r="E4934" s="343"/>
    </row>
    <row r="4935" spans="1:5" s="335" customFormat="1" ht="24">
      <c r="A4935" s="342" t="s">
        <v>4026</v>
      </c>
      <c r="B4935" s="342" t="s">
        <v>4027</v>
      </c>
      <c r="C4935" s="342" t="str">
        <f>("7640018035")</f>
        <v>7640018035</v>
      </c>
      <c r="D4935" s="340">
        <v>1895</v>
      </c>
      <c r="E4935" s="343"/>
    </row>
    <row r="4936" spans="1:5" s="335" customFormat="1" ht="24">
      <c r="A4936" s="342" t="s">
        <v>4028</v>
      </c>
      <c r="B4936" s="342" t="s">
        <v>4029</v>
      </c>
      <c r="C4936" s="342" t="str">
        <f>("7640018036")</f>
        <v>7640018036</v>
      </c>
      <c r="D4936" s="340">
        <v>1895</v>
      </c>
      <c r="E4936" s="343"/>
    </row>
    <row r="4937" spans="1:5" s="335" customFormat="1" ht="12.75">
      <c r="A4937" s="342" t="s">
        <v>4030</v>
      </c>
      <c r="B4937" s="342" t="s">
        <v>4031</v>
      </c>
      <c r="C4937" s="342" t="str">
        <f>("7640018037")</f>
        <v>7640018037</v>
      </c>
      <c r="D4937" s="340">
        <v>1895</v>
      </c>
      <c r="E4937" s="343"/>
    </row>
    <row r="4938" spans="1:5" s="335" customFormat="1" ht="24">
      <c r="A4938" s="342" t="s">
        <v>4032</v>
      </c>
      <c r="B4938" s="342" t="s">
        <v>4033</v>
      </c>
      <c r="C4938" s="342" t="str">
        <f>("7640018038")</f>
        <v>7640018038</v>
      </c>
      <c r="D4938" s="340">
        <v>1995</v>
      </c>
      <c r="E4938" s="343"/>
    </row>
    <row r="4939" spans="1:5" s="335" customFormat="1" ht="12.75">
      <c r="A4939" s="403" t="s">
        <v>4034</v>
      </c>
      <c r="B4939" s="403"/>
      <c r="C4939" s="403"/>
      <c r="D4939" s="403"/>
      <c r="E4939" s="343"/>
    </row>
    <row r="4940" spans="1:5" s="335" customFormat="1" ht="24">
      <c r="A4940" s="342" t="s">
        <v>4035</v>
      </c>
      <c r="B4940" s="342" t="s">
        <v>4036</v>
      </c>
      <c r="C4940" s="342" t="str">
        <f>("7640004353")</f>
        <v>7640004353</v>
      </c>
      <c r="D4940" s="340">
        <v>395</v>
      </c>
      <c r="E4940" s="343"/>
    </row>
    <row r="4941" spans="1:5" s="335" customFormat="1" ht="24">
      <c r="A4941" s="342" t="s">
        <v>4037</v>
      </c>
      <c r="B4941" s="342" t="s">
        <v>4038</v>
      </c>
      <c r="C4941" s="342" t="str">
        <f>("7640004354")</f>
        <v>7640004354</v>
      </c>
      <c r="D4941" s="340">
        <v>295</v>
      </c>
      <c r="E4941" s="343"/>
    </row>
    <row r="4942" spans="1:5" s="335" customFormat="1" ht="24">
      <c r="A4942" s="342" t="s">
        <v>4039</v>
      </c>
      <c r="B4942" s="342" t="s">
        <v>4040</v>
      </c>
      <c r="C4942" s="342" t="str">
        <f>("7640004355")</f>
        <v>7640004355</v>
      </c>
      <c r="D4942" s="340">
        <v>125</v>
      </c>
      <c r="E4942" s="343"/>
    </row>
    <row r="4943" spans="1:5" s="335" customFormat="1" ht="36">
      <c r="A4943" s="342" t="s">
        <v>4041</v>
      </c>
      <c r="B4943" s="342" t="s">
        <v>4042</v>
      </c>
      <c r="C4943" s="342" t="str">
        <f>("7640004356")</f>
        <v>7640004356</v>
      </c>
      <c r="D4943" s="340">
        <v>75</v>
      </c>
      <c r="E4943" s="343"/>
    </row>
    <row r="4944" spans="1:5" s="335" customFormat="1" ht="12.75">
      <c r="A4944" s="403" t="s">
        <v>4043</v>
      </c>
      <c r="B4944" s="403"/>
      <c r="C4944" s="403"/>
      <c r="D4944" s="403"/>
      <c r="E4944" s="343"/>
    </row>
    <row r="4945" spans="1:5" s="335" customFormat="1" ht="24">
      <c r="A4945" s="342" t="s">
        <v>4044</v>
      </c>
      <c r="B4945" s="342" t="s">
        <v>4045</v>
      </c>
      <c r="C4945" s="342" t="str">
        <f>("7640018030")</f>
        <v>7640018030</v>
      </c>
      <c r="D4945" s="340">
        <v>1099</v>
      </c>
      <c r="E4945" s="343"/>
    </row>
    <row r="4946" spans="1:5" s="335" customFormat="1" ht="24">
      <c r="A4946" s="342" t="s">
        <v>4046</v>
      </c>
      <c r="B4946" s="342" t="s">
        <v>4047</v>
      </c>
      <c r="C4946" s="342" t="str">
        <f>("SCPRF2670004")</f>
        <v>SCPRF2670004</v>
      </c>
      <c r="D4946" s="340">
        <v>2197</v>
      </c>
      <c r="E4946" s="343"/>
    </row>
    <row r="4947" spans="1:5" s="335" customFormat="1" ht="24">
      <c r="A4947" s="342" t="s">
        <v>4048</v>
      </c>
      <c r="B4947" s="342" t="s">
        <v>4049</v>
      </c>
      <c r="C4947" s="342" t="str">
        <f>("SCPRF2670005")</f>
        <v>SCPRF2670005</v>
      </c>
      <c r="D4947" s="340">
        <v>4395</v>
      </c>
      <c r="E4947" s="343"/>
    </row>
    <row r="4948" spans="1:5" s="335" customFormat="1" ht="24">
      <c r="A4948" s="342" t="s">
        <v>4050</v>
      </c>
      <c r="B4948" s="342" t="s">
        <v>4051</v>
      </c>
      <c r="C4948" s="342" t="str">
        <f>("SCPRF2670006")</f>
        <v>SCPRF2670006</v>
      </c>
      <c r="D4948" s="340">
        <v>6592</v>
      </c>
      <c r="E4948" s="343"/>
    </row>
    <row r="4949" spans="1:5" s="335" customFormat="1" ht="24">
      <c r="A4949" s="342" t="s">
        <v>4052</v>
      </c>
      <c r="B4949" s="342" t="s">
        <v>4053</v>
      </c>
      <c r="C4949" s="342" t="str">
        <f>("SCPRF2670007")</f>
        <v>SCPRF2670007</v>
      </c>
      <c r="D4949" s="340">
        <v>13184</v>
      </c>
      <c r="E4949" s="343"/>
    </row>
    <row r="4950" spans="1:5" s="335" customFormat="1" ht="12.75">
      <c r="A4950" s="403" t="s">
        <v>4054</v>
      </c>
      <c r="B4950" s="403"/>
      <c r="C4950" s="403"/>
      <c r="D4950" s="403"/>
      <c r="E4950" s="343"/>
    </row>
    <row r="4951" spans="1:5" s="335" customFormat="1" ht="24">
      <c r="A4951" s="342" t="s">
        <v>4055</v>
      </c>
      <c r="B4951" s="342" t="s">
        <v>4056</v>
      </c>
      <c r="C4951" s="342" t="str">
        <f>("7640018015")</f>
        <v>7640018015</v>
      </c>
      <c r="D4951" s="340">
        <v>4600</v>
      </c>
      <c r="E4951" s="343"/>
    </row>
    <row r="4952" spans="1:5" s="335" customFormat="1" ht="36">
      <c r="A4952" s="342" t="s">
        <v>4057</v>
      </c>
      <c r="B4952" s="342" t="s">
        <v>4058</v>
      </c>
      <c r="C4952" s="342" t="str">
        <f>("7640018021")</f>
        <v>7640018021</v>
      </c>
      <c r="D4952" s="340">
        <v>580</v>
      </c>
      <c r="E4952" s="343"/>
    </row>
    <row r="4953" spans="1:5" s="335" customFormat="1" ht="36">
      <c r="A4953" s="342" t="s">
        <v>4059</v>
      </c>
      <c r="B4953" s="342" t="s">
        <v>4060</v>
      </c>
      <c r="C4953" s="342" t="str">
        <f>("7640018024")</f>
        <v>7640018024</v>
      </c>
      <c r="D4953" s="340">
        <v>1050</v>
      </c>
      <c r="E4953" s="343"/>
    </row>
    <row r="4954" spans="1:5" s="335" customFormat="1" ht="24">
      <c r="A4954" s="342" t="s">
        <v>4061</v>
      </c>
      <c r="B4954" s="342" t="s">
        <v>4062</v>
      </c>
      <c r="C4954" s="342" t="str">
        <f>("SCPFGKPSAC")</f>
        <v>SCPFGKPSAC</v>
      </c>
      <c r="D4954" s="340">
        <v>380</v>
      </c>
      <c r="E4954" s="343"/>
    </row>
    <row r="4955" spans="1:5" s="335" customFormat="1" ht="12.75">
      <c r="A4955" s="403" t="s">
        <v>4063</v>
      </c>
      <c r="B4955" s="403"/>
      <c r="C4955" s="403"/>
      <c r="D4955" s="403"/>
      <c r="E4955" s="343"/>
    </row>
    <row r="4956" spans="1:5" s="335" customFormat="1" ht="24">
      <c r="A4956" s="342" t="s">
        <v>4064</v>
      </c>
      <c r="B4956" s="342" t="s">
        <v>4065</v>
      </c>
      <c r="C4956" s="342" t="str">
        <f>("7640018014")</f>
        <v>7640018014</v>
      </c>
      <c r="D4956" s="340">
        <v>767</v>
      </c>
      <c r="E4956" s="343"/>
    </row>
    <row r="4957" spans="1:5" s="335" customFormat="1" ht="36">
      <c r="A4957" s="342" t="s">
        <v>4066</v>
      </c>
      <c r="B4957" s="342" t="s">
        <v>4067</v>
      </c>
      <c r="C4957" s="342" t="str">
        <f>("7640018020")</f>
        <v>7640018020</v>
      </c>
      <c r="D4957" s="340">
        <v>97</v>
      </c>
      <c r="E4957" s="343"/>
    </row>
    <row r="4958" spans="1:5" s="335" customFormat="1" ht="36">
      <c r="A4958" s="342" t="s">
        <v>4068</v>
      </c>
      <c r="B4958" s="342" t="s">
        <v>4069</v>
      </c>
      <c r="C4958" s="342" t="str">
        <f>("7640018023")</f>
        <v>7640018023</v>
      </c>
      <c r="D4958" s="340">
        <v>175</v>
      </c>
      <c r="E4958" s="343"/>
    </row>
    <row r="4959" spans="1:5" s="335" customFormat="1" ht="24">
      <c r="A4959" s="342" t="s">
        <v>4070</v>
      </c>
      <c r="B4959" s="342" t="s">
        <v>4071</v>
      </c>
      <c r="C4959" s="342" t="str">
        <f>("SCPFGKPSACM")</f>
        <v>SCPFGKPSACM</v>
      </c>
      <c r="D4959" s="340">
        <v>63</v>
      </c>
      <c r="E4959" s="343"/>
    </row>
    <row r="4960" spans="1:5" s="335" customFormat="1" ht="12.75">
      <c r="A4960" s="403" t="s">
        <v>4072</v>
      </c>
      <c r="B4960" s="403"/>
      <c r="C4960" s="403"/>
      <c r="D4960" s="403"/>
      <c r="E4960" s="343"/>
    </row>
    <row r="4961" spans="1:5" s="335" customFormat="1" ht="36">
      <c r="A4961" s="342" t="s">
        <v>4073</v>
      </c>
      <c r="B4961" s="342" t="s">
        <v>4074</v>
      </c>
      <c r="C4961" s="342" t="str">
        <f>("7640018013")</f>
        <v>7640018013</v>
      </c>
      <c r="D4961" s="340">
        <v>575</v>
      </c>
      <c r="E4961" s="343"/>
    </row>
    <row r="4962" spans="1:5" s="335" customFormat="1" ht="36">
      <c r="A4962" s="342" t="s">
        <v>4075</v>
      </c>
      <c r="B4962" s="342" t="s">
        <v>4076</v>
      </c>
      <c r="C4962" s="342" t="str">
        <f>("7640018019")</f>
        <v>7640018019</v>
      </c>
      <c r="D4962" s="340">
        <v>73</v>
      </c>
      <c r="E4962" s="343"/>
    </row>
    <row r="4963" spans="1:5" s="335" customFormat="1" ht="36">
      <c r="A4963" s="342" t="s">
        <v>4077</v>
      </c>
      <c r="B4963" s="342" t="s">
        <v>4078</v>
      </c>
      <c r="C4963" s="342" t="str">
        <f>("7640018022")</f>
        <v>7640018022</v>
      </c>
      <c r="D4963" s="340">
        <v>131</v>
      </c>
      <c r="E4963" s="343"/>
    </row>
    <row r="4964" spans="1:5" s="335" customFormat="1" ht="24">
      <c r="A4964" s="342" t="s">
        <v>4079</v>
      </c>
      <c r="B4964" s="342" t="s">
        <v>4080</v>
      </c>
      <c r="C4964" s="342" t="str">
        <f>("7640018031")</f>
        <v>7640018031</v>
      </c>
      <c r="D4964" s="340">
        <v>1</v>
      </c>
      <c r="E4964" s="343"/>
    </row>
    <row r="4965" spans="1:5" s="335" customFormat="1" ht="24">
      <c r="A4965" s="342" t="s">
        <v>4081</v>
      </c>
      <c r="B4965" s="342" t="s">
        <v>4082</v>
      </c>
      <c r="C4965" s="342" t="str">
        <f>("SCPFGKPSACA")</f>
        <v>SCPFGKPSACA</v>
      </c>
      <c r="D4965" s="340">
        <v>48</v>
      </c>
      <c r="E4965" s="343"/>
    </row>
    <row r="4966" spans="1:5" s="335" customFormat="1" ht="12.75">
      <c r="A4966" s="403" t="s">
        <v>3916</v>
      </c>
      <c r="B4966" s="403"/>
      <c r="C4966" s="403"/>
      <c r="D4966" s="403"/>
      <c r="E4966" s="343"/>
    </row>
    <row r="4967" spans="1:5" s="335" customFormat="1" ht="24">
      <c r="A4967" s="342" t="s">
        <v>4083</v>
      </c>
      <c r="B4967" s="342" t="s">
        <v>4084</v>
      </c>
      <c r="C4967" s="342" t="str">
        <f>("SCPFG2100D1MR")</f>
        <v>SCPFG2100D1MR</v>
      </c>
      <c r="D4967" s="340">
        <v>767</v>
      </c>
      <c r="E4967" s="343"/>
    </row>
    <row r="4968" spans="1:5" s="335" customFormat="1" ht="24">
      <c r="A4968" s="342" t="s">
        <v>4085</v>
      </c>
      <c r="B4968" s="342" t="s">
        <v>4086</v>
      </c>
      <c r="C4968" s="342" t="str">
        <f>("SCPFG304A4MR")</f>
        <v>SCPFG304A4MR</v>
      </c>
      <c r="D4968" s="340">
        <v>97</v>
      </c>
      <c r="E4968" s="343"/>
    </row>
    <row r="4969" spans="1:5" s="335" customFormat="1" ht="24">
      <c r="A4969" s="342" t="s">
        <v>4087</v>
      </c>
      <c r="B4969" s="342" t="s">
        <v>4088</v>
      </c>
      <c r="C4969" s="342" t="str">
        <f>("SCPFG308A8MR")</f>
        <v>SCPFG308A8MR</v>
      </c>
      <c r="D4969" s="340">
        <v>175</v>
      </c>
      <c r="E4969" s="343"/>
    </row>
    <row r="4970" spans="1:5" s="335" customFormat="1" ht="36">
      <c r="A4970" s="342" t="s">
        <v>4089</v>
      </c>
      <c r="B4970" s="342" t="s">
        <v>4090</v>
      </c>
      <c r="C4970" s="342" t="str">
        <f>("SCPFGKPSACMR")</f>
        <v>SCPFGKPSACMR</v>
      </c>
      <c r="D4970" s="340">
        <v>63</v>
      </c>
      <c r="E4970" s="343"/>
    </row>
    <row r="4971" spans="1:5" s="335" customFormat="1" ht="24">
      <c r="A4971" s="342" t="s">
        <v>3917</v>
      </c>
      <c r="B4971" s="342" t="s">
        <v>3918</v>
      </c>
      <c r="C4971" s="342" t="str">
        <f>("SCPFGVM4FXOMR")</f>
        <v>SCPFGVM4FXOMR</v>
      </c>
      <c r="D4971" s="340">
        <v>63</v>
      </c>
      <c r="E4971" s="343"/>
    </row>
    <row r="4972" spans="1:5" s="335" customFormat="1" ht="12.75">
      <c r="A4972" s="403" t="s">
        <v>4091</v>
      </c>
      <c r="B4972" s="403"/>
      <c r="C4972" s="403"/>
      <c r="D4972" s="403"/>
      <c r="E4972" s="343"/>
    </row>
    <row r="4973" spans="1:5" s="335" customFormat="1" ht="24">
      <c r="A4973" s="342" t="s">
        <v>4092</v>
      </c>
      <c r="B4973" s="342" t="s">
        <v>4093</v>
      </c>
      <c r="C4973" s="342" t="str">
        <f>("SCPFG2100D1HR")</f>
        <v>SCPFG2100D1HR</v>
      </c>
      <c r="D4973" s="340">
        <v>575</v>
      </c>
      <c r="E4973" s="343"/>
    </row>
    <row r="4974" spans="1:5" s="335" customFormat="1" ht="24">
      <c r="A4974" s="342" t="s">
        <v>4094</v>
      </c>
      <c r="B4974" s="342" t="s">
        <v>4095</v>
      </c>
      <c r="C4974" s="342" t="str">
        <f>("SCPFG304A4HR")</f>
        <v>SCPFG304A4HR</v>
      </c>
      <c r="D4974" s="340">
        <v>73</v>
      </c>
      <c r="E4974" s="343"/>
    </row>
    <row r="4975" spans="1:5" s="335" customFormat="1" ht="24">
      <c r="A4975" s="342" t="s">
        <v>4096</v>
      </c>
      <c r="B4975" s="342" t="s">
        <v>4097</v>
      </c>
      <c r="C4975" s="342" t="str">
        <f>("SCPFG308A8HR")</f>
        <v>SCPFG308A8HR</v>
      </c>
      <c r="D4975" s="340">
        <v>131</v>
      </c>
      <c r="E4975" s="343"/>
    </row>
    <row r="4976" spans="1:5" s="335" customFormat="1" ht="36">
      <c r="A4976" s="342" t="s">
        <v>4098</v>
      </c>
      <c r="B4976" s="342" t="s">
        <v>4099</v>
      </c>
      <c r="C4976" s="342" t="str">
        <f>("SCPFGKPSACAR")</f>
        <v>SCPFGKPSACAR</v>
      </c>
      <c r="D4976" s="340">
        <v>48</v>
      </c>
      <c r="E4976" s="343"/>
    </row>
    <row r="4977" spans="1:5" s="335" customFormat="1" ht="24">
      <c r="A4977" s="342" t="s">
        <v>4100</v>
      </c>
      <c r="B4977" s="342" t="s">
        <v>4101</v>
      </c>
      <c r="C4977" s="342" t="str">
        <f>("SCPRFCPADVREPLA")</f>
        <v>SCPRFCPADVREPLA</v>
      </c>
      <c r="D4977" s="340">
        <v>1</v>
      </c>
      <c r="E4977" s="343"/>
    </row>
    <row r="4978" spans="1:5" s="335" customFormat="1" ht="12.75">
      <c r="A4978" s="403" t="s">
        <v>4102</v>
      </c>
      <c r="B4978" s="403"/>
      <c r="C4978" s="403"/>
      <c r="D4978" s="403"/>
      <c r="E4978" s="343"/>
    </row>
    <row r="4979" spans="1:5" s="335" customFormat="1" ht="24">
      <c r="A4979" s="342" t="s">
        <v>4103</v>
      </c>
      <c r="B4979" s="342" t="s">
        <v>4104</v>
      </c>
      <c r="C4979" s="342" t="str">
        <f>("7640018025")</f>
        <v>7640018025</v>
      </c>
      <c r="D4979" s="340">
        <v>1</v>
      </c>
      <c r="E4979" s="343"/>
    </row>
    <row r="4980" spans="1:5" s="335" customFormat="1" ht="24">
      <c r="A4980" s="342" t="s">
        <v>4105</v>
      </c>
      <c r="B4980" s="342" t="s">
        <v>4106</v>
      </c>
      <c r="C4980" s="342" t="str">
        <f>("SCPSTNDSUPPORTA")</f>
        <v>SCPSTNDSUPPORTA</v>
      </c>
      <c r="D4980" s="340">
        <v>1</v>
      </c>
      <c r="E4980" s="343"/>
    </row>
    <row r="4981" spans="1:5" s="335" customFormat="1" ht="36">
      <c r="A4981" s="342" t="s">
        <v>4107</v>
      </c>
      <c r="B4981" s="342" t="s">
        <v>4108</v>
      </c>
      <c r="C4981" s="342" t="str">
        <f>("SCPSTNDSUPPORTR")</f>
        <v>SCPSTNDSUPPORTR</v>
      </c>
      <c r="D4981" s="340">
        <v>1</v>
      </c>
      <c r="E4981" s="343"/>
    </row>
    <row r="4982" spans="1:5" s="335" customFormat="1" ht="12.75">
      <c r="A4982" s="403" t="s">
        <v>4109</v>
      </c>
      <c r="B4982" s="403"/>
      <c r="C4982" s="403"/>
      <c r="D4982" s="403"/>
      <c r="E4982" s="343"/>
    </row>
    <row r="4983" spans="1:5" s="335" customFormat="1" ht="24">
      <c r="A4983" s="342" t="s">
        <v>4110</v>
      </c>
      <c r="B4983" s="342" t="s">
        <v>4111</v>
      </c>
      <c r="C4983" s="342" t="str">
        <f>("SCPRF2410003")</f>
        <v>SCPRF2410003</v>
      </c>
      <c r="D4983" s="340">
        <v>1795</v>
      </c>
      <c r="E4983" s="343"/>
    </row>
    <row r="4984" spans="1:5" s="335" customFormat="1" ht="12.75">
      <c r="A4984" s="403" t="s">
        <v>856</v>
      </c>
      <c r="B4984" s="403"/>
      <c r="C4984" s="403"/>
      <c r="D4984" s="403"/>
      <c r="E4984" s="343"/>
    </row>
    <row r="4985" spans="1:5" s="335" customFormat="1" ht="36">
      <c r="A4985" s="342" t="s">
        <v>1947</v>
      </c>
      <c r="B4985" s="342" t="s">
        <v>1948</v>
      </c>
      <c r="C4985" s="342" t="str">
        <f>("7640018005")</f>
        <v>7640018005</v>
      </c>
      <c r="D4985" s="340">
        <v>1800</v>
      </c>
      <c r="E4985" s="343"/>
    </row>
    <row r="4986" spans="1:5" s="335" customFormat="1" ht="24">
      <c r="A4986" s="342" t="s">
        <v>4112</v>
      </c>
      <c r="B4986" s="342" t="s">
        <v>4113</v>
      </c>
      <c r="C4986" s="342" t="str">
        <f>("7640018006")</f>
        <v>7640018006</v>
      </c>
      <c r="D4986" s="340">
        <v>1395</v>
      </c>
      <c r="E4986" s="343"/>
    </row>
    <row r="4987" spans="1:5" s="335" customFormat="1" ht="24">
      <c r="A4987" s="342" t="s">
        <v>4114</v>
      </c>
      <c r="B4987" s="342" t="s">
        <v>4115</v>
      </c>
      <c r="C4987" s="342" t="str">
        <f>("7640018007")</f>
        <v>7640018007</v>
      </c>
      <c r="D4987" s="340">
        <v>1000</v>
      </c>
      <c r="E4987" s="343"/>
    </row>
    <row r="4988" spans="1:5" s="335" customFormat="1" ht="24">
      <c r="A4988" s="342" t="s">
        <v>4116</v>
      </c>
      <c r="B4988" s="342" t="s">
        <v>4117</v>
      </c>
      <c r="C4988" s="342" t="str">
        <f>("7640018008")</f>
        <v>7640018008</v>
      </c>
      <c r="D4988" s="340">
        <v>400</v>
      </c>
      <c r="E4988" s="343"/>
    </row>
    <row r="4989" spans="1:5" s="335" customFormat="1" ht="24">
      <c r="A4989" s="342" t="s">
        <v>4118</v>
      </c>
      <c r="B4989" s="342" t="s">
        <v>4119</v>
      </c>
      <c r="C4989" s="342" t="str">
        <f>("7640018009")</f>
        <v>7640018009</v>
      </c>
      <c r="D4989" s="340">
        <v>400</v>
      </c>
      <c r="E4989" s="343"/>
    </row>
    <row r="4990" spans="1:5" s="335" customFormat="1" ht="36">
      <c r="A4990" s="342" t="s">
        <v>4120</v>
      </c>
      <c r="B4990" s="342" t="s">
        <v>4121</v>
      </c>
      <c r="C4990" s="342" t="str">
        <f>("7640018010")</f>
        <v>7640018010</v>
      </c>
      <c r="D4990" s="340">
        <v>400</v>
      </c>
      <c r="E4990" s="343"/>
    </row>
    <row r="4991" spans="1:5" s="335" customFormat="1" ht="24">
      <c r="A4991" s="342" t="s">
        <v>4122</v>
      </c>
      <c r="B4991" s="342" t="s">
        <v>4123</v>
      </c>
      <c r="C4991" s="342" t="str">
        <f>("7640018011")</f>
        <v>7640018011</v>
      </c>
      <c r="D4991" s="340">
        <v>400</v>
      </c>
      <c r="E4991" s="343"/>
    </row>
    <row r="4992" spans="1:5" s="335" customFormat="1" ht="36">
      <c r="A4992" s="342" t="s">
        <v>4124</v>
      </c>
      <c r="B4992" s="342" t="s">
        <v>4125</v>
      </c>
      <c r="C4992" s="342" t="str">
        <f>("7640018012")</f>
        <v>7640018012</v>
      </c>
      <c r="D4992" s="340">
        <v>400</v>
      </c>
      <c r="E4992" s="343"/>
    </row>
    <row r="4993" spans="1:5" s="335" customFormat="1" ht="12.75">
      <c r="A4993" s="342" t="s">
        <v>4126</v>
      </c>
      <c r="B4993" s="342" t="s">
        <v>4127</v>
      </c>
      <c r="C4993" s="342" t="str">
        <f>("PRFSERVICEA")</f>
        <v>PRFSERVICEA</v>
      </c>
      <c r="D4993" s="340">
        <v>250</v>
      </c>
      <c r="E4993" s="343"/>
    </row>
    <row r="4994" spans="1:5" s="335" customFormat="1" ht="12.75">
      <c r="A4994" s="342" t="s">
        <v>4128</v>
      </c>
      <c r="B4994" s="342" t="s">
        <v>4129</v>
      </c>
      <c r="C4994" s="342" t="str">
        <f>("PRFSERVICEE1")</f>
        <v>PRFSERVICEE1</v>
      </c>
      <c r="D4994" s="340">
        <v>2000</v>
      </c>
      <c r="E4994" s="343"/>
    </row>
    <row r="4995" spans="1:5" s="335" customFormat="1" ht="24">
      <c r="A4995" s="342" t="s">
        <v>4130</v>
      </c>
      <c r="B4995" s="342" t="s">
        <v>4131</v>
      </c>
      <c r="C4995" s="342" t="str">
        <f>("PRFSERVICEE2")</f>
        <v>PRFSERVICEE2</v>
      </c>
      <c r="D4995" s="340">
        <v>4000</v>
      </c>
      <c r="E4995" s="343"/>
    </row>
    <row r="4996" spans="1:5" s="335" customFormat="1" ht="36">
      <c r="A4996" s="342" t="s">
        <v>4132</v>
      </c>
      <c r="B4996" s="342" t="s">
        <v>4133</v>
      </c>
      <c r="C4996" s="342" t="str">
        <f>("PRFSERVICET")</f>
        <v>PRFSERVICET</v>
      </c>
      <c r="D4996" s="340">
        <v>325</v>
      </c>
      <c r="E4996" s="343"/>
    </row>
    <row r="4997" spans="1:5" s="335" customFormat="1" ht="12.75">
      <c r="A4997" s="403" t="s">
        <v>1543</v>
      </c>
      <c r="B4997" s="403"/>
      <c r="C4997" s="403"/>
      <c r="D4997" s="403"/>
      <c r="E4997" s="343"/>
    </row>
    <row r="4998" spans="1:5" s="335" customFormat="1" ht="36">
      <c r="A4998" s="342" t="s">
        <v>3692</v>
      </c>
      <c r="B4998" s="342" t="s">
        <v>3692</v>
      </c>
      <c r="C4998" s="342" t="s">
        <v>6308</v>
      </c>
      <c r="D4998" s="340">
        <v>25</v>
      </c>
      <c r="E4998" s="343"/>
    </row>
    <row r="4999" spans="1:5" s="335" customFormat="1" ht="36">
      <c r="A4999" s="342" t="s">
        <v>3693</v>
      </c>
      <c r="B4999" s="342" t="s">
        <v>3694</v>
      </c>
      <c r="C4999" s="342" t="str">
        <f>("7640014076")</f>
        <v>7640014076</v>
      </c>
      <c r="D4999" s="340">
        <v>75</v>
      </c>
      <c r="E4999" s="343"/>
    </row>
    <row r="5000" spans="1:5" s="335" customFormat="1" ht="36">
      <c r="A5000" s="342" t="s">
        <v>3695</v>
      </c>
      <c r="B5000" s="342" t="s">
        <v>3696</v>
      </c>
      <c r="C5000" s="342" t="s">
        <v>6309</v>
      </c>
      <c r="D5000" s="340">
        <v>12</v>
      </c>
      <c r="E5000" s="343"/>
    </row>
    <row r="5001" spans="1:5" s="335" customFormat="1" ht="36">
      <c r="A5001" s="342" t="s">
        <v>3697</v>
      </c>
      <c r="B5001" s="342" t="s">
        <v>3698</v>
      </c>
      <c r="C5001" s="342" t="str">
        <f>("7640014078")</f>
        <v>7640014078</v>
      </c>
      <c r="D5001" s="340">
        <v>25</v>
      </c>
      <c r="E5001" s="343"/>
    </row>
    <row r="5002" spans="1:5" s="335" customFormat="1" ht="12.75">
      <c r="A5002" s="344"/>
      <c r="B5002" s="343"/>
      <c r="C5002" s="343"/>
      <c r="D5002" s="395"/>
      <c r="E5002" s="343"/>
    </row>
    <row r="5003" spans="1:5" s="335" customFormat="1" ht="15" customHeight="1">
      <c r="A5003" s="345"/>
      <c r="B5003" s="404" t="s">
        <v>4134</v>
      </c>
      <c r="C5003" s="404"/>
      <c r="D5003" s="404"/>
      <c r="E5003" s="404"/>
    </row>
    <row r="5004" spans="1:5" s="335" customFormat="1" ht="25.5">
      <c r="A5004" s="346" t="s">
        <v>789</v>
      </c>
      <c r="B5004" s="346" t="s">
        <v>409</v>
      </c>
      <c r="C5004" s="346" t="s">
        <v>26</v>
      </c>
      <c r="D5004" s="337" t="s">
        <v>6425</v>
      </c>
      <c r="E5004" s="343"/>
    </row>
    <row r="5005" spans="1:5" s="335" customFormat="1" ht="24">
      <c r="A5005" s="342" t="s">
        <v>4135</v>
      </c>
      <c r="B5005" s="342" t="s">
        <v>4135</v>
      </c>
      <c r="C5005" s="342" t="s">
        <v>6310</v>
      </c>
      <c r="D5005" s="340">
        <v>0</v>
      </c>
      <c r="E5005" s="343"/>
    </row>
    <row r="5006" spans="1:5" s="335" customFormat="1" ht="12.75">
      <c r="A5006" s="402" t="s">
        <v>1587</v>
      </c>
      <c r="B5006" s="402"/>
      <c r="C5006" s="402"/>
      <c r="D5006" s="402"/>
      <c r="E5006" s="343"/>
    </row>
    <row r="5007" spans="1:5" s="335" customFormat="1" ht="24">
      <c r="A5007" s="342" t="s">
        <v>4136</v>
      </c>
      <c r="B5007" s="342" t="s">
        <v>4137</v>
      </c>
      <c r="C5007" s="342" t="s">
        <v>6311</v>
      </c>
      <c r="D5007" s="340">
        <v>1850</v>
      </c>
      <c r="E5007" s="343"/>
    </row>
    <row r="5008" spans="1:5" s="335" customFormat="1" ht="36">
      <c r="A5008" s="342" t="s">
        <v>4138</v>
      </c>
      <c r="B5008" s="342" t="s">
        <v>4139</v>
      </c>
      <c r="C5008" s="342" t="str">
        <f>("A0DY0Y4")</f>
        <v>A0DY0Y4</v>
      </c>
      <c r="D5008" s="340">
        <v>415</v>
      </c>
      <c r="E5008" s="343"/>
    </row>
    <row r="5009" spans="1:5" s="335" customFormat="1" ht="36">
      <c r="A5009" s="342" t="s">
        <v>4140</v>
      </c>
      <c r="B5009" s="342" t="s">
        <v>4141</v>
      </c>
      <c r="C5009" s="342" t="str">
        <f>("A0DY0Y5")</f>
        <v>A0DY0Y5</v>
      </c>
      <c r="D5009" s="340">
        <v>1625</v>
      </c>
      <c r="E5009" s="343"/>
    </row>
    <row r="5010" spans="1:5" s="335" customFormat="1" ht="36">
      <c r="A5010" s="342" t="s">
        <v>4142</v>
      </c>
      <c r="B5010" s="342" t="s">
        <v>4143</v>
      </c>
      <c r="C5010" s="342" t="str">
        <f>("A0DY0Y7")</f>
        <v>A0DY0Y7</v>
      </c>
      <c r="D5010" s="340">
        <v>6350</v>
      </c>
      <c r="E5010" s="343"/>
    </row>
    <row r="5011" spans="1:5" s="335" customFormat="1" ht="36">
      <c r="A5011" s="342" t="s">
        <v>4144</v>
      </c>
      <c r="B5011" s="342" t="s">
        <v>4145</v>
      </c>
      <c r="C5011" s="342" t="str">
        <f>("A0DY0Y8")</f>
        <v>A0DY0Y8</v>
      </c>
      <c r="D5011" s="340">
        <v>28550</v>
      </c>
      <c r="E5011" s="343"/>
    </row>
    <row r="5012" spans="1:5" s="335" customFormat="1" ht="36">
      <c r="A5012" s="342" t="s">
        <v>4146</v>
      </c>
      <c r="B5012" s="342" t="s">
        <v>4147</v>
      </c>
      <c r="C5012" s="342" t="str">
        <f>("A0DY0Y9")</f>
        <v>A0DY0Y9</v>
      </c>
      <c r="D5012" s="340">
        <v>1482</v>
      </c>
      <c r="E5012" s="343"/>
    </row>
    <row r="5013" spans="1:5" s="335" customFormat="1" ht="24">
      <c r="A5013" s="342" t="s">
        <v>4148</v>
      </c>
      <c r="B5013" s="342" t="s">
        <v>4149</v>
      </c>
      <c r="C5013" s="342" t="str">
        <f>("A0E00Y4")</f>
        <v>A0E00Y4</v>
      </c>
      <c r="D5013" s="340">
        <v>415</v>
      </c>
      <c r="E5013" s="343"/>
    </row>
    <row r="5014" spans="1:5" s="335" customFormat="1" ht="24">
      <c r="A5014" s="342" t="s">
        <v>4150</v>
      </c>
      <c r="B5014" s="342" t="s">
        <v>4151</v>
      </c>
      <c r="C5014" s="342" t="str">
        <f>("A0E00Y5")</f>
        <v>A0E00Y5</v>
      </c>
      <c r="D5014" s="340">
        <v>1625</v>
      </c>
      <c r="E5014" s="343"/>
    </row>
    <row r="5015" spans="1:5" s="335" customFormat="1" ht="36">
      <c r="A5015" s="342" t="s">
        <v>4152</v>
      </c>
      <c r="B5015" s="342" t="s">
        <v>4153</v>
      </c>
      <c r="C5015" s="342" t="str">
        <f>("A0E00Y7")</f>
        <v>A0E00Y7</v>
      </c>
      <c r="D5015" s="340">
        <v>6350</v>
      </c>
      <c r="E5015" s="343"/>
    </row>
    <row r="5016" spans="1:5" s="335" customFormat="1" ht="36">
      <c r="A5016" s="342" t="s">
        <v>4154</v>
      </c>
      <c r="B5016" s="342" t="s">
        <v>4155</v>
      </c>
      <c r="C5016" s="342" t="str">
        <f>("A0E00Y8")</f>
        <v>A0E00Y8</v>
      </c>
      <c r="D5016" s="340">
        <v>28550</v>
      </c>
      <c r="E5016" s="343"/>
    </row>
    <row r="5017" spans="1:5" s="335" customFormat="1" ht="24">
      <c r="A5017" s="342" t="s">
        <v>4156</v>
      </c>
      <c r="B5017" s="342" t="s">
        <v>4157</v>
      </c>
      <c r="C5017" s="342" t="str">
        <f>("A0E00Y9")</f>
        <v>A0E00Y9</v>
      </c>
      <c r="D5017" s="340">
        <v>605</v>
      </c>
      <c r="E5017" s="343"/>
    </row>
    <row r="5018" spans="1:5" s="335" customFormat="1" ht="24">
      <c r="A5018" s="342" t="s">
        <v>4158</v>
      </c>
      <c r="B5018" s="342" t="s">
        <v>4159</v>
      </c>
      <c r="C5018" s="342" t="str">
        <f>("A0PF0Y4")</f>
        <v>A0PF0Y4</v>
      </c>
      <c r="D5018" s="340">
        <v>415</v>
      </c>
      <c r="E5018" s="343"/>
    </row>
    <row r="5019" spans="1:5" s="335" customFormat="1" ht="24">
      <c r="A5019" s="342" t="s">
        <v>4160</v>
      </c>
      <c r="B5019" s="342" t="s">
        <v>4161</v>
      </c>
      <c r="C5019" s="342" t="str">
        <f>("A0PF0Y5")</f>
        <v>A0PF0Y5</v>
      </c>
      <c r="D5019" s="340">
        <v>1625</v>
      </c>
      <c r="E5019" s="343"/>
    </row>
    <row r="5020" spans="1:5" s="335" customFormat="1" ht="36">
      <c r="A5020" s="342" t="s">
        <v>4162</v>
      </c>
      <c r="B5020" s="342" t="s">
        <v>4163</v>
      </c>
      <c r="C5020" s="342" t="str">
        <f>("A0PF0Y7")</f>
        <v>A0PF0Y7</v>
      </c>
      <c r="D5020" s="340">
        <v>6350</v>
      </c>
      <c r="E5020" s="343"/>
    </row>
    <row r="5021" spans="1:5" s="335" customFormat="1" ht="36">
      <c r="A5021" s="342" t="s">
        <v>4164</v>
      </c>
      <c r="B5021" s="342" t="s">
        <v>4165</v>
      </c>
      <c r="C5021" s="342" t="str">
        <f>("A0PF0Y8")</f>
        <v>A0PF0Y8</v>
      </c>
      <c r="D5021" s="340">
        <v>28550</v>
      </c>
      <c r="E5021" s="343"/>
    </row>
    <row r="5022" spans="1:5" s="335" customFormat="1" ht="24">
      <c r="A5022" s="342" t="s">
        <v>4166</v>
      </c>
      <c r="B5022" s="342" t="s">
        <v>4167</v>
      </c>
      <c r="C5022" s="342" t="str">
        <f>("A0PF0Y9")</f>
        <v>A0PF0Y9</v>
      </c>
      <c r="D5022" s="340">
        <v>605</v>
      </c>
      <c r="E5022" s="343"/>
    </row>
    <row r="5023" spans="1:5" s="335" customFormat="1" ht="24">
      <c r="A5023" s="342" t="s">
        <v>4168</v>
      </c>
      <c r="B5023" s="342" t="s">
        <v>4168</v>
      </c>
      <c r="C5023" s="342" t="str">
        <f>("A2AR0Y4")</f>
        <v>A2AR0Y4</v>
      </c>
      <c r="D5023" s="340">
        <v>430</v>
      </c>
      <c r="E5023" s="343"/>
    </row>
    <row r="5024" spans="1:5" s="335" customFormat="1" ht="24">
      <c r="A5024" s="342" t="s">
        <v>4169</v>
      </c>
      <c r="B5024" s="342" t="s">
        <v>4169</v>
      </c>
      <c r="C5024" s="342" t="str">
        <f>("A2AR0Y5")</f>
        <v>A2AR0Y5</v>
      </c>
      <c r="D5024" s="340">
        <v>1673</v>
      </c>
      <c r="E5024" s="343"/>
    </row>
    <row r="5025" spans="1:5" s="335" customFormat="1" ht="24">
      <c r="A5025" s="342" t="s">
        <v>4170</v>
      </c>
      <c r="B5025" s="342" t="s">
        <v>4170</v>
      </c>
      <c r="C5025" s="342" t="str">
        <f>("A2AR0Y7")</f>
        <v>A2AR0Y7</v>
      </c>
      <c r="D5025" s="340">
        <v>6525</v>
      </c>
      <c r="E5025" s="343"/>
    </row>
    <row r="5026" spans="1:5" s="335" customFormat="1" ht="24">
      <c r="A5026" s="342" t="s">
        <v>4171</v>
      </c>
      <c r="B5026" s="342" t="s">
        <v>4171</v>
      </c>
      <c r="C5026" s="342" t="str">
        <f>("A2AR0Y8")</f>
        <v>A2AR0Y8</v>
      </c>
      <c r="D5026" s="340">
        <v>29375</v>
      </c>
      <c r="E5026" s="343"/>
    </row>
    <row r="5027" spans="1:5" s="335" customFormat="1" ht="24">
      <c r="A5027" s="342" t="s">
        <v>4172</v>
      </c>
      <c r="B5027" s="342" t="s">
        <v>4173</v>
      </c>
      <c r="C5027" s="342" t="str">
        <f>("A2AR0Y9")</f>
        <v>A2AR0Y9</v>
      </c>
      <c r="D5027" s="340">
        <v>508</v>
      </c>
      <c r="E5027" s="343"/>
    </row>
    <row r="5028" spans="1:5" s="335" customFormat="1" ht="24">
      <c r="A5028" s="342" t="s">
        <v>4174</v>
      </c>
      <c r="B5028" s="342" t="s">
        <v>4175</v>
      </c>
      <c r="C5028" s="342" t="str">
        <f>("A6ET0Y1")</f>
        <v>A6ET0Y1</v>
      </c>
      <c r="D5028" s="340">
        <v>1300</v>
      </c>
      <c r="E5028" s="343"/>
    </row>
    <row r="5029" spans="1:5" s="335" customFormat="1" ht="12.75">
      <c r="A5029" s="403" t="s">
        <v>3205</v>
      </c>
      <c r="B5029" s="403"/>
      <c r="C5029" s="403"/>
      <c r="D5029" s="403"/>
      <c r="E5029" s="343"/>
    </row>
    <row r="5030" spans="1:5" s="335" customFormat="1" ht="36">
      <c r="A5030" s="342" t="s">
        <v>67</v>
      </c>
      <c r="B5030" s="342" t="s">
        <v>4176</v>
      </c>
      <c r="C5030" s="342" t="s">
        <v>6312</v>
      </c>
      <c r="D5030" s="340">
        <v>422.94</v>
      </c>
      <c r="E5030" s="343"/>
    </row>
    <row r="5031" spans="1:5" s="335" customFormat="1" ht="24">
      <c r="A5031" s="342" t="s">
        <v>353</v>
      </c>
      <c r="B5031" s="342" t="s">
        <v>353</v>
      </c>
      <c r="C5031" s="342" t="str">
        <f>("7640005261")</f>
        <v>7640005261</v>
      </c>
      <c r="D5031" s="340">
        <v>68.900000000000006</v>
      </c>
      <c r="E5031" s="343"/>
    </row>
    <row r="5032" spans="1:5" s="335" customFormat="1" ht="36">
      <c r="A5032" s="342" t="s">
        <v>354</v>
      </c>
      <c r="B5032" s="342" t="s">
        <v>4177</v>
      </c>
      <c r="C5032" s="342" t="s">
        <v>6313</v>
      </c>
      <c r="D5032" s="340">
        <v>475.94</v>
      </c>
      <c r="E5032" s="343"/>
    </row>
    <row r="5033" spans="1:5" s="335" customFormat="1" ht="12.75">
      <c r="A5033" s="403" t="s">
        <v>3106</v>
      </c>
      <c r="B5033" s="403"/>
      <c r="C5033" s="403"/>
      <c r="D5033" s="403"/>
      <c r="E5033" s="343"/>
    </row>
    <row r="5034" spans="1:5" s="335" customFormat="1" ht="36">
      <c r="A5034" s="342" t="s">
        <v>4178</v>
      </c>
      <c r="B5034" s="342" t="s">
        <v>4178</v>
      </c>
      <c r="C5034" s="342" t="s">
        <v>6314</v>
      </c>
      <c r="D5034" s="340">
        <v>389</v>
      </c>
      <c r="E5034" s="343"/>
    </row>
    <row r="5035" spans="1:5" s="335" customFormat="1" ht="36">
      <c r="A5035" s="342" t="s">
        <v>4179</v>
      </c>
      <c r="B5035" s="342" t="s">
        <v>4179</v>
      </c>
      <c r="C5035" s="342" t="str">
        <f>("A0DY0YC")</f>
        <v>A0DY0YC</v>
      </c>
      <c r="D5035" s="340">
        <v>152.4</v>
      </c>
      <c r="E5035" s="343"/>
    </row>
    <row r="5036" spans="1:5" s="335" customFormat="1" ht="36">
      <c r="A5036" s="342" t="s">
        <v>4180</v>
      </c>
      <c r="B5036" s="342" t="s">
        <v>4180</v>
      </c>
      <c r="C5036" s="342" t="str">
        <f>("A0DY0YD")</f>
        <v>A0DY0YD</v>
      </c>
      <c r="D5036" s="340">
        <v>12.7</v>
      </c>
      <c r="E5036" s="343"/>
    </row>
    <row r="5037" spans="1:5" s="335" customFormat="1" ht="36">
      <c r="A5037" s="342" t="s">
        <v>4181</v>
      </c>
      <c r="B5037" s="342" t="s">
        <v>4181</v>
      </c>
      <c r="C5037" s="342" t="str">
        <f>("A0DY0YE")</f>
        <v>A0DY0YE</v>
      </c>
      <c r="D5037" s="340">
        <v>24</v>
      </c>
      <c r="E5037" s="343"/>
    </row>
    <row r="5038" spans="1:5" s="335" customFormat="1" ht="24">
      <c r="A5038" s="342" t="s">
        <v>4182</v>
      </c>
      <c r="B5038" s="342" t="s">
        <v>4182</v>
      </c>
      <c r="C5038" s="342" t="str">
        <f>("A0E00YA")</f>
        <v>A0E00YA</v>
      </c>
      <c r="D5038" s="340">
        <v>210</v>
      </c>
      <c r="E5038" s="343"/>
    </row>
    <row r="5039" spans="1:5" s="335" customFormat="1" ht="24">
      <c r="A5039" s="342" t="s">
        <v>4183</v>
      </c>
      <c r="B5039" s="342" t="s">
        <v>4183</v>
      </c>
      <c r="C5039" s="342" t="str">
        <f>("A0E00YC")</f>
        <v>A0E00YC</v>
      </c>
      <c r="D5039" s="340">
        <v>82.2</v>
      </c>
      <c r="E5039" s="343"/>
    </row>
    <row r="5040" spans="1:5" s="335" customFormat="1" ht="24">
      <c r="A5040" s="342" t="s">
        <v>4184</v>
      </c>
      <c r="B5040" s="342" t="s">
        <v>4184</v>
      </c>
      <c r="C5040" s="342" t="str">
        <f>("A0E00YD")</f>
        <v>A0E00YD</v>
      </c>
      <c r="D5040" s="340">
        <v>6.85</v>
      </c>
      <c r="E5040" s="343"/>
    </row>
    <row r="5041" spans="1:5" s="335" customFormat="1" ht="24">
      <c r="A5041" s="342" t="s">
        <v>4185</v>
      </c>
      <c r="B5041" s="342" t="s">
        <v>4185</v>
      </c>
      <c r="C5041" s="342" t="str">
        <f>("A0E00YE")</f>
        <v>A0E00YE</v>
      </c>
      <c r="D5041" s="340">
        <v>24</v>
      </c>
      <c r="E5041" s="343"/>
    </row>
    <row r="5042" spans="1:5" s="335" customFormat="1" ht="24">
      <c r="A5042" s="342" t="s">
        <v>4186</v>
      </c>
      <c r="B5042" s="342" t="s">
        <v>4186</v>
      </c>
      <c r="C5042" s="342" t="str">
        <f>("A0PF0YA")</f>
        <v>A0PF0YA</v>
      </c>
      <c r="D5042" s="340">
        <v>210</v>
      </c>
      <c r="E5042" s="343"/>
    </row>
    <row r="5043" spans="1:5" s="335" customFormat="1" ht="24">
      <c r="A5043" s="342" t="s">
        <v>4187</v>
      </c>
      <c r="B5043" s="342" t="s">
        <v>4187</v>
      </c>
      <c r="C5043" s="342" t="str">
        <f>("A0PF0YC")</f>
        <v>A0PF0YC</v>
      </c>
      <c r="D5043" s="340">
        <v>82.2</v>
      </c>
      <c r="E5043" s="343"/>
    </row>
    <row r="5044" spans="1:5" s="335" customFormat="1" ht="24">
      <c r="A5044" s="342" t="s">
        <v>4188</v>
      </c>
      <c r="B5044" s="342" t="s">
        <v>4188</v>
      </c>
      <c r="C5044" s="342" t="str">
        <f>("A0PF0YD")</f>
        <v>A0PF0YD</v>
      </c>
      <c r="D5044" s="340">
        <v>6.85</v>
      </c>
      <c r="E5044" s="343"/>
    </row>
    <row r="5045" spans="1:5" s="335" customFormat="1" ht="24">
      <c r="A5045" s="342" t="s">
        <v>4189</v>
      </c>
      <c r="B5045" s="342" t="s">
        <v>4189</v>
      </c>
      <c r="C5045" s="342" t="str">
        <f>("A0PF0YE")</f>
        <v>A0PF0YE</v>
      </c>
      <c r="D5045" s="340">
        <v>24</v>
      </c>
      <c r="E5045" s="343"/>
    </row>
    <row r="5046" spans="1:5" s="335" customFormat="1" ht="24">
      <c r="A5046" s="342" t="s">
        <v>4190</v>
      </c>
      <c r="B5046" s="342" t="s">
        <v>4190</v>
      </c>
      <c r="C5046" s="342" t="str">
        <f>("A2AR0YA")</f>
        <v>A2AR0YA</v>
      </c>
      <c r="D5046" s="340">
        <v>191</v>
      </c>
      <c r="E5046" s="343"/>
    </row>
    <row r="5047" spans="1:5" s="335" customFormat="1" ht="24">
      <c r="A5047" s="342" t="s">
        <v>4191</v>
      </c>
      <c r="B5047" s="342" t="s">
        <v>4191</v>
      </c>
      <c r="C5047" s="342" t="str">
        <f>("A2AR0YC")</f>
        <v>A2AR0YC</v>
      </c>
      <c r="D5047" s="340">
        <v>75</v>
      </c>
      <c r="E5047" s="343"/>
    </row>
    <row r="5048" spans="1:5" s="335" customFormat="1" ht="24">
      <c r="A5048" s="342" t="s">
        <v>4192</v>
      </c>
      <c r="B5048" s="342" t="s">
        <v>4192</v>
      </c>
      <c r="C5048" s="342" t="str">
        <f>("A2AR0YD")</f>
        <v>A2AR0YD</v>
      </c>
      <c r="D5048" s="340">
        <v>6.25</v>
      </c>
      <c r="E5048" s="343"/>
    </row>
    <row r="5049" spans="1:5" s="335" customFormat="1" ht="24">
      <c r="A5049" s="342" t="s">
        <v>4193</v>
      </c>
      <c r="B5049" s="342" t="s">
        <v>4193</v>
      </c>
      <c r="C5049" s="342" t="str">
        <f>("A2AR0YE")</f>
        <v>A2AR0YE</v>
      </c>
      <c r="D5049" s="340">
        <v>24</v>
      </c>
      <c r="E5049" s="343"/>
    </row>
    <row r="5050" spans="1:5" s="335" customFormat="1" ht="12.75">
      <c r="A5050" s="344"/>
      <c r="B5050" s="343"/>
      <c r="C5050" s="343"/>
      <c r="D5050" s="395"/>
      <c r="E5050" s="343"/>
    </row>
    <row r="5051" spans="1:5" s="335" customFormat="1" ht="15" customHeight="1">
      <c r="A5051" s="345"/>
      <c r="B5051" s="404" t="s">
        <v>4194</v>
      </c>
      <c r="C5051" s="404"/>
      <c r="D5051" s="404"/>
      <c r="E5051" s="404"/>
    </row>
    <row r="5052" spans="1:5" s="335" customFormat="1" ht="25.5">
      <c r="A5052" s="346" t="s">
        <v>789</v>
      </c>
      <c r="B5052" s="346" t="s">
        <v>409</v>
      </c>
      <c r="C5052" s="346" t="s">
        <v>26</v>
      </c>
      <c r="D5052" s="337" t="s">
        <v>6425</v>
      </c>
      <c r="E5052" s="343"/>
    </row>
    <row r="5053" spans="1:5" s="335" customFormat="1" ht="26.25">
      <c r="A5053" s="342" t="s">
        <v>4195</v>
      </c>
      <c r="B5053" s="342" t="s">
        <v>4195</v>
      </c>
      <c r="C5053" s="342" t="s">
        <v>6315</v>
      </c>
      <c r="D5053" s="340">
        <v>0</v>
      </c>
      <c r="E5053" s="343"/>
    </row>
    <row r="5054" spans="1:5" s="335" customFormat="1" ht="12.75">
      <c r="A5054" s="403" t="s">
        <v>856</v>
      </c>
      <c r="B5054" s="403"/>
      <c r="C5054" s="403"/>
      <c r="D5054" s="403"/>
      <c r="E5054" s="343"/>
    </row>
    <row r="5055" spans="1:5" s="335" customFormat="1" ht="48">
      <c r="A5055" s="342" t="s">
        <v>4196</v>
      </c>
      <c r="B5055" s="342" t="s">
        <v>4197</v>
      </c>
      <c r="C5055" s="342" t="str">
        <f>("7640017407")</f>
        <v>7640017407</v>
      </c>
      <c r="D5055" s="340">
        <v>200</v>
      </c>
      <c r="E5055" s="343"/>
    </row>
    <row r="5056" spans="1:5" s="335" customFormat="1" ht="12.75">
      <c r="A5056" s="403" t="s">
        <v>1545</v>
      </c>
      <c r="B5056" s="403"/>
      <c r="C5056" s="403"/>
      <c r="D5056" s="403"/>
      <c r="E5056" s="343"/>
    </row>
    <row r="5057" spans="1:5" s="335" customFormat="1" ht="24">
      <c r="A5057" s="342" t="s">
        <v>4198</v>
      </c>
      <c r="B5057" s="342" t="s">
        <v>4199</v>
      </c>
      <c r="C5057" s="342" t="str">
        <f>("7640017403")</f>
        <v>7640017403</v>
      </c>
      <c r="D5057" s="340">
        <v>999</v>
      </c>
      <c r="E5057" s="343"/>
    </row>
    <row r="5058" spans="1:5" s="335" customFormat="1" ht="24">
      <c r="A5058" s="342" t="s">
        <v>4200</v>
      </c>
      <c r="B5058" s="342" t="s">
        <v>4201</v>
      </c>
      <c r="C5058" s="342" t="str">
        <f>("7640017404")</f>
        <v>7640017404</v>
      </c>
      <c r="D5058" s="340">
        <v>2997</v>
      </c>
      <c r="E5058" s="343"/>
    </row>
    <row r="5059" spans="1:5" s="335" customFormat="1" ht="24">
      <c r="A5059" s="342" t="s">
        <v>4202</v>
      </c>
      <c r="B5059" s="342" t="s">
        <v>4203</v>
      </c>
      <c r="C5059" s="342" t="str">
        <f>("7640017405")</f>
        <v>7640017405</v>
      </c>
      <c r="D5059" s="340">
        <v>3996</v>
      </c>
      <c r="E5059" s="343"/>
    </row>
    <row r="5060" spans="1:5" s="335" customFormat="1" ht="24">
      <c r="A5060" s="342" t="s">
        <v>4204</v>
      </c>
      <c r="B5060" s="342" t="s">
        <v>4205</v>
      </c>
      <c r="C5060" s="342" t="str">
        <f>("7640017406")</f>
        <v>7640017406</v>
      </c>
      <c r="D5060" s="340">
        <v>4995</v>
      </c>
      <c r="E5060" s="343"/>
    </row>
    <row r="5061" spans="1:5" s="335" customFormat="1" ht="12.75">
      <c r="A5061" s="344"/>
      <c r="B5061" s="343"/>
      <c r="C5061" s="343"/>
      <c r="D5061" s="395"/>
      <c r="E5061" s="343"/>
    </row>
    <row r="5062" spans="1:5" s="335" customFormat="1" ht="15" customHeight="1">
      <c r="A5062" s="345"/>
      <c r="B5062" s="404" t="s">
        <v>4206</v>
      </c>
      <c r="C5062" s="404"/>
      <c r="D5062" s="404"/>
      <c r="E5062" s="404"/>
    </row>
    <row r="5063" spans="1:5" s="335" customFormat="1" ht="25.5">
      <c r="A5063" s="346" t="s">
        <v>789</v>
      </c>
      <c r="B5063" s="346" t="s">
        <v>409</v>
      </c>
      <c r="C5063" s="346" t="s">
        <v>26</v>
      </c>
      <c r="D5063" s="337" t="s">
        <v>6425</v>
      </c>
      <c r="E5063" s="343"/>
    </row>
    <row r="5064" spans="1:5" s="335" customFormat="1" ht="26.25">
      <c r="A5064" s="342" t="s">
        <v>4207</v>
      </c>
      <c r="B5064" s="342"/>
      <c r="C5064" s="342" t="s">
        <v>6316</v>
      </c>
      <c r="D5064" s="338" t="s">
        <v>791</v>
      </c>
      <c r="E5064" s="343"/>
    </row>
    <row r="5065" spans="1:5" s="335" customFormat="1" ht="12.75">
      <c r="A5065" s="403" t="s">
        <v>4208</v>
      </c>
      <c r="B5065" s="403"/>
      <c r="C5065" s="403"/>
      <c r="D5065" s="403"/>
      <c r="E5065" s="343"/>
    </row>
    <row r="5066" spans="1:5" s="335" customFormat="1" ht="24">
      <c r="A5066" s="342" t="s">
        <v>4209</v>
      </c>
      <c r="B5066" s="342" t="s">
        <v>4209</v>
      </c>
      <c r="C5066" s="342" t="str">
        <f>("7640013627")</f>
        <v>7640013627</v>
      </c>
      <c r="D5066" s="340">
        <v>2500</v>
      </c>
      <c r="E5066" s="343"/>
    </row>
    <row r="5067" spans="1:5" s="335" customFormat="1" ht="48">
      <c r="A5067" s="342" t="s">
        <v>4210</v>
      </c>
      <c r="B5067" s="342" t="s">
        <v>4211</v>
      </c>
      <c r="C5067" s="342" t="str">
        <f>("7640013628")</f>
        <v>7640013628</v>
      </c>
      <c r="D5067" s="340">
        <v>500</v>
      </c>
      <c r="E5067" s="343"/>
    </row>
    <row r="5068" spans="1:5" s="335" customFormat="1" ht="48">
      <c r="A5068" s="342" t="s">
        <v>4212</v>
      </c>
      <c r="B5068" s="342" t="s">
        <v>4213</v>
      </c>
      <c r="C5068" s="342" t="str">
        <f>("7640013629")</f>
        <v>7640013629</v>
      </c>
      <c r="D5068" s="340">
        <v>500</v>
      </c>
      <c r="E5068" s="343"/>
    </row>
    <row r="5069" spans="1:5" s="335" customFormat="1" ht="24">
      <c r="A5069" s="342" t="s">
        <v>4214</v>
      </c>
      <c r="B5069" s="342" t="s">
        <v>4214</v>
      </c>
      <c r="C5069" s="342" t="str">
        <f>("7640013630")</f>
        <v>7640013630</v>
      </c>
      <c r="D5069" s="340">
        <v>2500</v>
      </c>
      <c r="E5069" s="343"/>
    </row>
    <row r="5070" spans="1:5" s="335" customFormat="1" ht="24">
      <c r="A5070" s="342" t="s">
        <v>4215</v>
      </c>
      <c r="B5070" s="342" t="s">
        <v>4215</v>
      </c>
      <c r="C5070" s="342" t="str">
        <f>("7640013631")</f>
        <v>7640013631</v>
      </c>
      <c r="D5070" s="340">
        <v>2500</v>
      </c>
      <c r="E5070" s="343"/>
    </row>
    <row r="5071" spans="1:5" s="335" customFormat="1" ht="36">
      <c r="A5071" s="342" t="s">
        <v>4216</v>
      </c>
      <c r="B5071" s="342" t="s">
        <v>4216</v>
      </c>
      <c r="C5071" s="342" t="str">
        <f>("7640013632")</f>
        <v>7640013632</v>
      </c>
      <c r="D5071" s="340">
        <v>2500</v>
      </c>
      <c r="E5071" s="343"/>
    </row>
    <row r="5072" spans="1:5" s="335" customFormat="1" ht="36">
      <c r="A5072" s="342" t="s">
        <v>4217</v>
      </c>
      <c r="B5072" s="342" t="s">
        <v>4217</v>
      </c>
      <c r="C5072" s="342" t="str">
        <f>("7640013633")</f>
        <v>7640013633</v>
      </c>
      <c r="D5072" s="340">
        <v>2500</v>
      </c>
      <c r="E5072" s="343"/>
    </row>
    <row r="5073" spans="1:5" s="335" customFormat="1" ht="24">
      <c r="A5073" s="342" t="s">
        <v>4218</v>
      </c>
      <c r="B5073" s="342" t="s">
        <v>4218</v>
      </c>
      <c r="C5073" s="342" t="str">
        <f>("7640013634")</f>
        <v>7640013634</v>
      </c>
      <c r="D5073" s="340">
        <v>2000</v>
      </c>
      <c r="E5073" s="343"/>
    </row>
    <row r="5074" spans="1:5" s="335" customFormat="1" ht="24">
      <c r="A5074" s="342" t="s">
        <v>4219</v>
      </c>
      <c r="B5074" s="342" t="s">
        <v>4219</v>
      </c>
      <c r="C5074" s="342" t="str">
        <f>("7640013635")</f>
        <v>7640013635</v>
      </c>
      <c r="D5074" s="340">
        <v>300</v>
      </c>
      <c r="E5074" s="343"/>
    </row>
    <row r="5075" spans="1:5" s="335" customFormat="1" ht="48">
      <c r="A5075" s="342" t="s">
        <v>4220</v>
      </c>
      <c r="B5075" s="342" t="s">
        <v>4221</v>
      </c>
      <c r="C5075" s="342" t="str">
        <f>("7640013636")</f>
        <v>7640013636</v>
      </c>
      <c r="D5075" s="340">
        <v>7500</v>
      </c>
      <c r="E5075" s="343"/>
    </row>
    <row r="5076" spans="1:5" s="335" customFormat="1" ht="48">
      <c r="A5076" s="342" t="s">
        <v>4222</v>
      </c>
      <c r="B5076" s="342" t="s">
        <v>4223</v>
      </c>
      <c r="C5076" s="342" t="str">
        <f>("7640013637")</f>
        <v>7640013637</v>
      </c>
      <c r="D5076" s="340">
        <v>9250</v>
      </c>
      <c r="E5076" s="343"/>
    </row>
    <row r="5077" spans="1:5" s="335" customFormat="1" ht="48">
      <c r="A5077" s="342" t="s">
        <v>4224</v>
      </c>
      <c r="B5077" s="342" t="s">
        <v>4225</v>
      </c>
      <c r="C5077" s="342" t="str">
        <f>("7640013638")</f>
        <v>7640013638</v>
      </c>
      <c r="D5077" s="340">
        <v>10000</v>
      </c>
      <c r="E5077" s="343"/>
    </row>
    <row r="5078" spans="1:5" s="335" customFormat="1" ht="48">
      <c r="A5078" s="342" t="s">
        <v>4226</v>
      </c>
      <c r="B5078" s="342" t="s">
        <v>4227</v>
      </c>
      <c r="C5078" s="342" t="str">
        <f>("7640013639")</f>
        <v>7640013639</v>
      </c>
      <c r="D5078" s="340">
        <v>11500</v>
      </c>
      <c r="E5078" s="343"/>
    </row>
    <row r="5079" spans="1:5" s="335" customFormat="1" ht="48">
      <c r="A5079" s="342" t="s">
        <v>4228</v>
      </c>
      <c r="B5079" s="342" t="s">
        <v>4229</v>
      </c>
      <c r="C5079" s="342" t="str">
        <f>("7640013640")</f>
        <v>7640013640</v>
      </c>
      <c r="D5079" s="340">
        <v>13500</v>
      </c>
      <c r="E5079" s="343"/>
    </row>
    <row r="5080" spans="1:5" s="335" customFormat="1" ht="48">
      <c r="A5080" s="342" t="s">
        <v>4230</v>
      </c>
      <c r="B5080" s="342" t="s">
        <v>4231</v>
      </c>
      <c r="C5080" s="342" t="str">
        <f>("7640013641")</f>
        <v>7640013641</v>
      </c>
      <c r="D5080" s="340">
        <v>16250</v>
      </c>
      <c r="E5080" s="343"/>
    </row>
    <row r="5081" spans="1:5" s="335" customFormat="1" ht="48">
      <c r="A5081" s="342" t="s">
        <v>4232</v>
      </c>
      <c r="B5081" s="342" t="s">
        <v>4233</v>
      </c>
      <c r="C5081" s="342" t="str">
        <f>("7640013642")</f>
        <v>7640013642</v>
      </c>
      <c r="D5081" s="340">
        <v>19750</v>
      </c>
      <c r="E5081" s="343"/>
    </row>
    <row r="5082" spans="1:5" s="335" customFormat="1" ht="48">
      <c r="A5082" s="342" t="s">
        <v>4234</v>
      </c>
      <c r="B5082" s="342" t="s">
        <v>4235</v>
      </c>
      <c r="C5082" s="342" t="str">
        <f>("7640013643")</f>
        <v>7640013643</v>
      </c>
      <c r="D5082" s="340">
        <v>24500</v>
      </c>
      <c r="E5082" s="343"/>
    </row>
    <row r="5083" spans="1:5" s="335" customFormat="1" ht="48">
      <c r="A5083" s="342" t="s">
        <v>4236</v>
      </c>
      <c r="B5083" s="342" t="s">
        <v>4237</v>
      </c>
      <c r="C5083" s="342" t="str">
        <f>("7640013644")</f>
        <v>7640013644</v>
      </c>
      <c r="D5083" s="340">
        <v>30000</v>
      </c>
      <c r="E5083" s="343"/>
    </row>
    <row r="5084" spans="1:5" s="335" customFormat="1" ht="48">
      <c r="A5084" s="342" t="s">
        <v>4238</v>
      </c>
      <c r="B5084" s="342" t="s">
        <v>4239</v>
      </c>
      <c r="C5084" s="342" t="str">
        <f>("7640013646")</f>
        <v>7640013646</v>
      </c>
      <c r="D5084" s="340">
        <v>40000</v>
      </c>
      <c r="E5084" s="343"/>
    </row>
    <row r="5085" spans="1:5" s="335" customFormat="1" ht="36">
      <c r="A5085" s="342" t="s">
        <v>4240</v>
      </c>
      <c r="B5085" s="342" t="s">
        <v>4241</v>
      </c>
      <c r="C5085" s="342" t="str">
        <f>("7640013647")</f>
        <v>7640013647</v>
      </c>
      <c r="D5085" s="340">
        <v>2500</v>
      </c>
      <c r="E5085" s="343"/>
    </row>
    <row r="5086" spans="1:5" s="335" customFormat="1" ht="36">
      <c r="A5086" s="342" t="s">
        <v>4242</v>
      </c>
      <c r="B5086" s="342" t="s">
        <v>4243</v>
      </c>
      <c r="C5086" s="342" t="str">
        <f>("7640013648")</f>
        <v>7640013648</v>
      </c>
      <c r="D5086" s="340">
        <v>19500</v>
      </c>
      <c r="E5086" s="343"/>
    </row>
    <row r="5087" spans="1:5" s="335" customFormat="1" ht="36">
      <c r="A5087" s="342" t="s">
        <v>4244</v>
      </c>
      <c r="B5087" s="342" t="s">
        <v>4245</v>
      </c>
      <c r="C5087" s="342" t="str">
        <f>("7640013649")</f>
        <v>7640013649</v>
      </c>
      <c r="D5087" s="340">
        <v>28000</v>
      </c>
      <c r="E5087" s="343"/>
    </row>
    <row r="5088" spans="1:5" s="335" customFormat="1" ht="36">
      <c r="A5088" s="342" t="s">
        <v>4246</v>
      </c>
      <c r="B5088" s="342" t="s">
        <v>4247</v>
      </c>
      <c r="C5088" s="342" t="str">
        <f>("7640013650")</f>
        <v>7640013650</v>
      </c>
      <c r="D5088" s="340">
        <v>32500</v>
      </c>
      <c r="E5088" s="343"/>
    </row>
    <row r="5089" spans="1:5" s="335" customFormat="1" ht="36">
      <c r="A5089" s="342" t="s">
        <v>4248</v>
      </c>
      <c r="B5089" s="342" t="s">
        <v>4249</v>
      </c>
      <c r="C5089" s="342" t="str">
        <f>("7640013651")</f>
        <v>7640013651</v>
      </c>
      <c r="D5089" s="340">
        <v>39000</v>
      </c>
      <c r="E5089" s="343"/>
    </row>
    <row r="5090" spans="1:5" s="335" customFormat="1" ht="48">
      <c r="A5090" s="342" t="s">
        <v>4250</v>
      </c>
      <c r="B5090" s="342" t="s">
        <v>4251</v>
      </c>
      <c r="C5090" s="342" t="str">
        <f>("7640013652")</f>
        <v>7640013652</v>
      </c>
      <c r="D5090" s="340">
        <v>51000</v>
      </c>
      <c r="E5090" s="343"/>
    </row>
    <row r="5091" spans="1:5" s="335" customFormat="1" ht="48">
      <c r="A5091" s="342" t="s">
        <v>4252</v>
      </c>
      <c r="B5091" s="342" t="s">
        <v>4253</v>
      </c>
      <c r="C5091" s="342" t="str">
        <f>("7640013653")</f>
        <v>7640013653</v>
      </c>
      <c r="D5091" s="340">
        <v>64000</v>
      </c>
      <c r="E5091" s="343"/>
    </row>
    <row r="5092" spans="1:5" s="335" customFormat="1" ht="48">
      <c r="A5092" s="342" t="s">
        <v>4254</v>
      </c>
      <c r="B5092" s="342" t="s">
        <v>4255</v>
      </c>
      <c r="C5092" s="342" t="str">
        <f>("7640013654")</f>
        <v>7640013654</v>
      </c>
      <c r="D5092" s="340">
        <v>77000</v>
      </c>
      <c r="E5092" s="343"/>
    </row>
    <row r="5093" spans="1:5" s="335" customFormat="1" ht="48">
      <c r="A5093" s="342" t="s">
        <v>4256</v>
      </c>
      <c r="B5093" s="342" t="s">
        <v>4257</v>
      </c>
      <c r="C5093" s="342" t="str">
        <f>("7640013655")</f>
        <v>7640013655</v>
      </c>
      <c r="D5093" s="340">
        <v>91000</v>
      </c>
      <c r="E5093" s="343"/>
    </row>
    <row r="5094" spans="1:5" s="335" customFormat="1" ht="48">
      <c r="A5094" s="342" t="s">
        <v>4258</v>
      </c>
      <c r="B5094" s="342" t="s">
        <v>4259</v>
      </c>
      <c r="C5094" s="342" t="str">
        <f>("7640013656")</f>
        <v>7640013656</v>
      </c>
      <c r="D5094" s="340">
        <v>110500</v>
      </c>
      <c r="E5094" s="343"/>
    </row>
    <row r="5095" spans="1:5" s="335" customFormat="1" ht="36">
      <c r="A5095" s="342" t="s">
        <v>4260</v>
      </c>
      <c r="B5095" s="342" t="s">
        <v>4261</v>
      </c>
      <c r="C5095" s="342" t="str">
        <f>("7640013657")</f>
        <v>7640013657</v>
      </c>
      <c r="D5095" s="340">
        <v>130000</v>
      </c>
      <c r="E5095" s="343"/>
    </row>
    <row r="5096" spans="1:5" s="335" customFormat="1" ht="24">
      <c r="A5096" s="342" t="s">
        <v>4218</v>
      </c>
      <c r="B5096" s="342" t="s">
        <v>4218</v>
      </c>
      <c r="C5096" s="342" t="str">
        <f>("7640013658")</f>
        <v>7640013658</v>
      </c>
      <c r="D5096" s="340">
        <v>2000</v>
      </c>
      <c r="E5096" s="343"/>
    </row>
    <row r="5097" spans="1:5" s="335" customFormat="1" ht="24">
      <c r="A5097" s="342" t="s">
        <v>4219</v>
      </c>
      <c r="B5097" s="342" t="s">
        <v>4219</v>
      </c>
      <c r="C5097" s="342" t="str">
        <f>("7640013659")</f>
        <v>7640013659</v>
      </c>
      <c r="D5097" s="340">
        <v>300</v>
      </c>
      <c r="E5097" s="343"/>
    </row>
    <row r="5098" spans="1:5" s="335" customFormat="1" ht="48">
      <c r="A5098" s="342" t="s">
        <v>4262</v>
      </c>
      <c r="B5098" s="342" t="s">
        <v>4263</v>
      </c>
      <c r="C5098" s="342" t="str">
        <f>("7640013660")</f>
        <v>7640013660</v>
      </c>
      <c r="D5098" s="340">
        <v>6500</v>
      </c>
      <c r="E5098" s="343"/>
    </row>
    <row r="5099" spans="1:5" s="335" customFormat="1" ht="48">
      <c r="A5099" s="342" t="s">
        <v>4264</v>
      </c>
      <c r="B5099" s="342" t="s">
        <v>4265</v>
      </c>
      <c r="C5099" s="342" t="str">
        <f>("7640013661")</f>
        <v>7640013661</v>
      </c>
      <c r="D5099" s="340">
        <v>10500</v>
      </c>
      <c r="E5099" s="343"/>
    </row>
    <row r="5100" spans="1:5" s="335" customFormat="1" ht="48">
      <c r="A5100" s="342" t="s">
        <v>4266</v>
      </c>
      <c r="B5100" s="342" t="s">
        <v>4267</v>
      </c>
      <c r="C5100" s="342" t="str">
        <f>("7640013662")</f>
        <v>7640013662</v>
      </c>
      <c r="D5100" s="340">
        <v>13000</v>
      </c>
      <c r="E5100" s="343"/>
    </row>
    <row r="5101" spans="1:5" s="335" customFormat="1" ht="48">
      <c r="A5101" s="342" t="s">
        <v>4268</v>
      </c>
      <c r="B5101" s="342" t="s">
        <v>4269</v>
      </c>
      <c r="C5101" s="342" t="str">
        <f>("7640013663")</f>
        <v>7640013663</v>
      </c>
      <c r="D5101" s="340">
        <v>15750</v>
      </c>
      <c r="E5101" s="343"/>
    </row>
    <row r="5102" spans="1:5" s="335" customFormat="1" ht="48">
      <c r="A5102" s="342" t="s">
        <v>4270</v>
      </c>
      <c r="B5102" s="342" t="s">
        <v>4271</v>
      </c>
      <c r="C5102" s="342" t="str">
        <f>("7640013664")</f>
        <v>7640013664</v>
      </c>
      <c r="D5102" s="340">
        <v>19500</v>
      </c>
      <c r="E5102" s="343"/>
    </row>
    <row r="5103" spans="1:5" s="335" customFormat="1" ht="48">
      <c r="A5103" s="342" t="s">
        <v>4272</v>
      </c>
      <c r="B5103" s="342" t="s">
        <v>4273</v>
      </c>
      <c r="C5103" s="342" t="str">
        <f>("7640013665")</f>
        <v>7640013665</v>
      </c>
      <c r="D5103" s="340">
        <v>23000</v>
      </c>
      <c r="E5103" s="343"/>
    </row>
    <row r="5104" spans="1:5" s="335" customFormat="1" ht="48">
      <c r="A5104" s="342" t="s">
        <v>4274</v>
      </c>
      <c r="B5104" s="342" t="s">
        <v>4275</v>
      </c>
      <c r="C5104" s="342" t="str">
        <f>("7640013666")</f>
        <v>7640013666</v>
      </c>
      <c r="D5104" s="340">
        <v>27500</v>
      </c>
      <c r="E5104" s="343"/>
    </row>
    <row r="5105" spans="1:5" s="335" customFormat="1" ht="48">
      <c r="A5105" s="342" t="s">
        <v>4276</v>
      </c>
      <c r="B5105" s="342" t="s">
        <v>4277</v>
      </c>
      <c r="C5105" s="342" t="str">
        <f>("7640013667")</f>
        <v>7640013667</v>
      </c>
      <c r="D5105" s="340">
        <v>32500</v>
      </c>
      <c r="E5105" s="343"/>
    </row>
    <row r="5106" spans="1:5" s="335" customFormat="1" ht="48">
      <c r="A5106" s="342" t="s">
        <v>4278</v>
      </c>
      <c r="B5106" s="342" t="s">
        <v>4279</v>
      </c>
      <c r="C5106" s="342" t="str">
        <f>("7640013668")</f>
        <v>7640013668</v>
      </c>
      <c r="D5106" s="340">
        <v>39000</v>
      </c>
      <c r="E5106" s="343"/>
    </row>
    <row r="5107" spans="1:5" s="335" customFormat="1" ht="48">
      <c r="A5107" s="342" t="s">
        <v>4280</v>
      </c>
      <c r="B5107" s="342" t="s">
        <v>4281</v>
      </c>
      <c r="C5107" s="342" t="str">
        <f>("7640013669")</f>
        <v>7640013669</v>
      </c>
      <c r="D5107" s="340">
        <v>45500</v>
      </c>
      <c r="E5107" s="343"/>
    </row>
    <row r="5108" spans="1:5" s="335" customFormat="1" ht="24">
      <c r="A5108" s="342" t="s">
        <v>4282</v>
      </c>
      <c r="B5108" s="342" t="s">
        <v>4282</v>
      </c>
      <c r="C5108" s="342" t="str">
        <f>("7640013670")</f>
        <v>7640013670</v>
      </c>
      <c r="D5108" s="340">
        <v>1995</v>
      </c>
      <c r="E5108" s="343"/>
    </row>
    <row r="5109" spans="1:5" s="335" customFormat="1" ht="24">
      <c r="A5109" s="342" t="s">
        <v>4283</v>
      </c>
      <c r="B5109" s="342" t="s">
        <v>4283</v>
      </c>
      <c r="C5109" s="342" t="str">
        <f>("7640013671")</f>
        <v>7640013671</v>
      </c>
      <c r="D5109" s="340">
        <v>800</v>
      </c>
      <c r="E5109" s="343"/>
    </row>
    <row r="5110" spans="1:5" s="335" customFormat="1" ht="24">
      <c r="A5110" s="342" t="s">
        <v>4284</v>
      </c>
      <c r="B5110" s="342" t="s">
        <v>4284</v>
      </c>
      <c r="C5110" s="342" t="str">
        <f>("7640013672")</f>
        <v>7640013672</v>
      </c>
      <c r="D5110" s="340">
        <v>1400</v>
      </c>
      <c r="E5110" s="343"/>
    </row>
    <row r="5111" spans="1:5" s="335" customFormat="1" ht="24">
      <c r="A5111" s="342" t="s">
        <v>4285</v>
      </c>
      <c r="B5111" s="342" t="s">
        <v>4285</v>
      </c>
      <c r="C5111" s="342" t="str">
        <f>("7640013673")</f>
        <v>7640013673</v>
      </c>
      <c r="D5111" s="340">
        <v>2000</v>
      </c>
      <c r="E5111" s="343"/>
    </row>
    <row r="5112" spans="1:5" s="335" customFormat="1" ht="24">
      <c r="A5112" s="342" t="s">
        <v>4286</v>
      </c>
      <c r="B5112" s="342" t="s">
        <v>4286</v>
      </c>
      <c r="C5112" s="342" t="str">
        <f>("7640013674")</f>
        <v>7640013674</v>
      </c>
      <c r="D5112" s="340">
        <v>3000</v>
      </c>
      <c r="E5112" s="343"/>
    </row>
    <row r="5113" spans="1:5" s="335" customFormat="1" ht="24">
      <c r="A5113" s="342" t="s">
        <v>4287</v>
      </c>
      <c r="B5113" s="342" t="s">
        <v>4287</v>
      </c>
      <c r="C5113" s="342" t="str">
        <f>("7640013675")</f>
        <v>7640013675</v>
      </c>
      <c r="D5113" s="340">
        <v>6250</v>
      </c>
      <c r="E5113" s="343"/>
    </row>
    <row r="5114" spans="1:5" s="335" customFormat="1" ht="24">
      <c r="A5114" s="342" t="s">
        <v>4288</v>
      </c>
      <c r="B5114" s="342" t="s">
        <v>4288</v>
      </c>
      <c r="C5114" s="342" t="str">
        <f>("7640013676")</f>
        <v>7640013676</v>
      </c>
      <c r="D5114" s="340">
        <v>10000</v>
      </c>
      <c r="E5114" s="343"/>
    </row>
    <row r="5115" spans="1:5" s="335" customFormat="1" ht="36">
      <c r="A5115" s="342" t="s">
        <v>4289</v>
      </c>
      <c r="B5115" s="342" t="s">
        <v>4290</v>
      </c>
      <c r="C5115" s="342" t="str">
        <f>("7640013677")</f>
        <v>7640013677</v>
      </c>
      <c r="D5115" s="340">
        <v>1</v>
      </c>
      <c r="E5115" s="343"/>
    </row>
    <row r="5116" spans="1:5" s="335" customFormat="1" ht="72">
      <c r="A5116" s="342" t="s">
        <v>4291</v>
      </c>
      <c r="B5116" s="342" t="s">
        <v>4292</v>
      </c>
      <c r="C5116" s="342" t="str">
        <f>("7640013678")</f>
        <v>7640013678</v>
      </c>
      <c r="D5116" s="340">
        <v>2500</v>
      </c>
      <c r="E5116" s="343"/>
    </row>
    <row r="5117" spans="1:5" s="335" customFormat="1" ht="72">
      <c r="A5117" s="342" t="s">
        <v>4293</v>
      </c>
      <c r="B5117" s="342" t="s">
        <v>4294</v>
      </c>
      <c r="C5117" s="342" t="str">
        <f>("7640013679")</f>
        <v>7640013679</v>
      </c>
      <c r="D5117" s="340">
        <v>1</v>
      </c>
      <c r="E5117" s="343"/>
    </row>
    <row r="5118" spans="1:5" s="335" customFormat="1" ht="72">
      <c r="A5118" s="342" t="s">
        <v>4295</v>
      </c>
      <c r="B5118" s="342" t="s">
        <v>4296</v>
      </c>
      <c r="C5118" s="342" t="str">
        <f>("7640013680")</f>
        <v>7640013680</v>
      </c>
      <c r="D5118" s="340">
        <v>2500</v>
      </c>
      <c r="E5118" s="343"/>
    </row>
    <row r="5119" spans="1:5" s="335" customFormat="1" ht="48">
      <c r="A5119" s="342" t="s">
        <v>4297</v>
      </c>
      <c r="B5119" s="342" t="s">
        <v>4297</v>
      </c>
      <c r="C5119" s="342" t="str">
        <f>("MPBPESEATSB")</f>
        <v>MPBPESEATSB</v>
      </c>
      <c r="D5119" s="340">
        <v>7.5</v>
      </c>
      <c r="E5119" s="343"/>
    </row>
    <row r="5120" spans="1:5" s="335" customFormat="1" ht="48">
      <c r="A5120" s="342" t="s">
        <v>4298</v>
      </c>
      <c r="B5120" s="342" t="s">
        <v>4298</v>
      </c>
      <c r="C5120" s="342" t="str">
        <f>("MPBPESEATSC")</f>
        <v>MPBPESEATSC</v>
      </c>
      <c r="D5120" s="340">
        <v>5</v>
      </c>
      <c r="E5120" s="343"/>
    </row>
    <row r="5121" spans="1:5" s="335" customFormat="1" ht="48">
      <c r="A5121" s="342" t="s">
        <v>4299</v>
      </c>
      <c r="B5121" s="342" t="s">
        <v>4299</v>
      </c>
      <c r="C5121" s="342" t="str">
        <f>("MPBPESEATSD")</f>
        <v>MPBPESEATSD</v>
      </c>
      <c r="D5121" s="340">
        <v>4</v>
      </c>
      <c r="E5121" s="343"/>
    </row>
    <row r="5122" spans="1:5" s="335" customFormat="1" ht="48">
      <c r="A5122" s="342" t="s">
        <v>4300</v>
      </c>
      <c r="B5122" s="342" t="s">
        <v>4300</v>
      </c>
      <c r="C5122" s="342" t="str">
        <f>("MPHESITE01")</f>
        <v>MPHESITE01</v>
      </c>
      <c r="D5122" s="340">
        <v>7500</v>
      </c>
      <c r="E5122" s="343"/>
    </row>
    <row r="5123" spans="1:5" s="335" customFormat="1" ht="48">
      <c r="A5123" s="342" t="s">
        <v>4301</v>
      </c>
      <c r="B5123" s="342" t="s">
        <v>4301</v>
      </c>
      <c r="C5123" s="342" t="str">
        <f>("MPHESITE02")</f>
        <v>MPHESITE02</v>
      </c>
      <c r="D5123" s="340">
        <v>9250</v>
      </c>
      <c r="E5123" s="343"/>
    </row>
    <row r="5124" spans="1:5" s="335" customFormat="1" ht="48">
      <c r="A5124" s="342" t="s">
        <v>4302</v>
      </c>
      <c r="B5124" s="342" t="s">
        <v>4302</v>
      </c>
      <c r="C5124" s="342" t="str">
        <f>("MPHESITE03")</f>
        <v>MPHESITE03</v>
      </c>
      <c r="D5124" s="340">
        <v>10000</v>
      </c>
      <c r="E5124" s="343"/>
    </row>
    <row r="5125" spans="1:5" s="335" customFormat="1" ht="48">
      <c r="A5125" s="342" t="s">
        <v>4303</v>
      </c>
      <c r="B5125" s="342" t="s">
        <v>4303</v>
      </c>
      <c r="C5125" s="342" t="str">
        <f>("MPHESITE04")</f>
        <v>MPHESITE04</v>
      </c>
      <c r="D5125" s="340">
        <v>11500</v>
      </c>
      <c r="E5125" s="343"/>
    </row>
    <row r="5126" spans="1:5" s="335" customFormat="1" ht="48">
      <c r="A5126" s="342" t="s">
        <v>4304</v>
      </c>
      <c r="B5126" s="342" t="s">
        <v>4304</v>
      </c>
      <c r="C5126" s="342" t="str">
        <f>("MPHESITE05")</f>
        <v>MPHESITE05</v>
      </c>
      <c r="D5126" s="340">
        <v>13500</v>
      </c>
      <c r="E5126" s="343"/>
    </row>
    <row r="5127" spans="1:5" s="335" customFormat="1" ht="48">
      <c r="A5127" s="342" t="s">
        <v>4305</v>
      </c>
      <c r="B5127" s="342" t="s">
        <v>4305</v>
      </c>
      <c r="C5127" s="342" t="str">
        <f>("MPHESITE07")</f>
        <v>MPHESITE07</v>
      </c>
      <c r="D5127" s="340">
        <v>19750</v>
      </c>
      <c r="E5127" s="343"/>
    </row>
    <row r="5128" spans="1:5" s="335" customFormat="1" ht="48">
      <c r="A5128" s="342" t="s">
        <v>4306</v>
      </c>
      <c r="B5128" s="342" t="s">
        <v>4306</v>
      </c>
      <c r="C5128" s="342" t="str">
        <f>("MPHESITE08")</f>
        <v>MPHESITE08</v>
      </c>
      <c r="D5128" s="340">
        <v>24500</v>
      </c>
      <c r="E5128" s="343"/>
    </row>
    <row r="5129" spans="1:5" s="335" customFormat="1" ht="48">
      <c r="A5129" s="342" t="s">
        <v>4307</v>
      </c>
      <c r="B5129" s="342" t="s">
        <v>4307</v>
      </c>
      <c r="C5129" s="342" t="str">
        <f>("MPHESITE09")</f>
        <v>MPHESITE09</v>
      </c>
      <c r="D5129" s="340">
        <v>30000</v>
      </c>
      <c r="E5129" s="343"/>
    </row>
    <row r="5130" spans="1:5" s="335" customFormat="1" ht="48">
      <c r="A5130" s="342" t="s">
        <v>4308</v>
      </c>
      <c r="B5130" s="342" t="s">
        <v>4308</v>
      </c>
      <c r="C5130" s="342" t="str">
        <f>("MPHESITE11")</f>
        <v>MPHESITE11</v>
      </c>
      <c r="D5130" s="340">
        <v>40000</v>
      </c>
      <c r="E5130" s="343"/>
    </row>
    <row r="5131" spans="1:5" s="335" customFormat="1" ht="24">
      <c r="A5131" s="342" t="s">
        <v>4309</v>
      </c>
      <c r="B5131" s="342" t="s">
        <v>4309</v>
      </c>
      <c r="C5131" s="342" t="str">
        <f>("MPUPDVC")</f>
        <v>MPUPDVC</v>
      </c>
      <c r="D5131" s="340">
        <v>300</v>
      </c>
      <c r="E5131" s="343"/>
    </row>
    <row r="5132" spans="1:5" s="335" customFormat="1" ht="12.75">
      <c r="A5132" s="403" t="s">
        <v>3205</v>
      </c>
      <c r="B5132" s="403"/>
      <c r="C5132" s="403"/>
      <c r="D5132" s="403"/>
      <c r="E5132" s="343"/>
    </row>
    <row r="5133" spans="1:5" s="335" customFormat="1" ht="72">
      <c r="A5133" s="342" t="s">
        <v>4310</v>
      </c>
      <c r="B5133" s="342" t="s">
        <v>4311</v>
      </c>
      <c r="C5133" s="342" t="str">
        <f>("7640013687")</f>
        <v>7640013687</v>
      </c>
      <c r="D5133" s="340">
        <v>395</v>
      </c>
      <c r="E5133" s="343"/>
    </row>
    <row r="5134" spans="1:5" s="335" customFormat="1" ht="72">
      <c r="A5134" s="342" t="s">
        <v>4312</v>
      </c>
      <c r="B5134" s="342" t="s">
        <v>4313</v>
      </c>
      <c r="C5134" s="342" t="str">
        <f>("7640013688")</f>
        <v>7640013688</v>
      </c>
      <c r="D5134" s="340">
        <v>380</v>
      </c>
      <c r="E5134" s="343"/>
    </row>
    <row r="5135" spans="1:5" s="335" customFormat="1" ht="72">
      <c r="A5135" s="342" t="s">
        <v>4314</v>
      </c>
      <c r="B5135" s="342" t="s">
        <v>4315</v>
      </c>
      <c r="C5135" s="342" t="str">
        <f>("7640013689")</f>
        <v>7640013689</v>
      </c>
      <c r="D5135" s="340">
        <v>360</v>
      </c>
      <c r="E5135" s="343"/>
    </row>
    <row r="5136" spans="1:5" s="335" customFormat="1" ht="12.75">
      <c r="A5136" s="342" t="s">
        <v>4316</v>
      </c>
      <c r="B5136" s="342" t="s">
        <v>4316</v>
      </c>
      <c r="C5136" s="342" t="str">
        <f>("7640013700")</f>
        <v>7640013700</v>
      </c>
      <c r="D5136" s="340">
        <v>9995</v>
      </c>
      <c r="E5136" s="343"/>
    </row>
    <row r="5137" spans="1:5" s="335" customFormat="1" ht="24">
      <c r="A5137" s="342" t="s">
        <v>4317</v>
      </c>
      <c r="B5137" s="342" t="s">
        <v>4317</v>
      </c>
      <c r="C5137" s="342" t="str">
        <f>("7640013703")</f>
        <v>7640013703</v>
      </c>
      <c r="D5137" s="340">
        <v>1050</v>
      </c>
      <c r="E5137" s="343"/>
    </row>
    <row r="5138" spans="1:5" s="335" customFormat="1" ht="60">
      <c r="A5138" s="342" t="s">
        <v>4318</v>
      </c>
      <c r="B5138" s="342" t="s">
        <v>4319</v>
      </c>
      <c r="C5138" s="342" t="str">
        <f>("7640013704")</f>
        <v>7640013704</v>
      </c>
      <c r="D5138" s="340">
        <v>125</v>
      </c>
      <c r="E5138" s="343"/>
    </row>
    <row r="5139" spans="1:5" s="335" customFormat="1" ht="24">
      <c r="A5139" s="342" t="s">
        <v>4320</v>
      </c>
      <c r="B5139" s="342" t="s">
        <v>4320</v>
      </c>
      <c r="C5139" s="342" t="str">
        <f>("7640013705")</f>
        <v>7640013705</v>
      </c>
      <c r="D5139" s="340">
        <v>62.5</v>
      </c>
      <c r="E5139" s="343"/>
    </row>
    <row r="5140" spans="1:5" s="335" customFormat="1" ht="24">
      <c r="A5140" s="342" t="s">
        <v>4321</v>
      </c>
      <c r="B5140" s="342" t="s">
        <v>4321</v>
      </c>
      <c r="C5140" s="342" t="str">
        <f>("7640015018")</f>
        <v>7640015018</v>
      </c>
      <c r="D5140" s="340">
        <v>1050</v>
      </c>
      <c r="E5140" s="343"/>
    </row>
    <row r="5141" spans="1:5" s="335" customFormat="1" ht="24">
      <c r="A5141" s="342" t="s">
        <v>4322</v>
      </c>
      <c r="B5141" s="342" t="s">
        <v>4322</v>
      </c>
      <c r="C5141" s="342" t="str">
        <f>("7640015019")</f>
        <v>7640015019</v>
      </c>
      <c r="D5141" s="340">
        <v>155</v>
      </c>
      <c r="E5141" s="343"/>
    </row>
    <row r="5142" spans="1:5" s="335" customFormat="1" ht="24">
      <c r="A5142" s="342" t="s">
        <v>4323</v>
      </c>
      <c r="B5142" s="342" t="s">
        <v>4323</v>
      </c>
      <c r="C5142" s="342" t="str">
        <f>("7640016391")</f>
        <v>7640016391</v>
      </c>
      <c r="D5142" s="340">
        <v>10620</v>
      </c>
      <c r="E5142" s="343"/>
    </row>
    <row r="5143" spans="1:5" s="335" customFormat="1" ht="24">
      <c r="A5143" s="342" t="s">
        <v>4324</v>
      </c>
      <c r="B5143" s="342" t="s">
        <v>4324</v>
      </c>
      <c r="C5143" s="342" t="str">
        <f>("7640016392")</f>
        <v>7640016392</v>
      </c>
      <c r="D5143" s="340">
        <v>10620</v>
      </c>
      <c r="E5143" s="343"/>
    </row>
    <row r="5144" spans="1:5" s="335" customFormat="1" ht="36">
      <c r="A5144" s="342" t="s">
        <v>4325</v>
      </c>
      <c r="B5144" s="342" t="s">
        <v>4325</v>
      </c>
      <c r="C5144" s="342" t="str">
        <f>("7640016393")</f>
        <v>7640016393</v>
      </c>
      <c r="D5144" s="340">
        <v>10620</v>
      </c>
      <c r="E5144" s="343"/>
    </row>
    <row r="5145" spans="1:5" s="335" customFormat="1" ht="36">
      <c r="A5145" s="342" t="s">
        <v>4326</v>
      </c>
      <c r="B5145" s="342" t="s">
        <v>4326</v>
      </c>
      <c r="C5145" s="342" t="str">
        <f>("7640016394")</f>
        <v>7640016394</v>
      </c>
      <c r="D5145" s="340">
        <v>10620</v>
      </c>
      <c r="E5145" s="343"/>
    </row>
    <row r="5146" spans="1:5" s="335" customFormat="1" ht="12.75">
      <c r="A5146" s="403" t="s">
        <v>1723</v>
      </c>
      <c r="B5146" s="403"/>
      <c r="C5146" s="403"/>
      <c r="D5146" s="403"/>
      <c r="E5146" s="343"/>
    </row>
    <row r="5147" spans="1:5" s="335" customFormat="1" ht="24">
      <c r="A5147" s="342" t="s">
        <v>4327</v>
      </c>
      <c r="B5147" s="342" t="s">
        <v>4327</v>
      </c>
      <c r="C5147" s="342" t="str">
        <f>("7640013706")</f>
        <v>7640013706</v>
      </c>
      <c r="D5147" s="340">
        <v>1</v>
      </c>
      <c r="E5147" s="343"/>
    </row>
    <row r="5148" spans="1:5" s="335" customFormat="1" ht="36">
      <c r="A5148" s="342" t="s">
        <v>4328</v>
      </c>
      <c r="B5148" s="342" t="s">
        <v>4328</v>
      </c>
      <c r="C5148" s="342" t="str">
        <f>("7640013707")</f>
        <v>7640013707</v>
      </c>
      <c r="D5148" s="340">
        <v>1</v>
      </c>
      <c r="E5148" s="343"/>
    </row>
    <row r="5149" spans="1:5" s="335" customFormat="1" ht="36">
      <c r="A5149" s="342" t="s">
        <v>4329</v>
      </c>
      <c r="B5149" s="342" t="s">
        <v>4329</v>
      </c>
      <c r="C5149" s="342" t="str">
        <f>("7640013708")</f>
        <v>7640013708</v>
      </c>
      <c r="D5149" s="340">
        <v>1</v>
      </c>
      <c r="E5149" s="343"/>
    </row>
    <row r="5150" spans="1:5" s="335" customFormat="1" ht="36">
      <c r="A5150" s="342" t="s">
        <v>4330</v>
      </c>
      <c r="B5150" s="342" t="s">
        <v>4330</v>
      </c>
      <c r="C5150" s="342" t="str">
        <f>("7640013709")</f>
        <v>7640013709</v>
      </c>
      <c r="D5150" s="340">
        <v>1</v>
      </c>
      <c r="E5150" s="343"/>
    </row>
    <row r="5151" spans="1:5" s="335" customFormat="1" ht="24">
      <c r="A5151" s="342" t="s">
        <v>4331</v>
      </c>
      <c r="B5151" s="342" t="s">
        <v>4331</v>
      </c>
      <c r="C5151" s="342" t="str">
        <f>("7640013710")</f>
        <v>7640013710</v>
      </c>
      <c r="D5151" s="340">
        <v>1</v>
      </c>
      <c r="E5151" s="343"/>
    </row>
    <row r="5152" spans="1:5" s="335" customFormat="1" ht="36">
      <c r="A5152" s="342" t="s">
        <v>4332</v>
      </c>
      <c r="B5152" s="342" t="s">
        <v>4333</v>
      </c>
      <c r="C5152" s="342" t="s">
        <v>6317</v>
      </c>
      <c r="D5152" s="340">
        <v>1</v>
      </c>
      <c r="E5152" s="343"/>
    </row>
    <row r="5153" spans="1:5" s="335" customFormat="1" ht="36">
      <c r="A5153" s="342" t="s">
        <v>4334</v>
      </c>
      <c r="B5153" s="342" t="s">
        <v>4335</v>
      </c>
      <c r="C5153" s="342" t="str">
        <f>("7640013712")</f>
        <v>7640013712</v>
      </c>
      <c r="D5153" s="340">
        <v>1</v>
      </c>
      <c r="E5153" s="343"/>
    </row>
    <row r="5154" spans="1:5" s="335" customFormat="1" ht="36">
      <c r="A5154" s="342" t="s">
        <v>4336</v>
      </c>
      <c r="B5154" s="342" t="s">
        <v>4337</v>
      </c>
      <c r="C5154" s="342" t="str">
        <f>("7640013713")</f>
        <v>7640013713</v>
      </c>
      <c r="D5154" s="340">
        <v>1</v>
      </c>
      <c r="E5154" s="343"/>
    </row>
    <row r="5155" spans="1:5" s="335" customFormat="1" ht="12.75">
      <c r="A5155" s="403" t="s">
        <v>3743</v>
      </c>
      <c r="B5155" s="403"/>
      <c r="C5155" s="403"/>
      <c r="D5155" s="403"/>
      <c r="E5155" s="343"/>
    </row>
    <row r="5156" spans="1:5" s="335" customFormat="1" ht="36">
      <c r="A5156" s="342" t="s">
        <v>4338</v>
      </c>
      <c r="B5156" s="342" t="s">
        <v>4339</v>
      </c>
      <c r="C5156" s="342" t="str">
        <f>("7640013690")</f>
        <v>7640013690</v>
      </c>
      <c r="D5156" s="340">
        <v>1</v>
      </c>
      <c r="E5156" s="343"/>
    </row>
    <row r="5157" spans="1:5" s="335" customFormat="1" ht="36">
      <c r="A5157" s="342" t="s">
        <v>4340</v>
      </c>
      <c r="B5157" s="342" t="s">
        <v>4341</v>
      </c>
      <c r="C5157" s="342" t="str">
        <f>("7640013691")</f>
        <v>7640013691</v>
      </c>
      <c r="D5157" s="340">
        <v>1</v>
      </c>
      <c r="E5157" s="343"/>
    </row>
    <row r="5158" spans="1:5" s="335" customFormat="1" ht="36">
      <c r="A5158" s="342" t="s">
        <v>4342</v>
      </c>
      <c r="B5158" s="342" t="s">
        <v>4343</v>
      </c>
      <c r="C5158" s="342" t="str">
        <f>("7640013692")</f>
        <v>7640013692</v>
      </c>
      <c r="D5158" s="340">
        <v>1</v>
      </c>
      <c r="E5158" s="343"/>
    </row>
    <row r="5159" spans="1:5" s="335" customFormat="1" ht="36">
      <c r="A5159" s="342" t="s">
        <v>4344</v>
      </c>
      <c r="B5159" s="342" t="s">
        <v>4345</v>
      </c>
      <c r="C5159" s="342" t="str">
        <f>("7640013693")</f>
        <v>7640013693</v>
      </c>
      <c r="D5159" s="340">
        <v>1</v>
      </c>
      <c r="E5159" s="343"/>
    </row>
    <row r="5160" spans="1:5" s="335" customFormat="1" ht="36">
      <c r="A5160" s="342" t="s">
        <v>4346</v>
      </c>
      <c r="B5160" s="342" t="s">
        <v>4347</v>
      </c>
      <c r="C5160" s="342" t="str">
        <f>("7640013694")</f>
        <v>7640013694</v>
      </c>
      <c r="D5160" s="340">
        <v>1</v>
      </c>
      <c r="E5160" s="343"/>
    </row>
    <row r="5161" spans="1:5" s="335" customFormat="1" ht="36">
      <c r="A5161" s="342" t="s">
        <v>4348</v>
      </c>
      <c r="B5161" s="342" t="s">
        <v>4349</v>
      </c>
      <c r="C5161" s="342" t="str">
        <f>("7640013695")</f>
        <v>7640013695</v>
      </c>
      <c r="D5161" s="340">
        <v>1</v>
      </c>
      <c r="E5161" s="343"/>
    </row>
    <row r="5162" spans="1:5" s="335" customFormat="1" ht="36">
      <c r="A5162" s="342" t="s">
        <v>4350</v>
      </c>
      <c r="B5162" s="342" t="s">
        <v>4351</v>
      </c>
      <c r="C5162" s="342" t="str">
        <f>("7640013696")</f>
        <v>7640013696</v>
      </c>
      <c r="D5162" s="340">
        <v>1</v>
      </c>
      <c r="E5162" s="343"/>
    </row>
    <row r="5163" spans="1:5" s="335" customFormat="1" ht="36">
      <c r="A5163" s="342" t="s">
        <v>4352</v>
      </c>
      <c r="B5163" s="342" t="s">
        <v>4353</v>
      </c>
      <c r="C5163" s="342" t="str">
        <f>("7640013697")</f>
        <v>7640013697</v>
      </c>
      <c r="D5163" s="340">
        <v>1</v>
      </c>
      <c r="E5163" s="343"/>
    </row>
    <row r="5164" spans="1:5" s="335" customFormat="1" ht="36">
      <c r="A5164" s="342" t="s">
        <v>4354</v>
      </c>
      <c r="B5164" s="342" t="s">
        <v>4355</v>
      </c>
      <c r="C5164" s="342" t="str">
        <f>("7640013698")</f>
        <v>7640013698</v>
      </c>
      <c r="D5164" s="340">
        <v>1</v>
      </c>
      <c r="E5164" s="343"/>
    </row>
    <row r="5165" spans="1:5" s="335" customFormat="1" ht="36">
      <c r="A5165" s="342" t="s">
        <v>4356</v>
      </c>
      <c r="B5165" s="342" t="s">
        <v>4357</v>
      </c>
      <c r="C5165" s="342" t="str">
        <f>("7640013699")</f>
        <v>7640013699</v>
      </c>
      <c r="D5165" s="340">
        <v>1</v>
      </c>
      <c r="E5165" s="343"/>
    </row>
    <row r="5166" spans="1:5" s="335" customFormat="1" ht="12.75">
      <c r="A5166" s="403" t="s">
        <v>1516</v>
      </c>
      <c r="B5166" s="403"/>
      <c r="C5166" s="403"/>
      <c r="D5166" s="403"/>
      <c r="E5166" s="343"/>
    </row>
    <row r="5167" spans="1:5" s="335" customFormat="1" ht="12.75">
      <c r="A5167" s="342" t="s">
        <v>4358</v>
      </c>
      <c r="B5167" s="342" t="s">
        <v>4358</v>
      </c>
      <c r="C5167" s="342" t="str">
        <f>("7640013747")</f>
        <v>7640013747</v>
      </c>
      <c r="D5167" s="340">
        <v>250</v>
      </c>
      <c r="E5167" s="343"/>
    </row>
    <row r="5168" spans="1:5" s="335" customFormat="1" ht="12.75">
      <c r="A5168" s="342" t="s">
        <v>4359</v>
      </c>
      <c r="B5168" s="342" t="s">
        <v>4359</v>
      </c>
      <c r="C5168" s="342" t="str">
        <f>("7640013748")</f>
        <v>7640013748</v>
      </c>
      <c r="D5168" s="340">
        <v>1</v>
      </c>
      <c r="E5168" s="343"/>
    </row>
    <row r="5169" spans="1:5" s="335" customFormat="1" ht="12.75">
      <c r="A5169" s="342" t="s">
        <v>4360</v>
      </c>
      <c r="B5169" s="342" t="s">
        <v>4360</v>
      </c>
      <c r="C5169" s="342" t="str">
        <f>("7640013749")</f>
        <v>7640013749</v>
      </c>
      <c r="D5169" s="340">
        <v>1500</v>
      </c>
      <c r="E5169" s="343"/>
    </row>
    <row r="5170" spans="1:5" s="335" customFormat="1" ht="12.75">
      <c r="A5170" s="403" t="s">
        <v>856</v>
      </c>
      <c r="B5170" s="403"/>
      <c r="C5170" s="403"/>
      <c r="D5170" s="403"/>
      <c r="E5170" s="343"/>
    </row>
    <row r="5171" spans="1:5" s="335" customFormat="1" ht="36">
      <c r="A5171" s="342" t="s">
        <v>4361</v>
      </c>
      <c r="B5171" s="342" t="s">
        <v>4362</v>
      </c>
      <c r="C5171" s="342" t="str">
        <f>("7640013734")</f>
        <v>7640013734</v>
      </c>
      <c r="D5171" s="340">
        <v>2000</v>
      </c>
      <c r="E5171" s="343"/>
    </row>
    <row r="5172" spans="1:5" s="335" customFormat="1" ht="24">
      <c r="A5172" s="342" t="s">
        <v>4363</v>
      </c>
      <c r="B5172" s="342" t="s">
        <v>4364</v>
      </c>
      <c r="C5172" s="342" t="str">
        <f>("7640013735")</f>
        <v>7640013735</v>
      </c>
      <c r="D5172" s="340">
        <v>2000</v>
      </c>
      <c r="E5172" s="343"/>
    </row>
    <row r="5173" spans="1:5" s="335" customFormat="1" ht="36">
      <c r="A5173" s="342" t="s">
        <v>4365</v>
      </c>
      <c r="B5173" s="342" t="s">
        <v>4366</v>
      </c>
      <c r="C5173" s="342" t="str">
        <f>("7640013736")</f>
        <v>7640013736</v>
      </c>
      <c r="D5173" s="340">
        <v>2000</v>
      </c>
      <c r="E5173" s="343"/>
    </row>
    <row r="5174" spans="1:5" s="335" customFormat="1" ht="36">
      <c r="A5174" s="342" t="s">
        <v>4367</v>
      </c>
      <c r="B5174" s="342" t="s">
        <v>4368</v>
      </c>
      <c r="C5174" s="342" t="str">
        <f>("7640013737")</f>
        <v>7640013737</v>
      </c>
      <c r="D5174" s="340">
        <v>1500</v>
      </c>
      <c r="E5174" s="343"/>
    </row>
    <row r="5175" spans="1:5" s="335" customFormat="1" ht="36">
      <c r="A5175" s="342" t="s">
        <v>4369</v>
      </c>
      <c r="B5175" s="342" t="s">
        <v>4370</v>
      </c>
      <c r="C5175" s="342" t="str">
        <f>("7640013738")</f>
        <v>7640013738</v>
      </c>
      <c r="D5175" s="340">
        <v>1500</v>
      </c>
      <c r="E5175" s="343"/>
    </row>
    <row r="5176" spans="1:5" s="335" customFormat="1" ht="24">
      <c r="A5176" s="342" t="s">
        <v>4371</v>
      </c>
      <c r="B5176" s="342" t="s">
        <v>4371</v>
      </c>
      <c r="C5176" s="342" t="str">
        <f>("7640013739")</f>
        <v>7640013739</v>
      </c>
      <c r="D5176" s="340">
        <v>1</v>
      </c>
      <c r="E5176" s="343"/>
    </row>
    <row r="5177" spans="1:5" s="335" customFormat="1" ht="36">
      <c r="A5177" s="342" t="s">
        <v>4372</v>
      </c>
      <c r="B5177" s="342" t="s">
        <v>4373</v>
      </c>
      <c r="C5177" s="342" t="str">
        <f>("7640013740")</f>
        <v>7640013740</v>
      </c>
      <c r="D5177" s="340">
        <v>1500</v>
      </c>
      <c r="E5177" s="343"/>
    </row>
    <row r="5178" spans="1:5" s="335" customFormat="1" ht="36">
      <c r="A5178" s="342" t="s">
        <v>4374</v>
      </c>
      <c r="B5178" s="342" t="s">
        <v>4375</v>
      </c>
      <c r="C5178" s="342" t="str">
        <f>("7640013741")</f>
        <v>7640013741</v>
      </c>
      <c r="D5178" s="340">
        <v>1500</v>
      </c>
      <c r="E5178" s="343"/>
    </row>
    <row r="5179" spans="1:5" s="335" customFormat="1" ht="36">
      <c r="A5179" s="342" t="s">
        <v>4376</v>
      </c>
      <c r="B5179" s="342" t="s">
        <v>4377</v>
      </c>
      <c r="C5179" s="342" t="str">
        <f>("7640013742")</f>
        <v>7640013742</v>
      </c>
      <c r="D5179" s="340">
        <v>1500</v>
      </c>
      <c r="E5179" s="343"/>
    </row>
    <row r="5180" spans="1:5" s="335" customFormat="1" ht="36">
      <c r="A5180" s="342" t="s">
        <v>4378</v>
      </c>
      <c r="B5180" s="342" t="s">
        <v>4379</v>
      </c>
      <c r="C5180" s="342" t="str">
        <f>("7640013743")</f>
        <v>7640013743</v>
      </c>
      <c r="D5180" s="340">
        <v>1500</v>
      </c>
      <c r="E5180" s="343"/>
    </row>
    <row r="5181" spans="1:5" s="335" customFormat="1" ht="24">
      <c r="A5181" s="342" t="s">
        <v>4380</v>
      </c>
      <c r="B5181" s="342" t="s">
        <v>4381</v>
      </c>
      <c r="C5181" s="342" t="str">
        <f>("7640013744")</f>
        <v>7640013744</v>
      </c>
      <c r="D5181" s="340">
        <v>2000</v>
      </c>
      <c r="E5181" s="343"/>
    </row>
    <row r="5182" spans="1:5" s="335" customFormat="1" ht="36">
      <c r="A5182" s="342" t="s">
        <v>4382</v>
      </c>
      <c r="B5182" s="342" t="s">
        <v>4383</v>
      </c>
      <c r="C5182" s="342" t="str">
        <f>("7640013745")</f>
        <v>7640013745</v>
      </c>
      <c r="D5182" s="340">
        <v>1500</v>
      </c>
      <c r="E5182" s="343"/>
    </row>
    <row r="5183" spans="1:5" s="335" customFormat="1" ht="36">
      <c r="A5183" s="342" t="s">
        <v>4384</v>
      </c>
      <c r="B5183" s="342" t="s">
        <v>4385</v>
      </c>
      <c r="C5183" s="342" t="str">
        <f>("7640013746")</f>
        <v>7640013746</v>
      </c>
      <c r="D5183" s="340">
        <v>1500</v>
      </c>
      <c r="E5183" s="343"/>
    </row>
    <row r="5184" spans="1:5" s="335" customFormat="1" ht="12.75">
      <c r="A5184" s="403" t="s">
        <v>4386</v>
      </c>
      <c r="B5184" s="403"/>
      <c r="C5184" s="403"/>
      <c r="D5184" s="403"/>
      <c r="E5184" s="343"/>
    </row>
    <row r="5185" spans="1:5" s="335" customFormat="1" ht="24">
      <c r="A5185" s="342" t="s">
        <v>4387</v>
      </c>
      <c r="B5185" s="342" t="s">
        <v>4387</v>
      </c>
      <c r="C5185" s="342" t="str">
        <f>("7640013601")</f>
        <v>7640013601</v>
      </c>
      <c r="D5185" s="340">
        <v>12</v>
      </c>
      <c r="E5185" s="343"/>
    </row>
    <row r="5186" spans="1:5" s="335" customFormat="1" ht="24">
      <c r="A5186" s="342" t="s">
        <v>4388</v>
      </c>
      <c r="B5186" s="342" t="s">
        <v>4388</v>
      </c>
      <c r="C5186" s="342" t="str">
        <f>("7640013602")</f>
        <v>7640013602</v>
      </c>
      <c r="D5186" s="340">
        <v>9</v>
      </c>
      <c r="E5186" s="343"/>
    </row>
    <row r="5187" spans="1:5" s="335" customFormat="1" ht="24">
      <c r="A5187" s="342" t="s">
        <v>4389</v>
      </c>
      <c r="B5187" s="342" t="s">
        <v>4390</v>
      </c>
      <c r="C5187" s="342" t="str">
        <f>("7640013603")</f>
        <v>7640013603</v>
      </c>
      <c r="D5187" s="340">
        <v>8.25</v>
      </c>
      <c r="E5187" s="343"/>
    </row>
    <row r="5188" spans="1:5" s="335" customFormat="1" ht="24">
      <c r="A5188" s="342" t="s">
        <v>4391</v>
      </c>
      <c r="B5188" s="342" t="s">
        <v>4391</v>
      </c>
      <c r="C5188" s="342" t="str">
        <f>("7640013605")</f>
        <v>7640013605</v>
      </c>
      <c r="D5188" s="340">
        <v>7</v>
      </c>
      <c r="E5188" s="343"/>
    </row>
    <row r="5189" spans="1:5" s="335" customFormat="1" ht="36">
      <c r="A5189" s="342" t="s">
        <v>4392</v>
      </c>
      <c r="B5189" s="342" t="s">
        <v>4393</v>
      </c>
      <c r="C5189" s="342" t="s">
        <v>6318</v>
      </c>
      <c r="D5189" s="340">
        <v>5000</v>
      </c>
      <c r="E5189" s="343"/>
    </row>
    <row r="5190" spans="1:5" s="335" customFormat="1" ht="48">
      <c r="A5190" s="342" t="s">
        <v>4394</v>
      </c>
      <c r="B5190" s="342" t="s">
        <v>4395</v>
      </c>
      <c r="C5190" s="342" t="str">
        <f>("7640013607")</f>
        <v>7640013607</v>
      </c>
      <c r="D5190" s="340">
        <v>150</v>
      </c>
      <c r="E5190" s="343"/>
    </row>
    <row r="5191" spans="1:5" s="335" customFormat="1" ht="36">
      <c r="A5191" s="342" t="s">
        <v>4396</v>
      </c>
      <c r="B5191" s="342" t="s">
        <v>4397</v>
      </c>
      <c r="C5191" s="342" t="str">
        <f>("7640013608")</f>
        <v>7640013608</v>
      </c>
      <c r="D5191" s="340">
        <v>135</v>
      </c>
      <c r="E5191" s="343"/>
    </row>
    <row r="5192" spans="1:5" s="335" customFormat="1" ht="36">
      <c r="A5192" s="342" t="s">
        <v>4398</v>
      </c>
      <c r="B5192" s="342" t="s">
        <v>4399</v>
      </c>
      <c r="C5192" s="342" t="str">
        <f>("7640013609")</f>
        <v>7640013609</v>
      </c>
      <c r="D5192" s="340">
        <v>120</v>
      </c>
      <c r="E5192" s="343"/>
    </row>
    <row r="5193" spans="1:5" s="335" customFormat="1" ht="36">
      <c r="A5193" s="342" t="s">
        <v>4400</v>
      </c>
      <c r="B5193" s="342" t="s">
        <v>4401</v>
      </c>
      <c r="C5193" s="342" t="str">
        <f>("7640013610")</f>
        <v>7640013610</v>
      </c>
      <c r="D5193" s="340">
        <v>5000</v>
      </c>
      <c r="E5193" s="343"/>
    </row>
    <row r="5194" spans="1:5" s="335" customFormat="1" ht="24">
      <c r="A5194" s="342" t="s">
        <v>4402</v>
      </c>
      <c r="B5194" s="342" t="s">
        <v>4402</v>
      </c>
      <c r="C5194" s="342" t="str">
        <f>("7640013611")</f>
        <v>7640013611</v>
      </c>
      <c r="D5194" s="340">
        <v>650</v>
      </c>
      <c r="E5194" s="343"/>
    </row>
    <row r="5195" spans="1:5" s="335" customFormat="1" ht="36">
      <c r="A5195" s="342" t="s">
        <v>4392</v>
      </c>
      <c r="B5195" s="342" t="s">
        <v>4403</v>
      </c>
      <c r="C5195" s="342" t="str">
        <f>("7640013612")</f>
        <v>7640013612</v>
      </c>
      <c r="D5195" s="340">
        <v>5000</v>
      </c>
      <c r="E5195" s="343"/>
    </row>
    <row r="5196" spans="1:5" s="335" customFormat="1" ht="48">
      <c r="A5196" s="342" t="s">
        <v>4394</v>
      </c>
      <c r="B5196" s="342" t="s">
        <v>4404</v>
      </c>
      <c r="C5196" s="342" t="str">
        <f>("7640013613")</f>
        <v>7640013613</v>
      </c>
      <c r="D5196" s="340">
        <v>150</v>
      </c>
      <c r="E5196" s="343"/>
    </row>
    <row r="5197" spans="1:5" s="335" customFormat="1" ht="36">
      <c r="A5197" s="342" t="s">
        <v>4396</v>
      </c>
      <c r="B5197" s="342" t="s">
        <v>4405</v>
      </c>
      <c r="C5197" s="342" t="str">
        <f>("7640013614")</f>
        <v>7640013614</v>
      </c>
      <c r="D5197" s="340">
        <v>135</v>
      </c>
      <c r="E5197" s="343"/>
    </row>
    <row r="5198" spans="1:5" s="335" customFormat="1" ht="36">
      <c r="A5198" s="342" t="s">
        <v>4398</v>
      </c>
      <c r="B5198" s="342" t="s">
        <v>4406</v>
      </c>
      <c r="C5198" s="342" t="str">
        <f>("7640013615")</f>
        <v>7640013615</v>
      </c>
      <c r="D5198" s="340">
        <v>120</v>
      </c>
      <c r="E5198" s="343"/>
    </row>
    <row r="5199" spans="1:5" s="335" customFormat="1" ht="36">
      <c r="A5199" s="342" t="s">
        <v>4407</v>
      </c>
      <c r="B5199" s="342" t="s">
        <v>4408</v>
      </c>
      <c r="C5199" s="342" t="str">
        <f>("7640013616")</f>
        <v>7640013616</v>
      </c>
      <c r="D5199" s="340">
        <v>15500</v>
      </c>
      <c r="E5199" s="343"/>
    </row>
    <row r="5200" spans="1:5" s="335" customFormat="1" ht="36">
      <c r="A5200" s="342" t="s">
        <v>4409</v>
      </c>
      <c r="B5200" s="342" t="s">
        <v>4410</v>
      </c>
      <c r="C5200" s="342" t="str">
        <f>("7640013617")</f>
        <v>7640013617</v>
      </c>
      <c r="D5200" s="340">
        <v>21750</v>
      </c>
      <c r="E5200" s="343"/>
    </row>
    <row r="5201" spans="1:5" s="335" customFormat="1" ht="36">
      <c r="A5201" s="342" t="s">
        <v>4411</v>
      </c>
      <c r="B5201" s="342" t="s">
        <v>4412</v>
      </c>
      <c r="C5201" s="342" t="str">
        <f>("7640013618")</f>
        <v>7640013618</v>
      </c>
      <c r="D5201" s="340">
        <v>24750</v>
      </c>
      <c r="E5201" s="343"/>
    </row>
    <row r="5202" spans="1:5" s="335" customFormat="1" ht="36">
      <c r="A5202" s="342" t="s">
        <v>4413</v>
      </c>
      <c r="B5202" s="342" t="s">
        <v>4414</v>
      </c>
      <c r="C5202" s="342" t="str">
        <f>("7640013619")</f>
        <v>7640013619</v>
      </c>
      <c r="D5202" s="340">
        <v>29250</v>
      </c>
      <c r="E5202" s="343"/>
    </row>
    <row r="5203" spans="1:5" s="335" customFormat="1" ht="36">
      <c r="A5203" s="342" t="s">
        <v>4415</v>
      </c>
      <c r="B5203" s="342" t="s">
        <v>4416</v>
      </c>
      <c r="C5203" s="342" t="str">
        <f>("7640013620")</f>
        <v>7640013620</v>
      </c>
      <c r="D5203" s="340">
        <v>35000</v>
      </c>
      <c r="E5203" s="343"/>
    </row>
    <row r="5204" spans="1:5" s="335" customFormat="1" ht="36">
      <c r="A5204" s="342" t="s">
        <v>4417</v>
      </c>
      <c r="B5204" s="342" t="s">
        <v>4418</v>
      </c>
      <c r="C5204" s="342" t="str">
        <f>("7640013621")</f>
        <v>7640013621</v>
      </c>
      <c r="D5204" s="340">
        <v>43000</v>
      </c>
      <c r="E5204" s="343"/>
    </row>
    <row r="5205" spans="1:5" s="335" customFormat="1" ht="36">
      <c r="A5205" s="342" t="s">
        <v>4419</v>
      </c>
      <c r="B5205" s="342" t="s">
        <v>4420</v>
      </c>
      <c r="C5205" s="342" t="str">
        <f>("7640013623")</f>
        <v>7640013623</v>
      </c>
      <c r="D5205" s="340">
        <v>62500</v>
      </c>
      <c r="E5205" s="343"/>
    </row>
    <row r="5206" spans="1:5" s="335" customFormat="1" ht="36">
      <c r="A5206" s="342" t="s">
        <v>4421</v>
      </c>
      <c r="B5206" s="342" t="s">
        <v>4422</v>
      </c>
      <c r="C5206" s="342" t="str">
        <f>("7640013624")</f>
        <v>7640013624</v>
      </c>
      <c r="D5206" s="340">
        <v>75500</v>
      </c>
      <c r="E5206" s="343"/>
    </row>
    <row r="5207" spans="1:5" s="335" customFormat="1" ht="36">
      <c r="A5207" s="342" t="s">
        <v>4423</v>
      </c>
      <c r="B5207" s="342" t="s">
        <v>4424</v>
      </c>
      <c r="C5207" s="342" t="str">
        <f>("7640013625")</f>
        <v>7640013625</v>
      </c>
      <c r="D5207" s="340">
        <v>87750</v>
      </c>
      <c r="E5207" s="343"/>
    </row>
    <row r="5208" spans="1:5" s="335" customFormat="1" ht="36">
      <c r="A5208" s="342" t="s">
        <v>4425</v>
      </c>
      <c r="B5208" s="342" t="s">
        <v>4426</v>
      </c>
      <c r="C5208" s="342" t="str">
        <f>("7640013626")</f>
        <v>7640013626</v>
      </c>
      <c r="D5208" s="340">
        <v>99000</v>
      </c>
      <c r="E5208" s="343"/>
    </row>
    <row r="5209" spans="1:5" s="335" customFormat="1" ht="24">
      <c r="A5209" s="342" t="s">
        <v>4427</v>
      </c>
      <c r="B5209" s="342" t="s">
        <v>4427</v>
      </c>
      <c r="C5209" s="342" t="str">
        <f>("7640013681")</f>
        <v>7640013681</v>
      </c>
      <c r="D5209" s="340">
        <v>300</v>
      </c>
      <c r="E5209" s="343"/>
    </row>
    <row r="5210" spans="1:5" s="335" customFormat="1" ht="36">
      <c r="A5210" s="342" t="s">
        <v>4428</v>
      </c>
      <c r="B5210" s="342" t="s">
        <v>4429</v>
      </c>
      <c r="C5210" s="342" t="str">
        <f>("7640013682")</f>
        <v>7640013682</v>
      </c>
      <c r="D5210" s="340">
        <v>285</v>
      </c>
      <c r="E5210" s="343"/>
    </row>
    <row r="5211" spans="1:5" s="335" customFormat="1" ht="36">
      <c r="A5211" s="342" t="s">
        <v>4430</v>
      </c>
      <c r="B5211" s="342" t="s">
        <v>4431</v>
      </c>
      <c r="C5211" s="342" t="str">
        <f>("7640013683")</f>
        <v>7640013683</v>
      </c>
      <c r="D5211" s="340">
        <v>270</v>
      </c>
      <c r="E5211" s="343"/>
    </row>
    <row r="5212" spans="1:5" s="335" customFormat="1" ht="24">
      <c r="A5212" s="342" t="s">
        <v>4432</v>
      </c>
      <c r="B5212" s="342" t="s">
        <v>4432</v>
      </c>
      <c r="C5212" s="342" t="str">
        <f>("7640013684")</f>
        <v>7640013684</v>
      </c>
      <c r="D5212" s="340">
        <v>300</v>
      </c>
      <c r="E5212" s="343"/>
    </row>
    <row r="5213" spans="1:5" s="335" customFormat="1" ht="36">
      <c r="A5213" s="342" t="s">
        <v>4428</v>
      </c>
      <c r="B5213" s="342" t="s">
        <v>4429</v>
      </c>
      <c r="C5213" s="342" t="str">
        <f>("7640013685")</f>
        <v>7640013685</v>
      </c>
      <c r="D5213" s="340">
        <v>285</v>
      </c>
      <c r="E5213" s="343"/>
    </row>
    <row r="5214" spans="1:5" s="335" customFormat="1" ht="36">
      <c r="A5214" s="342" t="s">
        <v>4430</v>
      </c>
      <c r="B5214" s="342" t="s">
        <v>4431</v>
      </c>
      <c r="C5214" s="342" t="str">
        <f>("7640013686")</f>
        <v>7640013686</v>
      </c>
      <c r="D5214" s="340">
        <v>270</v>
      </c>
      <c r="E5214" s="343"/>
    </row>
    <row r="5215" spans="1:5" s="335" customFormat="1" ht="12.75">
      <c r="A5215" s="403" t="s">
        <v>3473</v>
      </c>
      <c r="B5215" s="403"/>
      <c r="C5215" s="403"/>
      <c r="D5215" s="403"/>
      <c r="E5215" s="343"/>
    </row>
    <row r="5216" spans="1:5" s="335" customFormat="1" ht="48">
      <c r="A5216" s="342" t="s">
        <v>4433</v>
      </c>
      <c r="B5216" s="342" t="s">
        <v>4434</v>
      </c>
      <c r="C5216" s="342" t="str">
        <f>("7640013714")</f>
        <v>7640013714</v>
      </c>
      <c r="D5216" s="340">
        <v>1</v>
      </c>
      <c r="E5216" s="343"/>
    </row>
    <row r="5217" spans="1:5" s="335" customFormat="1" ht="48">
      <c r="A5217" s="342" t="s">
        <v>4435</v>
      </c>
      <c r="B5217" s="342" t="s">
        <v>4436</v>
      </c>
      <c r="C5217" s="342" t="str">
        <f>("7640013715")</f>
        <v>7640013715</v>
      </c>
      <c r="D5217" s="340">
        <v>1</v>
      </c>
      <c r="E5217" s="343"/>
    </row>
    <row r="5218" spans="1:5" s="335" customFormat="1" ht="48">
      <c r="A5218" s="342" t="s">
        <v>4437</v>
      </c>
      <c r="B5218" s="342" t="s">
        <v>4438</v>
      </c>
      <c r="C5218" s="342" t="str">
        <f>("7640013716")</f>
        <v>7640013716</v>
      </c>
      <c r="D5218" s="340">
        <v>1</v>
      </c>
      <c r="E5218" s="343"/>
    </row>
    <row r="5219" spans="1:5" s="335" customFormat="1" ht="48">
      <c r="A5219" s="342" t="s">
        <v>4439</v>
      </c>
      <c r="B5219" s="342" t="s">
        <v>4440</v>
      </c>
      <c r="C5219" s="342" t="str">
        <f>("7640013717")</f>
        <v>7640013717</v>
      </c>
      <c r="D5219" s="340">
        <v>1</v>
      </c>
      <c r="E5219" s="343"/>
    </row>
    <row r="5220" spans="1:5" s="335" customFormat="1" ht="48">
      <c r="A5220" s="342" t="s">
        <v>4441</v>
      </c>
      <c r="B5220" s="342" t="s">
        <v>4442</v>
      </c>
      <c r="C5220" s="342" t="str">
        <f>("7640013718")</f>
        <v>7640013718</v>
      </c>
      <c r="D5220" s="340">
        <v>1</v>
      </c>
      <c r="E5220" s="343"/>
    </row>
    <row r="5221" spans="1:5" s="335" customFormat="1" ht="48">
      <c r="A5221" s="342" t="s">
        <v>4443</v>
      </c>
      <c r="B5221" s="342" t="s">
        <v>4444</v>
      </c>
      <c r="C5221" s="342" t="str">
        <f>("7640013719")</f>
        <v>7640013719</v>
      </c>
      <c r="D5221" s="340">
        <v>1</v>
      </c>
      <c r="E5221" s="343"/>
    </row>
    <row r="5222" spans="1:5" s="335" customFormat="1" ht="48">
      <c r="A5222" s="342" t="s">
        <v>4445</v>
      </c>
      <c r="B5222" s="342" t="s">
        <v>4446</v>
      </c>
      <c r="C5222" s="342" t="str">
        <f>("7640013720")</f>
        <v>7640013720</v>
      </c>
      <c r="D5222" s="340">
        <v>1</v>
      </c>
      <c r="E5222" s="343"/>
    </row>
    <row r="5223" spans="1:5" s="335" customFormat="1" ht="48">
      <c r="A5223" s="342" t="s">
        <v>4447</v>
      </c>
      <c r="B5223" s="342" t="s">
        <v>4448</v>
      </c>
      <c r="C5223" s="342" t="str">
        <f>("7640013721")</f>
        <v>7640013721</v>
      </c>
      <c r="D5223" s="340">
        <v>1</v>
      </c>
      <c r="E5223" s="343"/>
    </row>
    <row r="5224" spans="1:5" s="335" customFormat="1" ht="48">
      <c r="A5224" s="342" t="s">
        <v>4449</v>
      </c>
      <c r="B5224" s="342" t="s">
        <v>4450</v>
      </c>
      <c r="C5224" s="342" t="str">
        <f>("7640013722")</f>
        <v>7640013722</v>
      </c>
      <c r="D5224" s="340">
        <v>1</v>
      </c>
      <c r="E5224" s="343"/>
    </row>
    <row r="5225" spans="1:5" s="335" customFormat="1" ht="48">
      <c r="A5225" s="342" t="s">
        <v>4451</v>
      </c>
      <c r="B5225" s="342" t="s">
        <v>4452</v>
      </c>
      <c r="C5225" s="342" t="str">
        <f>("7640013723")</f>
        <v>7640013723</v>
      </c>
      <c r="D5225" s="340">
        <v>1</v>
      </c>
      <c r="E5225" s="343"/>
    </row>
    <row r="5226" spans="1:5" s="335" customFormat="1" ht="48">
      <c r="A5226" s="342" t="s">
        <v>4453</v>
      </c>
      <c r="B5226" s="342" t="s">
        <v>4454</v>
      </c>
      <c r="C5226" s="342" t="s">
        <v>6319</v>
      </c>
      <c r="D5226" s="340">
        <v>1</v>
      </c>
      <c r="E5226" s="343"/>
    </row>
    <row r="5227" spans="1:5" s="335" customFormat="1" ht="48">
      <c r="A5227" s="342" t="s">
        <v>4455</v>
      </c>
      <c r="B5227" s="342" t="s">
        <v>4456</v>
      </c>
      <c r="C5227" s="342" t="str">
        <f>("7640013726")</f>
        <v>7640013726</v>
      </c>
      <c r="D5227" s="340">
        <v>1</v>
      </c>
      <c r="E5227" s="343"/>
    </row>
    <row r="5228" spans="1:5" s="335" customFormat="1" ht="48">
      <c r="A5228" s="342" t="s">
        <v>4457</v>
      </c>
      <c r="B5228" s="342" t="s">
        <v>4458</v>
      </c>
      <c r="C5228" s="342" t="str">
        <f>("7640013727")</f>
        <v>7640013727</v>
      </c>
      <c r="D5228" s="340">
        <v>1</v>
      </c>
      <c r="E5228" s="343"/>
    </row>
    <row r="5229" spans="1:5" s="335" customFormat="1" ht="48">
      <c r="A5229" s="342" t="s">
        <v>4459</v>
      </c>
      <c r="B5229" s="342" t="s">
        <v>4460</v>
      </c>
      <c r="C5229" s="342" t="str">
        <f>("7640013728")</f>
        <v>7640013728</v>
      </c>
      <c r="D5229" s="340">
        <v>1</v>
      </c>
      <c r="E5229" s="343"/>
    </row>
    <row r="5230" spans="1:5" s="335" customFormat="1" ht="48">
      <c r="A5230" s="342" t="s">
        <v>4461</v>
      </c>
      <c r="B5230" s="342" t="s">
        <v>4462</v>
      </c>
      <c r="C5230" s="342" t="str">
        <f>("7640013729")</f>
        <v>7640013729</v>
      </c>
      <c r="D5230" s="340">
        <v>1</v>
      </c>
      <c r="E5230" s="343"/>
    </row>
    <row r="5231" spans="1:5" s="335" customFormat="1" ht="48">
      <c r="A5231" s="342" t="s">
        <v>4463</v>
      </c>
      <c r="B5231" s="342" t="s">
        <v>4464</v>
      </c>
      <c r="C5231" s="342" t="str">
        <f>("7640013730")</f>
        <v>7640013730</v>
      </c>
      <c r="D5231" s="340">
        <v>1</v>
      </c>
      <c r="E5231" s="343"/>
    </row>
    <row r="5232" spans="1:5" s="335" customFormat="1" ht="48">
      <c r="A5232" s="342" t="s">
        <v>4465</v>
      </c>
      <c r="B5232" s="342" t="s">
        <v>4466</v>
      </c>
      <c r="C5232" s="342" t="str">
        <f>("7640013731")</f>
        <v>7640013731</v>
      </c>
      <c r="D5232" s="340">
        <v>1</v>
      </c>
      <c r="E5232" s="343"/>
    </row>
    <row r="5233" spans="1:5" s="335" customFormat="1" ht="48">
      <c r="A5233" s="342" t="s">
        <v>4467</v>
      </c>
      <c r="B5233" s="342" t="s">
        <v>4468</v>
      </c>
      <c r="C5233" s="342" t="str">
        <f>("7640013732")</f>
        <v>7640013732</v>
      </c>
      <c r="D5233" s="340">
        <v>1</v>
      </c>
      <c r="E5233" s="343"/>
    </row>
    <row r="5234" spans="1:5" s="335" customFormat="1" ht="48">
      <c r="A5234" s="342" t="s">
        <v>4469</v>
      </c>
      <c r="B5234" s="342" t="s">
        <v>4470</v>
      </c>
      <c r="C5234" s="342" t="str">
        <f>("7640013733")</f>
        <v>7640013733</v>
      </c>
      <c r="D5234" s="340">
        <v>1</v>
      </c>
      <c r="E5234" s="343"/>
    </row>
    <row r="5235" spans="1:5" s="335" customFormat="1" ht="12.75">
      <c r="A5235" s="344"/>
      <c r="B5235" s="343"/>
      <c r="C5235" s="343"/>
      <c r="D5235" s="395"/>
      <c r="E5235" s="343"/>
    </row>
    <row r="5236" spans="1:5" s="335" customFormat="1" ht="15" customHeight="1">
      <c r="A5236" s="345"/>
      <c r="B5236" s="404" t="s">
        <v>4471</v>
      </c>
      <c r="C5236" s="404"/>
      <c r="D5236" s="404"/>
      <c r="E5236" s="404"/>
    </row>
    <row r="5237" spans="1:5" s="335" customFormat="1" ht="25.5">
      <c r="A5237" s="346" t="s">
        <v>789</v>
      </c>
      <c r="B5237" s="346" t="s">
        <v>409</v>
      </c>
      <c r="C5237" s="346" t="s">
        <v>26</v>
      </c>
      <c r="D5237" s="337" t="s">
        <v>6425</v>
      </c>
      <c r="E5237" s="343"/>
    </row>
    <row r="5238" spans="1:5" s="335" customFormat="1" ht="14.25">
      <c r="A5238" s="342" t="s">
        <v>4472</v>
      </c>
      <c r="B5238" s="342" t="s">
        <v>4473</v>
      </c>
      <c r="C5238" s="342" t="s">
        <v>6320</v>
      </c>
      <c r="D5238" s="340">
        <v>0</v>
      </c>
      <c r="E5238" s="343"/>
    </row>
    <row r="5239" spans="1:5" s="335" customFormat="1" ht="12.75">
      <c r="A5239" s="403" t="s">
        <v>4474</v>
      </c>
      <c r="B5239" s="403"/>
      <c r="C5239" s="403"/>
      <c r="D5239" s="403"/>
      <c r="E5239" s="343"/>
    </row>
    <row r="5240" spans="1:5" s="335" customFormat="1" ht="24">
      <c r="A5240" s="342" t="s">
        <v>4475</v>
      </c>
      <c r="B5240" s="342" t="s">
        <v>4476</v>
      </c>
      <c r="C5240" s="342" t="str">
        <f>("7640007953")</f>
        <v>7640007953</v>
      </c>
      <c r="D5240" s="340">
        <v>3500</v>
      </c>
      <c r="E5240" s="343"/>
    </row>
    <row r="5241" spans="1:5" s="335" customFormat="1" ht="24">
      <c r="A5241" s="342" t="s">
        <v>4477</v>
      </c>
      <c r="B5241" s="342" t="s">
        <v>4478</v>
      </c>
      <c r="C5241" s="342" t="str">
        <f>("7640007954")</f>
        <v>7640007954</v>
      </c>
      <c r="D5241" s="340">
        <v>2625</v>
      </c>
      <c r="E5241" s="343"/>
    </row>
    <row r="5242" spans="1:5" s="335" customFormat="1" ht="24">
      <c r="A5242" s="342" t="s">
        <v>4479</v>
      </c>
      <c r="B5242" s="342" t="s">
        <v>4480</v>
      </c>
      <c r="C5242" s="342" t="str">
        <f>("7640007955")</f>
        <v>7640007955</v>
      </c>
      <c r="D5242" s="340">
        <v>7500</v>
      </c>
      <c r="E5242" s="343"/>
    </row>
    <row r="5243" spans="1:5" s="335" customFormat="1" ht="24">
      <c r="A5243" s="342" t="s">
        <v>4481</v>
      </c>
      <c r="B5243" s="342" t="s">
        <v>4482</v>
      </c>
      <c r="C5243" s="342" t="str">
        <f>("7640007956")</f>
        <v>7640007956</v>
      </c>
      <c r="D5243" s="340">
        <v>5625</v>
      </c>
      <c r="E5243" s="343"/>
    </row>
    <row r="5244" spans="1:5" s="335" customFormat="1" ht="24">
      <c r="A5244" s="342" t="s">
        <v>4483</v>
      </c>
      <c r="B5244" s="342" t="s">
        <v>4484</v>
      </c>
      <c r="C5244" s="342" t="str">
        <f>("7640007957")</f>
        <v>7640007957</v>
      </c>
      <c r="D5244" s="340">
        <v>12500</v>
      </c>
      <c r="E5244" s="343"/>
    </row>
    <row r="5245" spans="1:5" s="335" customFormat="1" ht="24">
      <c r="A5245" s="342" t="s">
        <v>4485</v>
      </c>
      <c r="B5245" s="342" t="s">
        <v>4486</v>
      </c>
      <c r="C5245" s="342" t="str">
        <f>("7640007958")</f>
        <v>7640007958</v>
      </c>
      <c r="D5245" s="340">
        <v>9375</v>
      </c>
      <c r="E5245" s="343"/>
    </row>
    <row r="5246" spans="1:5" s="335" customFormat="1" ht="24">
      <c r="A5246" s="342" t="s">
        <v>4487</v>
      </c>
      <c r="B5246" s="342" t="s">
        <v>4488</v>
      </c>
      <c r="C5246" s="342" t="str">
        <f>("7640007959")</f>
        <v>7640007959</v>
      </c>
      <c r="D5246" s="340">
        <v>4000</v>
      </c>
      <c r="E5246" s="343"/>
    </row>
    <row r="5247" spans="1:5" s="335" customFormat="1" ht="24">
      <c r="A5247" s="342" t="s">
        <v>4489</v>
      </c>
      <c r="B5247" s="342" t="s">
        <v>4490</v>
      </c>
      <c r="C5247" s="342" t="str">
        <f>("7640007960")</f>
        <v>7640007960</v>
      </c>
      <c r="D5247" s="340">
        <v>3000</v>
      </c>
      <c r="E5247" s="343"/>
    </row>
    <row r="5248" spans="1:5" s="335" customFormat="1" ht="36">
      <c r="A5248" s="342" t="s">
        <v>4491</v>
      </c>
      <c r="B5248" s="342" t="s">
        <v>4492</v>
      </c>
      <c r="C5248" s="342" t="s">
        <v>6321</v>
      </c>
      <c r="D5248" s="340">
        <v>1750</v>
      </c>
      <c r="E5248" s="343"/>
    </row>
    <row r="5249" spans="1:5" s="335" customFormat="1" ht="36">
      <c r="A5249" s="342" t="s">
        <v>4493</v>
      </c>
      <c r="B5249" s="342" t="s">
        <v>4494</v>
      </c>
      <c r="C5249" s="342" t="s">
        <v>6322</v>
      </c>
      <c r="D5249" s="340">
        <v>3750</v>
      </c>
      <c r="E5249" s="343"/>
    </row>
    <row r="5250" spans="1:5" s="335" customFormat="1" ht="36">
      <c r="A5250" s="342" t="s">
        <v>4495</v>
      </c>
      <c r="B5250" s="342" t="s">
        <v>4496</v>
      </c>
      <c r="C5250" s="342" t="s">
        <v>6323</v>
      </c>
      <c r="D5250" s="340">
        <v>6250</v>
      </c>
      <c r="E5250" s="343"/>
    </row>
    <row r="5251" spans="1:5" s="335" customFormat="1" ht="36">
      <c r="A5251" s="342" t="s">
        <v>4497</v>
      </c>
      <c r="B5251" s="342" t="s">
        <v>4498</v>
      </c>
      <c r="C5251" s="342" t="s">
        <v>6324</v>
      </c>
      <c r="D5251" s="340">
        <v>2000</v>
      </c>
      <c r="E5251" s="343"/>
    </row>
    <row r="5252" spans="1:5" s="335" customFormat="1" ht="12.75">
      <c r="A5252" s="403" t="s">
        <v>4499</v>
      </c>
      <c r="B5252" s="403"/>
      <c r="C5252" s="403"/>
      <c r="D5252" s="403"/>
      <c r="E5252" s="343"/>
    </row>
    <row r="5253" spans="1:5" s="335" customFormat="1" ht="12.75">
      <c r="A5253" s="342" t="s">
        <v>4500</v>
      </c>
      <c r="B5253" s="342" t="s">
        <v>4501</v>
      </c>
      <c r="C5253" s="342" t="str">
        <f>("7640007967")</f>
        <v>7640007967</v>
      </c>
      <c r="D5253" s="340">
        <v>595</v>
      </c>
      <c r="E5253" s="343"/>
    </row>
    <row r="5254" spans="1:5" s="335" customFormat="1" ht="24">
      <c r="A5254" s="342" t="s">
        <v>4502</v>
      </c>
      <c r="B5254" s="342" t="s">
        <v>4503</v>
      </c>
      <c r="C5254" s="342" t="str">
        <f>("7640007968")</f>
        <v>7640007968</v>
      </c>
      <c r="D5254" s="340">
        <v>446.25</v>
      </c>
      <c r="E5254" s="343"/>
    </row>
    <row r="5255" spans="1:5" s="335" customFormat="1" ht="12.75">
      <c r="A5255" s="342" t="s">
        <v>4504</v>
      </c>
      <c r="B5255" s="342" t="s">
        <v>4505</v>
      </c>
      <c r="C5255" s="342" t="str">
        <f>("7640007969")</f>
        <v>7640007969</v>
      </c>
      <c r="D5255" s="340">
        <v>1275</v>
      </c>
      <c r="E5255" s="343"/>
    </row>
    <row r="5256" spans="1:5" s="335" customFormat="1" ht="24">
      <c r="A5256" s="342" t="s">
        <v>4506</v>
      </c>
      <c r="B5256" s="342" t="s">
        <v>4507</v>
      </c>
      <c r="C5256" s="342" t="str">
        <f>("7640007970")</f>
        <v>7640007970</v>
      </c>
      <c r="D5256" s="340">
        <v>956.25</v>
      </c>
      <c r="E5256" s="343"/>
    </row>
    <row r="5257" spans="1:5" s="335" customFormat="1" ht="24">
      <c r="A5257" s="342" t="s">
        <v>4508</v>
      </c>
      <c r="B5257" s="342" t="s">
        <v>4509</v>
      </c>
      <c r="C5257" s="342" t="str">
        <f>("7640007971")</f>
        <v>7640007971</v>
      </c>
      <c r="D5257" s="340">
        <v>2125</v>
      </c>
      <c r="E5257" s="343"/>
    </row>
    <row r="5258" spans="1:5" s="335" customFormat="1" ht="24">
      <c r="A5258" s="342" t="s">
        <v>4510</v>
      </c>
      <c r="B5258" s="342" t="s">
        <v>4511</v>
      </c>
      <c r="C5258" s="342" t="str">
        <f>("7640007972")</f>
        <v>7640007972</v>
      </c>
      <c r="D5258" s="340">
        <v>1593.75</v>
      </c>
      <c r="E5258" s="343"/>
    </row>
    <row r="5259" spans="1:5" s="335" customFormat="1" ht="24">
      <c r="A5259" s="342" t="s">
        <v>4512</v>
      </c>
      <c r="B5259" s="342" t="s">
        <v>4513</v>
      </c>
      <c r="C5259" s="342" t="str">
        <f>("7640007973")</f>
        <v>7640007973</v>
      </c>
      <c r="D5259" s="340">
        <v>680</v>
      </c>
      <c r="E5259" s="343"/>
    </row>
    <row r="5260" spans="1:5" s="335" customFormat="1" ht="24">
      <c r="A5260" s="342" t="s">
        <v>4514</v>
      </c>
      <c r="B5260" s="342" t="s">
        <v>4515</v>
      </c>
      <c r="C5260" s="342" t="str">
        <f>("7640007974")</f>
        <v>7640007974</v>
      </c>
      <c r="D5260" s="340">
        <v>510</v>
      </c>
      <c r="E5260" s="343"/>
    </row>
    <row r="5261" spans="1:5" s="335" customFormat="1" ht="12.75">
      <c r="A5261" s="403" t="s">
        <v>4516</v>
      </c>
      <c r="B5261" s="403"/>
      <c r="C5261" s="403"/>
      <c r="D5261" s="403"/>
      <c r="E5261" s="343"/>
    </row>
    <row r="5262" spans="1:5" s="335" customFormat="1" ht="24">
      <c r="A5262" s="342" t="s">
        <v>4517</v>
      </c>
      <c r="B5262" s="342" t="s">
        <v>4518</v>
      </c>
      <c r="C5262" s="342" t="str">
        <f>("7640007981")</f>
        <v>7640007981</v>
      </c>
      <c r="D5262" s="340">
        <v>595</v>
      </c>
      <c r="E5262" s="343"/>
    </row>
    <row r="5263" spans="1:5" s="335" customFormat="1" ht="24">
      <c r="A5263" s="342" t="s">
        <v>4519</v>
      </c>
      <c r="B5263" s="342" t="s">
        <v>4520</v>
      </c>
      <c r="C5263" s="342" t="str">
        <f>("7640007982")</f>
        <v>7640007982</v>
      </c>
      <c r="D5263" s="340">
        <v>446.25</v>
      </c>
      <c r="E5263" s="343"/>
    </row>
    <row r="5264" spans="1:5" s="335" customFormat="1" ht="24">
      <c r="A5264" s="342" t="s">
        <v>4521</v>
      </c>
      <c r="B5264" s="342" t="s">
        <v>4522</v>
      </c>
      <c r="C5264" s="342" t="str">
        <f>("7640007983")</f>
        <v>7640007983</v>
      </c>
      <c r="D5264" s="340">
        <v>1275</v>
      </c>
      <c r="E5264" s="343"/>
    </row>
    <row r="5265" spans="1:5" s="335" customFormat="1" ht="24">
      <c r="A5265" s="342" t="s">
        <v>4523</v>
      </c>
      <c r="B5265" s="342" t="s">
        <v>4524</v>
      </c>
      <c r="C5265" s="342" t="str">
        <f>("7640007984")</f>
        <v>7640007984</v>
      </c>
      <c r="D5265" s="340">
        <v>956.25</v>
      </c>
      <c r="E5265" s="343"/>
    </row>
    <row r="5266" spans="1:5" s="335" customFormat="1" ht="24">
      <c r="A5266" s="342" t="s">
        <v>4525</v>
      </c>
      <c r="B5266" s="342" t="s">
        <v>4526</v>
      </c>
      <c r="C5266" s="342" t="str">
        <f>("7640007985")</f>
        <v>7640007985</v>
      </c>
      <c r="D5266" s="340">
        <v>2125</v>
      </c>
      <c r="E5266" s="343"/>
    </row>
    <row r="5267" spans="1:5" s="335" customFormat="1" ht="24">
      <c r="A5267" s="342" t="s">
        <v>4527</v>
      </c>
      <c r="B5267" s="342" t="s">
        <v>4528</v>
      </c>
      <c r="C5267" s="342" t="str">
        <f>("7640007986")</f>
        <v>7640007986</v>
      </c>
      <c r="D5267" s="340">
        <v>1593.75</v>
      </c>
      <c r="E5267" s="343"/>
    </row>
    <row r="5268" spans="1:5" s="335" customFormat="1" ht="24">
      <c r="A5268" s="342" t="s">
        <v>4529</v>
      </c>
      <c r="B5268" s="342" t="s">
        <v>4530</v>
      </c>
      <c r="C5268" s="342" t="str">
        <f>("7640007987")</f>
        <v>7640007987</v>
      </c>
      <c r="D5268" s="340">
        <v>680</v>
      </c>
      <c r="E5268" s="343"/>
    </row>
    <row r="5269" spans="1:5" s="335" customFormat="1" ht="24">
      <c r="A5269" s="342" t="s">
        <v>4531</v>
      </c>
      <c r="B5269" s="342" t="s">
        <v>4532</v>
      </c>
      <c r="C5269" s="342" t="str">
        <f>("7640007988")</f>
        <v>7640007988</v>
      </c>
      <c r="D5269" s="340">
        <v>510</v>
      </c>
      <c r="E5269" s="343"/>
    </row>
    <row r="5270" spans="1:5" s="335" customFormat="1" ht="12.75">
      <c r="A5270" s="403" t="s">
        <v>4533</v>
      </c>
      <c r="B5270" s="403"/>
      <c r="C5270" s="403"/>
      <c r="D5270" s="403"/>
      <c r="E5270" s="343"/>
    </row>
    <row r="5271" spans="1:5" s="335" customFormat="1" ht="24">
      <c r="A5271" s="342" t="s">
        <v>4534</v>
      </c>
      <c r="B5271" s="342" t="s">
        <v>4535</v>
      </c>
      <c r="C5271" s="342" t="str">
        <f>("7640007995")</f>
        <v>7640007995</v>
      </c>
      <c r="D5271" s="340">
        <v>1225</v>
      </c>
      <c r="E5271" s="343"/>
    </row>
    <row r="5272" spans="1:5" s="335" customFormat="1" ht="24">
      <c r="A5272" s="342" t="s">
        <v>4536</v>
      </c>
      <c r="B5272" s="342" t="s">
        <v>4537</v>
      </c>
      <c r="C5272" s="342" t="str">
        <f>("7640007996")</f>
        <v>7640007996</v>
      </c>
      <c r="D5272" s="340">
        <v>918.75</v>
      </c>
      <c r="E5272" s="343"/>
    </row>
    <row r="5273" spans="1:5" s="335" customFormat="1" ht="24">
      <c r="A5273" s="342" t="s">
        <v>4538</v>
      </c>
      <c r="B5273" s="342" t="s">
        <v>4539</v>
      </c>
      <c r="C5273" s="342" t="str">
        <f>("7640007997")</f>
        <v>7640007997</v>
      </c>
      <c r="D5273" s="340">
        <v>2625</v>
      </c>
      <c r="E5273" s="343"/>
    </row>
    <row r="5274" spans="1:5" s="335" customFormat="1" ht="24">
      <c r="A5274" s="342" t="s">
        <v>4540</v>
      </c>
      <c r="B5274" s="342" t="s">
        <v>4541</v>
      </c>
      <c r="C5274" s="342" t="str">
        <f>("7640007998")</f>
        <v>7640007998</v>
      </c>
      <c r="D5274" s="340">
        <v>1968.75</v>
      </c>
      <c r="E5274" s="343"/>
    </row>
    <row r="5275" spans="1:5" s="335" customFormat="1" ht="24">
      <c r="A5275" s="342" t="s">
        <v>4542</v>
      </c>
      <c r="B5275" s="342" t="s">
        <v>4543</v>
      </c>
      <c r="C5275" s="342" t="str">
        <f>("7640007999")</f>
        <v>7640007999</v>
      </c>
      <c r="D5275" s="340">
        <v>4375</v>
      </c>
      <c r="E5275" s="343"/>
    </row>
    <row r="5276" spans="1:5" s="335" customFormat="1" ht="24">
      <c r="A5276" s="342" t="s">
        <v>4544</v>
      </c>
      <c r="B5276" s="342" t="s">
        <v>4545</v>
      </c>
      <c r="C5276" s="342" t="str">
        <f>("7640008000")</f>
        <v>7640008000</v>
      </c>
      <c r="D5276" s="340">
        <v>3281.25</v>
      </c>
      <c r="E5276" s="343"/>
    </row>
    <row r="5277" spans="1:5" s="335" customFormat="1" ht="24">
      <c r="A5277" s="342" t="s">
        <v>4546</v>
      </c>
      <c r="B5277" s="342" t="s">
        <v>4547</v>
      </c>
      <c r="C5277" s="342" t="str">
        <f>("7640008001")</f>
        <v>7640008001</v>
      </c>
      <c r="D5277" s="340">
        <v>1400</v>
      </c>
      <c r="E5277" s="343"/>
    </row>
    <row r="5278" spans="1:5" s="335" customFormat="1" ht="24">
      <c r="A5278" s="342" t="s">
        <v>4548</v>
      </c>
      <c r="B5278" s="342" t="s">
        <v>4549</v>
      </c>
      <c r="C5278" s="342" t="str">
        <f>("7640008002")</f>
        <v>7640008002</v>
      </c>
      <c r="D5278" s="340">
        <v>1050</v>
      </c>
      <c r="E5278" s="343"/>
    </row>
    <row r="5279" spans="1:5" s="335" customFormat="1" ht="12.75">
      <c r="A5279" s="403" t="s">
        <v>4550</v>
      </c>
      <c r="B5279" s="403"/>
      <c r="C5279" s="403"/>
      <c r="D5279" s="403"/>
      <c r="E5279" s="343"/>
    </row>
    <row r="5280" spans="1:5" s="335" customFormat="1" ht="24">
      <c r="A5280" s="342" t="s">
        <v>4551</v>
      </c>
      <c r="B5280" s="342" t="s">
        <v>4552</v>
      </c>
      <c r="C5280" s="342" t="str">
        <f>("7640003039")</f>
        <v>7640003039</v>
      </c>
      <c r="D5280" s="340">
        <v>1925</v>
      </c>
      <c r="E5280" s="343"/>
    </row>
    <row r="5281" spans="1:5" s="335" customFormat="1" ht="24">
      <c r="A5281" s="342" t="s">
        <v>4553</v>
      </c>
      <c r="B5281" s="342" t="s">
        <v>4554</v>
      </c>
      <c r="C5281" s="342" t="str">
        <f>("7640004227")</f>
        <v>7640004227</v>
      </c>
      <c r="D5281" s="340">
        <v>1540</v>
      </c>
      <c r="E5281" s="343"/>
    </row>
    <row r="5282" spans="1:5" s="335" customFormat="1" ht="24">
      <c r="A5282" s="342" t="s">
        <v>4555</v>
      </c>
      <c r="B5282" s="342" t="s">
        <v>4556</v>
      </c>
      <c r="C5282" s="342" t="str">
        <f>("7640004228")</f>
        <v>7640004228</v>
      </c>
      <c r="D5282" s="340">
        <v>925</v>
      </c>
      <c r="E5282" s="343"/>
    </row>
    <row r="5283" spans="1:5" s="335" customFormat="1" ht="24">
      <c r="A5283" s="342" t="s">
        <v>4557</v>
      </c>
      <c r="B5283" s="342" t="s">
        <v>4558</v>
      </c>
      <c r="C5283" s="342" t="str">
        <f>("7640004229")</f>
        <v>7640004229</v>
      </c>
      <c r="D5283" s="340">
        <v>650</v>
      </c>
      <c r="E5283" s="343"/>
    </row>
    <row r="5284" spans="1:5" s="335" customFormat="1" ht="24">
      <c r="A5284" s="342" t="s">
        <v>4559</v>
      </c>
      <c r="B5284" s="342" t="s">
        <v>4560</v>
      </c>
      <c r="C5284" s="342" t="str">
        <f>("7640004230")</f>
        <v>7640004230</v>
      </c>
      <c r="D5284" s="340">
        <v>500</v>
      </c>
      <c r="E5284" s="343"/>
    </row>
    <row r="5285" spans="1:5" s="335" customFormat="1" ht="24">
      <c r="A5285" s="342" t="s">
        <v>4561</v>
      </c>
      <c r="B5285" s="342" t="s">
        <v>4562</v>
      </c>
      <c r="C5285" s="342" t="str">
        <f>("7640004231")</f>
        <v>7640004231</v>
      </c>
      <c r="D5285" s="340">
        <v>3465</v>
      </c>
      <c r="E5285" s="343"/>
    </row>
    <row r="5286" spans="1:5" s="335" customFormat="1" ht="24">
      <c r="A5286" s="342" t="s">
        <v>4563</v>
      </c>
      <c r="B5286" s="342" t="s">
        <v>4564</v>
      </c>
      <c r="C5286" s="342" t="str">
        <f>("7640004232")</f>
        <v>7640004232</v>
      </c>
      <c r="D5286" s="340">
        <v>2420</v>
      </c>
      <c r="E5286" s="343"/>
    </row>
    <row r="5287" spans="1:5" s="335" customFormat="1" ht="24">
      <c r="A5287" s="342" t="s">
        <v>4565</v>
      </c>
      <c r="B5287" s="342" t="s">
        <v>4566</v>
      </c>
      <c r="C5287" s="342" t="str">
        <f>("7640004233")</f>
        <v>7640004233</v>
      </c>
      <c r="D5287" s="340">
        <v>1925</v>
      </c>
      <c r="E5287" s="343"/>
    </row>
    <row r="5288" spans="1:5" s="335" customFormat="1" ht="24">
      <c r="A5288" s="342" t="s">
        <v>4567</v>
      </c>
      <c r="B5288" s="342" t="s">
        <v>4568</v>
      </c>
      <c r="C5288" s="342" t="str">
        <f>("7640004234")</f>
        <v>7640004234</v>
      </c>
      <c r="D5288" s="340">
        <v>1534.5</v>
      </c>
      <c r="E5288" s="343"/>
    </row>
    <row r="5289" spans="1:5" s="335" customFormat="1" ht="24">
      <c r="A5289" s="342" t="s">
        <v>4569</v>
      </c>
      <c r="B5289" s="342" t="s">
        <v>4570</v>
      </c>
      <c r="C5289" s="342" t="str">
        <f>("7640004235")</f>
        <v>7640004235</v>
      </c>
      <c r="D5289" s="340">
        <v>4675</v>
      </c>
      <c r="E5289" s="343"/>
    </row>
    <row r="5290" spans="1:5" s="335" customFormat="1" ht="24">
      <c r="A5290" s="342" t="s">
        <v>4571</v>
      </c>
      <c r="B5290" s="342" t="s">
        <v>4572</v>
      </c>
      <c r="C5290" s="342" t="str">
        <f>("7640004236")</f>
        <v>7640004236</v>
      </c>
      <c r="D5290" s="340">
        <v>3750</v>
      </c>
      <c r="E5290" s="343"/>
    </row>
    <row r="5291" spans="1:5" s="335" customFormat="1" ht="24">
      <c r="A5291" s="342" t="s">
        <v>4573</v>
      </c>
      <c r="B5291" s="342" t="s">
        <v>4574</v>
      </c>
      <c r="C5291" s="342" t="str">
        <f>("7640004237")</f>
        <v>7640004237</v>
      </c>
      <c r="D5291" s="340">
        <v>3000</v>
      </c>
      <c r="E5291" s="343"/>
    </row>
    <row r="5292" spans="1:5" s="335" customFormat="1" ht="24">
      <c r="A5292" s="342" t="s">
        <v>4575</v>
      </c>
      <c r="B5292" s="342" t="s">
        <v>4576</v>
      </c>
      <c r="C5292" s="342" t="str">
        <f>("7640004238")</f>
        <v>7640004238</v>
      </c>
      <c r="D5292" s="340">
        <v>7425</v>
      </c>
      <c r="E5292" s="343"/>
    </row>
    <row r="5293" spans="1:5" s="335" customFormat="1" ht="24">
      <c r="A5293" s="342" t="s">
        <v>4577</v>
      </c>
      <c r="B5293" s="342" t="s">
        <v>4578</v>
      </c>
      <c r="C5293" s="342" t="str">
        <f>("7640004239")</f>
        <v>7640004239</v>
      </c>
      <c r="D5293" s="340">
        <v>5950</v>
      </c>
      <c r="E5293" s="343"/>
    </row>
    <row r="5294" spans="1:5" s="335" customFormat="1" ht="24">
      <c r="A5294" s="342" t="s">
        <v>4579</v>
      </c>
      <c r="B5294" s="342" t="s">
        <v>4580</v>
      </c>
      <c r="C5294" s="342" t="str">
        <f>("7640004240")</f>
        <v>7640004240</v>
      </c>
      <c r="D5294" s="340">
        <v>15000</v>
      </c>
      <c r="E5294" s="343"/>
    </row>
    <row r="5295" spans="1:5" s="335" customFormat="1" ht="24">
      <c r="A5295" s="342" t="s">
        <v>4581</v>
      </c>
      <c r="B5295" s="342" t="s">
        <v>4582</v>
      </c>
      <c r="C5295" s="342" t="str">
        <f>("7640004241")</f>
        <v>7640004241</v>
      </c>
      <c r="D5295" s="340">
        <v>12000</v>
      </c>
      <c r="E5295" s="343"/>
    </row>
    <row r="5296" spans="1:5" s="335" customFormat="1" ht="24">
      <c r="A5296" s="342" t="s">
        <v>4583</v>
      </c>
      <c r="B5296" s="342" t="s">
        <v>4584</v>
      </c>
      <c r="C5296" s="342" t="str">
        <f>("7640004583")</f>
        <v>7640004583</v>
      </c>
      <c r="D5296" s="340">
        <v>3135</v>
      </c>
      <c r="E5296" s="343"/>
    </row>
    <row r="5297" spans="1:5" s="335" customFormat="1" ht="24">
      <c r="A5297" s="342" t="s">
        <v>4585</v>
      </c>
      <c r="B5297" s="342" t="s">
        <v>4586</v>
      </c>
      <c r="C5297" s="342" t="str">
        <f>("7640005050")</f>
        <v>7640005050</v>
      </c>
      <c r="D5297" s="340">
        <v>10325</v>
      </c>
      <c r="E5297" s="343"/>
    </row>
    <row r="5298" spans="1:5" s="335" customFormat="1" ht="24">
      <c r="A5298" s="342" t="s">
        <v>4587</v>
      </c>
      <c r="B5298" s="342" t="s">
        <v>4588</v>
      </c>
      <c r="C5298" s="342" t="str">
        <f>("7640006866")</f>
        <v>7640006866</v>
      </c>
      <c r="D5298" s="340">
        <v>7575</v>
      </c>
      <c r="E5298" s="343"/>
    </row>
    <row r="5299" spans="1:5" s="335" customFormat="1" ht="24">
      <c r="A5299" s="342" t="s">
        <v>4589</v>
      </c>
      <c r="B5299" s="342" t="s">
        <v>4590</v>
      </c>
      <c r="C5299" s="342" t="str">
        <f>("7640006867")</f>
        <v>7640006867</v>
      </c>
      <c r="D5299" s="340">
        <v>6050</v>
      </c>
      <c r="E5299" s="343"/>
    </row>
    <row r="5300" spans="1:5" s="335" customFormat="1" ht="24">
      <c r="A5300" s="342" t="s">
        <v>4591</v>
      </c>
      <c r="B5300" s="342" t="s">
        <v>4592</v>
      </c>
      <c r="C5300" s="342" t="str">
        <f>("7640009369")</f>
        <v>7640009369</v>
      </c>
      <c r="D5300" s="340">
        <v>3960</v>
      </c>
      <c r="E5300" s="343"/>
    </row>
    <row r="5301" spans="1:5" s="335" customFormat="1" ht="24">
      <c r="A5301" s="342" t="s">
        <v>4593</v>
      </c>
      <c r="B5301" s="342" t="s">
        <v>4594</v>
      </c>
      <c r="C5301" s="342" t="str">
        <f>("7640013080")</f>
        <v>7640013080</v>
      </c>
      <c r="D5301" s="340">
        <v>2750</v>
      </c>
      <c r="E5301" s="343"/>
    </row>
    <row r="5302" spans="1:5" s="335" customFormat="1" ht="24">
      <c r="A5302" s="342" t="s">
        <v>4595</v>
      </c>
      <c r="B5302" s="342" t="s">
        <v>4596</v>
      </c>
      <c r="C5302" s="342" t="str">
        <f>("7640013081")</f>
        <v>7640013081</v>
      </c>
      <c r="D5302" s="340">
        <v>2200</v>
      </c>
      <c r="E5302" s="343"/>
    </row>
    <row r="5303" spans="1:5" s="335" customFormat="1" ht="24">
      <c r="A5303" s="342" t="s">
        <v>4597</v>
      </c>
      <c r="B5303" s="342" t="s">
        <v>4598</v>
      </c>
      <c r="C5303" s="342" t="str">
        <f>("7640013588")</f>
        <v>7640013588</v>
      </c>
      <c r="D5303" s="340">
        <v>1210</v>
      </c>
      <c r="E5303" s="343"/>
    </row>
    <row r="5304" spans="1:5" s="335" customFormat="1" ht="24">
      <c r="A5304" s="342" t="s">
        <v>4599</v>
      </c>
      <c r="B5304" s="342" t="s">
        <v>4600</v>
      </c>
      <c r="C5304" s="342" t="str">
        <f>("7640015840")</f>
        <v>7640015840</v>
      </c>
      <c r="D5304" s="340">
        <v>1495</v>
      </c>
      <c r="E5304" s="343"/>
    </row>
    <row r="5305" spans="1:5" s="335" customFormat="1" ht="24">
      <c r="A5305" s="342" t="s">
        <v>4601</v>
      </c>
      <c r="B5305" s="342" t="s">
        <v>4602</v>
      </c>
      <c r="C5305" s="342" t="str">
        <f>("7640015841")</f>
        <v>7640015841</v>
      </c>
      <c r="D5305" s="340">
        <v>2825</v>
      </c>
      <c r="E5305" s="343"/>
    </row>
    <row r="5306" spans="1:5" s="335" customFormat="1" ht="24">
      <c r="A5306" s="342" t="s">
        <v>4603</v>
      </c>
      <c r="B5306" s="342" t="s">
        <v>4604</v>
      </c>
      <c r="C5306" s="342" t="str">
        <f>("7640015842")</f>
        <v>7640015842</v>
      </c>
      <c r="D5306" s="340">
        <v>5885</v>
      </c>
      <c r="E5306" s="343"/>
    </row>
    <row r="5307" spans="1:5" s="335" customFormat="1" ht="24">
      <c r="A5307" s="342" t="s">
        <v>4605</v>
      </c>
      <c r="B5307" s="342" t="s">
        <v>4606</v>
      </c>
      <c r="C5307" s="342" t="str">
        <f>("7640015843")</f>
        <v>7640015843</v>
      </c>
      <c r="D5307" s="340">
        <v>5025</v>
      </c>
      <c r="E5307" s="343"/>
    </row>
    <row r="5308" spans="1:5" s="335" customFormat="1" ht="24">
      <c r="A5308" s="342" t="s">
        <v>4607</v>
      </c>
      <c r="B5308" s="342" t="s">
        <v>4608</v>
      </c>
      <c r="C5308" s="342" t="str">
        <f>("7640015844")</f>
        <v>7640015844</v>
      </c>
      <c r="D5308" s="340">
        <v>1330</v>
      </c>
      <c r="E5308" s="343"/>
    </row>
    <row r="5309" spans="1:5" s="335" customFormat="1" ht="24">
      <c r="A5309" s="342" t="s">
        <v>4609</v>
      </c>
      <c r="B5309" s="342" t="s">
        <v>4610</v>
      </c>
      <c r="C5309" s="342" t="str">
        <f>("7640015845")</f>
        <v>7640015845</v>
      </c>
      <c r="D5309" s="340">
        <v>3530</v>
      </c>
      <c r="E5309" s="343"/>
    </row>
    <row r="5310" spans="1:5" s="335" customFormat="1" ht="12.75">
      <c r="A5310" s="403" t="s">
        <v>4611</v>
      </c>
      <c r="B5310" s="403"/>
      <c r="C5310" s="403"/>
      <c r="D5310" s="403"/>
      <c r="E5310" s="343"/>
    </row>
    <row r="5311" spans="1:5" s="335" customFormat="1" ht="24">
      <c r="A5311" s="342" t="s">
        <v>4612</v>
      </c>
      <c r="B5311" s="342" t="s">
        <v>4613</v>
      </c>
      <c r="C5311" s="342" t="str">
        <f>("7640004315")</f>
        <v>7640004315</v>
      </c>
      <c r="D5311" s="340">
        <v>261.8</v>
      </c>
      <c r="E5311" s="343"/>
    </row>
    <row r="5312" spans="1:5" s="335" customFormat="1" ht="24">
      <c r="A5312" s="342" t="s">
        <v>4614</v>
      </c>
      <c r="B5312" s="342" t="s">
        <v>4615</v>
      </c>
      <c r="C5312" s="342" t="str">
        <f>("7640004316")</f>
        <v>7640004316</v>
      </c>
      <c r="D5312" s="340">
        <v>157.25</v>
      </c>
      <c r="E5312" s="343"/>
    </row>
    <row r="5313" spans="1:5" s="335" customFormat="1" ht="24">
      <c r="A5313" s="342" t="s">
        <v>4616</v>
      </c>
      <c r="B5313" s="342" t="s">
        <v>4617</v>
      </c>
      <c r="C5313" s="342" t="str">
        <f>("7640004317")</f>
        <v>7640004317</v>
      </c>
      <c r="D5313" s="340">
        <v>110.5</v>
      </c>
      <c r="E5313" s="343"/>
    </row>
    <row r="5314" spans="1:5" s="335" customFormat="1" ht="24">
      <c r="A5314" s="342" t="s">
        <v>4618</v>
      </c>
      <c r="B5314" s="342" t="s">
        <v>4619</v>
      </c>
      <c r="C5314" s="342" t="str">
        <f>("7640004318")</f>
        <v>7640004318</v>
      </c>
      <c r="D5314" s="340">
        <v>85</v>
      </c>
      <c r="E5314" s="343"/>
    </row>
    <row r="5315" spans="1:5" s="335" customFormat="1" ht="24">
      <c r="A5315" s="342" t="s">
        <v>4620</v>
      </c>
      <c r="B5315" s="342" t="s">
        <v>4621</v>
      </c>
      <c r="C5315" s="342" t="str">
        <f>("7640004319")</f>
        <v>7640004319</v>
      </c>
      <c r="D5315" s="340">
        <v>589.04999999999995</v>
      </c>
      <c r="E5315" s="343"/>
    </row>
    <row r="5316" spans="1:5" s="335" customFormat="1" ht="24">
      <c r="A5316" s="342" t="s">
        <v>4622</v>
      </c>
      <c r="B5316" s="342" t="s">
        <v>4623</v>
      </c>
      <c r="C5316" s="342" t="str">
        <f>("7640004320")</f>
        <v>7640004320</v>
      </c>
      <c r="D5316" s="340">
        <v>411.4</v>
      </c>
      <c r="E5316" s="343"/>
    </row>
    <row r="5317" spans="1:5" s="335" customFormat="1" ht="24">
      <c r="A5317" s="342" t="s">
        <v>4624</v>
      </c>
      <c r="B5317" s="342" t="s">
        <v>4625</v>
      </c>
      <c r="C5317" s="342" t="str">
        <f>("7640004321")</f>
        <v>7640004321</v>
      </c>
      <c r="D5317" s="340">
        <v>327.25</v>
      </c>
      <c r="E5317" s="343"/>
    </row>
    <row r="5318" spans="1:5" s="335" customFormat="1" ht="24">
      <c r="A5318" s="342" t="s">
        <v>4626</v>
      </c>
      <c r="B5318" s="342" t="s">
        <v>4627</v>
      </c>
      <c r="C5318" s="342" t="str">
        <f>("7640004322")</f>
        <v>7640004322</v>
      </c>
      <c r="D5318" s="340">
        <v>260.87</v>
      </c>
      <c r="E5318" s="343"/>
    </row>
    <row r="5319" spans="1:5" s="335" customFormat="1" ht="24">
      <c r="A5319" s="342" t="s">
        <v>4628</v>
      </c>
      <c r="B5319" s="342" t="s">
        <v>4629</v>
      </c>
      <c r="C5319" s="342" t="str">
        <f>("7640004323")</f>
        <v>7640004323</v>
      </c>
      <c r="D5319" s="340">
        <v>794.75</v>
      </c>
      <c r="E5319" s="343"/>
    </row>
    <row r="5320" spans="1:5" s="335" customFormat="1" ht="24">
      <c r="A5320" s="342" t="s">
        <v>4630</v>
      </c>
      <c r="B5320" s="342" t="s">
        <v>4631</v>
      </c>
      <c r="C5320" s="342" t="str">
        <f>("7640004324")</f>
        <v>7640004324</v>
      </c>
      <c r="D5320" s="340">
        <v>637.5</v>
      </c>
      <c r="E5320" s="343"/>
    </row>
    <row r="5321" spans="1:5" s="335" customFormat="1" ht="24">
      <c r="A5321" s="342" t="s">
        <v>4632</v>
      </c>
      <c r="B5321" s="342" t="s">
        <v>4633</v>
      </c>
      <c r="C5321" s="342" t="str">
        <f>("7640004325")</f>
        <v>7640004325</v>
      </c>
      <c r="D5321" s="340">
        <v>510</v>
      </c>
      <c r="E5321" s="343"/>
    </row>
    <row r="5322" spans="1:5" s="335" customFormat="1" ht="24">
      <c r="A5322" s="342" t="s">
        <v>4634</v>
      </c>
      <c r="B5322" s="342" t="s">
        <v>4635</v>
      </c>
      <c r="C5322" s="342" t="str">
        <f>("7640004326")</f>
        <v>7640004326</v>
      </c>
      <c r="D5322" s="340">
        <v>1262.25</v>
      </c>
      <c r="E5322" s="343"/>
    </row>
    <row r="5323" spans="1:5" s="335" customFormat="1" ht="36">
      <c r="A5323" s="342" t="s">
        <v>4636</v>
      </c>
      <c r="B5323" s="342" t="s">
        <v>4637</v>
      </c>
      <c r="C5323" s="342" t="str">
        <f>("7640004327")</f>
        <v>7640004327</v>
      </c>
      <c r="D5323" s="340">
        <v>1011.5</v>
      </c>
      <c r="E5323" s="343"/>
    </row>
    <row r="5324" spans="1:5" s="335" customFormat="1" ht="24">
      <c r="A5324" s="342" t="s">
        <v>4638</v>
      </c>
      <c r="B5324" s="342" t="s">
        <v>4639</v>
      </c>
      <c r="C5324" s="342" t="str">
        <f>("7640004328")</f>
        <v>7640004328</v>
      </c>
      <c r="D5324" s="340">
        <v>2550</v>
      </c>
      <c r="E5324" s="343"/>
    </row>
    <row r="5325" spans="1:5" s="335" customFormat="1" ht="24">
      <c r="A5325" s="342" t="s">
        <v>4640</v>
      </c>
      <c r="B5325" s="342" t="s">
        <v>4641</v>
      </c>
      <c r="C5325" s="342" t="str">
        <f>("7640004329")</f>
        <v>7640004329</v>
      </c>
      <c r="D5325" s="340">
        <v>2040</v>
      </c>
      <c r="E5325" s="343"/>
    </row>
    <row r="5326" spans="1:5" s="335" customFormat="1" ht="12.75">
      <c r="A5326" s="403" t="s">
        <v>4642</v>
      </c>
      <c r="B5326" s="403"/>
      <c r="C5326" s="403"/>
      <c r="D5326" s="403"/>
      <c r="E5326" s="343"/>
    </row>
    <row r="5327" spans="1:5" s="335" customFormat="1" ht="24">
      <c r="A5327" s="342" t="s">
        <v>4643</v>
      </c>
      <c r="B5327" s="342" t="s">
        <v>4644</v>
      </c>
      <c r="C5327" s="342" t="str">
        <f>("7640004260")</f>
        <v>7640004260</v>
      </c>
      <c r="D5327" s="340">
        <v>261.8</v>
      </c>
      <c r="E5327" s="343"/>
    </row>
    <row r="5328" spans="1:5" s="335" customFormat="1" ht="24">
      <c r="A5328" s="342" t="s">
        <v>4645</v>
      </c>
      <c r="B5328" s="342" t="s">
        <v>4646</v>
      </c>
      <c r="C5328" s="342" t="str">
        <f>("7640004261")</f>
        <v>7640004261</v>
      </c>
      <c r="D5328" s="340">
        <v>157.25</v>
      </c>
      <c r="E5328" s="343"/>
    </row>
    <row r="5329" spans="1:5" s="335" customFormat="1" ht="24">
      <c r="A5329" s="342" t="s">
        <v>4647</v>
      </c>
      <c r="B5329" s="342" t="s">
        <v>4648</v>
      </c>
      <c r="C5329" s="342" t="str">
        <f>("7640004262")</f>
        <v>7640004262</v>
      </c>
      <c r="D5329" s="340">
        <v>110.5</v>
      </c>
      <c r="E5329" s="343"/>
    </row>
    <row r="5330" spans="1:5" s="335" customFormat="1" ht="24">
      <c r="A5330" s="342" t="s">
        <v>4649</v>
      </c>
      <c r="B5330" s="342" t="s">
        <v>4650</v>
      </c>
      <c r="C5330" s="342" t="str">
        <f>("7640004263")</f>
        <v>7640004263</v>
      </c>
      <c r="D5330" s="340">
        <v>85</v>
      </c>
      <c r="E5330" s="343"/>
    </row>
    <row r="5331" spans="1:5" s="335" customFormat="1" ht="24">
      <c r="A5331" s="342" t="s">
        <v>4651</v>
      </c>
      <c r="B5331" s="342" t="s">
        <v>4652</v>
      </c>
      <c r="C5331" s="342" t="str">
        <f>("7640004268")</f>
        <v>7640004268</v>
      </c>
      <c r="D5331" s="340">
        <v>589.04999999999995</v>
      </c>
      <c r="E5331" s="343"/>
    </row>
    <row r="5332" spans="1:5" s="335" customFormat="1" ht="24">
      <c r="A5332" s="342" t="s">
        <v>4653</v>
      </c>
      <c r="B5332" s="342" t="s">
        <v>4654</v>
      </c>
      <c r="C5332" s="342" t="str">
        <f>("7640004269")</f>
        <v>7640004269</v>
      </c>
      <c r="D5332" s="340">
        <v>411.4</v>
      </c>
      <c r="E5332" s="343"/>
    </row>
    <row r="5333" spans="1:5" s="335" customFormat="1" ht="36">
      <c r="A5333" s="342" t="s">
        <v>4655</v>
      </c>
      <c r="B5333" s="342" t="s">
        <v>4656</v>
      </c>
      <c r="C5333" s="342" t="str">
        <f>("7640004270")</f>
        <v>7640004270</v>
      </c>
      <c r="D5333" s="340">
        <v>327.25</v>
      </c>
      <c r="E5333" s="343"/>
    </row>
    <row r="5334" spans="1:5" s="335" customFormat="1" ht="24">
      <c r="A5334" s="342" t="s">
        <v>4657</v>
      </c>
      <c r="B5334" s="342" t="s">
        <v>4658</v>
      </c>
      <c r="C5334" s="342" t="str">
        <f>("7640004271")</f>
        <v>7640004271</v>
      </c>
      <c r="D5334" s="340">
        <v>260.87</v>
      </c>
      <c r="E5334" s="343"/>
    </row>
    <row r="5335" spans="1:5" s="335" customFormat="1" ht="24">
      <c r="A5335" s="342" t="s">
        <v>4657</v>
      </c>
      <c r="B5335" s="342" t="s">
        <v>4659</v>
      </c>
      <c r="C5335" s="342" t="str">
        <f>("7640004276")</f>
        <v>7640004276</v>
      </c>
      <c r="D5335" s="340">
        <v>794.75</v>
      </c>
      <c r="E5335" s="343"/>
    </row>
    <row r="5336" spans="1:5" s="335" customFormat="1" ht="36">
      <c r="A5336" s="342" t="s">
        <v>4660</v>
      </c>
      <c r="B5336" s="342" t="s">
        <v>4658</v>
      </c>
      <c r="C5336" s="342" t="str">
        <f>("7640004277")</f>
        <v>7640004277</v>
      </c>
      <c r="D5336" s="340">
        <v>637.5</v>
      </c>
      <c r="E5336" s="343"/>
    </row>
    <row r="5337" spans="1:5" s="335" customFormat="1" ht="36">
      <c r="A5337" s="342" t="s">
        <v>4661</v>
      </c>
      <c r="B5337" s="342" t="s">
        <v>4662</v>
      </c>
      <c r="C5337" s="342" t="str">
        <f>("7640004278")</f>
        <v>7640004278</v>
      </c>
      <c r="D5337" s="340">
        <v>510</v>
      </c>
      <c r="E5337" s="343"/>
    </row>
    <row r="5338" spans="1:5" s="335" customFormat="1" ht="24">
      <c r="A5338" s="342" t="s">
        <v>4663</v>
      </c>
      <c r="B5338" s="342" t="s">
        <v>4664</v>
      </c>
      <c r="C5338" s="342" t="str">
        <f>("7640004282")</f>
        <v>7640004282</v>
      </c>
      <c r="D5338" s="340">
        <v>1262.25</v>
      </c>
      <c r="E5338" s="343"/>
    </row>
    <row r="5339" spans="1:5" s="335" customFormat="1" ht="24">
      <c r="A5339" s="342" t="s">
        <v>4665</v>
      </c>
      <c r="B5339" s="342" t="s">
        <v>4666</v>
      </c>
      <c r="C5339" s="342" t="str">
        <f>("7640004283")</f>
        <v>7640004283</v>
      </c>
      <c r="D5339" s="340">
        <v>1011.5</v>
      </c>
      <c r="E5339" s="343"/>
    </row>
    <row r="5340" spans="1:5" s="335" customFormat="1" ht="24">
      <c r="A5340" s="342" t="s">
        <v>4667</v>
      </c>
      <c r="B5340" s="342" t="s">
        <v>4668</v>
      </c>
      <c r="C5340" s="342" t="str">
        <f>("7640004286")</f>
        <v>7640004286</v>
      </c>
      <c r="D5340" s="340">
        <v>2550</v>
      </c>
      <c r="E5340" s="343"/>
    </row>
    <row r="5341" spans="1:5" s="335" customFormat="1" ht="24">
      <c r="A5341" s="342" t="s">
        <v>4669</v>
      </c>
      <c r="B5341" s="342" t="s">
        <v>4670</v>
      </c>
      <c r="C5341" s="342" t="str">
        <f>("7640004287")</f>
        <v>7640004287</v>
      </c>
      <c r="D5341" s="340">
        <v>2040</v>
      </c>
      <c r="E5341" s="343"/>
    </row>
    <row r="5342" spans="1:5" s="335" customFormat="1" ht="12.75">
      <c r="A5342" s="403" t="s">
        <v>4671</v>
      </c>
      <c r="B5342" s="403"/>
      <c r="C5342" s="403"/>
      <c r="D5342" s="403"/>
      <c r="E5342" s="343"/>
    </row>
    <row r="5343" spans="1:5" s="335" customFormat="1" ht="24">
      <c r="A5343" s="342" t="s">
        <v>4672</v>
      </c>
      <c r="B5343" s="342" t="s">
        <v>4644</v>
      </c>
      <c r="C5343" s="342" t="str">
        <f>("7640004264")</f>
        <v>7640004264</v>
      </c>
      <c r="D5343" s="340">
        <v>539</v>
      </c>
      <c r="E5343" s="343"/>
    </row>
    <row r="5344" spans="1:5" s="335" customFormat="1" ht="24">
      <c r="A5344" s="342" t="s">
        <v>4673</v>
      </c>
      <c r="B5344" s="342" t="s">
        <v>4674</v>
      </c>
      <c r="C5344" s="342" t="str">
        <f>("7640004265")</f>
        <v>7640004265</v>
      </c>
      <c r="D5344" s="340">
        <v>323.75</v>
      </c>
      <c r="E5344" s="343"/>
    </row>
    <row r="5345" spans="1:5" s="335" customFormat="1" ht="24">
      <c r="A5345" s="342" t="s">
        <v>4675</v>
      </c>
      <c r="B5345" s="342" t="s">
        <v>4676</v>
      </c>
      <c r="C5345" s="342" t="str">
        <f>("7640004266")</f>
        <v>7640004266</v>
      </c>
      <c r="D5345" s="340">
        <v>227.5</v>
      </c>
      <c r="E5345" s="343"/>
    </row>
    <row r="5346" spans="1:5" s="335" customFormat="1" ht="24">
      <c r="A5346" s="342" t="s">
        <v>4677</v>
      </c>
      <c r="B5346" s="342" t="s">
        <v>4678</v>
      </c>
      <c r="C5346" s="342" t="str">
        <f>("7640004267")</f>
        <v>7640004267</v>
      </c>
      <c r="D5346" s="340">
        <v>175</v>
      </c>
      <c r="E5346" s="343"/>
    </row>
    <row r="5347" spans="1:5" s="335" customFormat="1" ht="24">
      <c r="A5347" s="342" t="s">
        <v>4679</v>
      </c>
      <c r="B5347" s="342" t="s">
        <v>4680</v>
      </c>
      <c r="C5347" s="342" t="str">
        <f>("7640004272")</f>
        <v>7640004272</v>
      </c>
      <c r="D5347" s="340">
        <v>1212.75</v>
      </c>
      <c r="E5347" s="343"/>
    </row>
    <row r="5348" spans="1:5" s="335" customFormat="1" ht="36">
      <c r="A5348" s="342" t="s">
        <v>4681</v>
      </c>
      <c r="B5348" s="342" t="s">
        <v>4682</v>
      </c>
      <c r="C5348" s="342" t="str">
        <f>("7640004273")</f>
        <v>7640004273</v>
      </c>
      <c r="D5348" s="340">
        <v>847</v>
      </c>
      <c r="E5348" s="343"/>
    </row>
    <row r="5349" spans="1:5" s="335" customFormat="1" ht="36">
      <c r="A5349" s="342" t="s">
        <v>4683</v>
      </c>
      <c r="B5349" s="342" t="s">
        <v>4684</v>
      </c>
      <c r="C5349" s="342" t="str">
        <f>("7640004274")</f>
        <v>7640004274</v>
      </c>
      <c r="D5349" s="340">
        <v>673.75</v>
      </c>
      <c r="E5349" s="343"/>
    </row>
    <row r="5350" spans="1:5" s="335" customFormat="1" ht="36">
      <c r="A5350" s="342" t="s">
        <v>4685</v>
      </c>
      <c r="B5350" s="342" t="s">
        <v>4686</v>
      </c>
      <c r="C5350" s="342" t="str">
        <f>("7640004275")</f>
        <v>7640004275</v>
      </c>
      <c r="D5350" s="340">
        <v>537.08000000000004</v>
      </c>
      <c r="E5350" s="343"/>
    </row>
    <row r="5351" spans="1:5" s="335" customFormat="1" ht="24">
      <c r="A5351" s="342" t="s">
        <v>4687</v>
      </c>
      <c r="B5351" s="342" t="s">
        <v>4688</v>
      </c>
      <c r="C5351" s="342" t="str">
        <f>("7640004279")</f>
        <v>7640004279</v>
      </c>
      <c r="D5351" s="340">
        <v>1636.25</v>
      </c>
      <c r="E5351" s="343"/>
    </row>
    <row r="5352" spans="1:5" s="335" customFormat="1" ht="36">
      <c r="A5352" s="342" t="s">
        <v>4689</v>
      </c>
      <c r="B5352" s="342" t="s">
        <v>4690</v>
      </c>
      <c r="C5352" s="342" t="str">
        <f>("7640004280")</f>
        <v>7640004280</v>
      </c>
      <c r="D5352" s="340">
        <v>1312.5</v>
      </c>
      <c r="E5352" s="343"/>
    </row>
    <row r="5353" spans="1:5" s="335" customFormat="1" ht="36">
      <c r="A5353" s="342" t="s">
        <v>4691</v>
      </c>
      <c r="B5353" s="342" t="s">
        <v>4692</v>
      </c>
      <c r="C5353" s="342" t="str">
        <f>("7640004281")</f>
        <v>7640004281</v>
      </c>
      <c r="D5353" s="340">
        <v>1050</v>
      </c>
      <c r="E5353" s="343"/>
    </row>
    <row r="5354" spans="1:5" s="335" customFormat="1" ht="24">
      <c r="A5354" s="342" t="s">
        <v>4693</v>
      </c>
      <c r="B5354" s="342" t="s">
        <v>4694</v>
      </c>
      <c r="C5354" s="342" t="str">
        <f>("7640004284")</f>
        <v>7640004284</v>
      </c>
      <c r="D5354" s="340">
        <v>2598.75</v>
      </c>
      <c r="E5354" s="343"/>
    </row>
    <row r="5355" spans="1:5" s="335" customFormat="1" ht="36">
      <c r="A5355" s="342" t="s">
        <v>4695</v>
      </c>
      <c r="B5355" s="342" t="s">
        <v>4696</v>
      </c>
      <c r="C5355" s="342" t="str">
        <f>("7640004285")</f>
        <v>7640004285</v>
      </c>
      <c r="D5355" s="340">
        <v>2082.5</v>
      </c>
      <c r="E5355" s="343"/>
    </row>
    <row r="5356" spans="1:5" s="335" customFormat="1" ht="24">
      <c r="A5356" s="342" t="s">
        <v>4697</v>
      </c>
      <c r="B5356" s="342" t="s">
        <v>4698</v>
      </c>
      <c r="C5356" s="342" t="str">
        <f>("7640004288")</f>
        <v>7640004288</v>
      </c>
      <c r="D5356" s="340">
        <v>5250</v>
      </c>
      <c r="E5356" s="343"/>
    </row>
    <row r="5357" spans="1:5" s="335" customFormat="1" ht="24">
      <c r="A5357" s="342" t="s">
        <v>4699</v>
      </c>
      <c r="B5357" s="342" t="s">
        <v>4700</v>
      </c>
      <c r="C5357" s="342" t="str">
        <f>("7640004289")</f>
        <v>7640004289</v>
      </c>
      <c r="D5357" s="340">
        <v>4200</v>
      </c>
      <c r="E5357" s="343"/>
    </row>
    <row r="5358" spans="1:5" s="335" customFormat="1" ht="12.75">
      <c r="A5358" s="344"/>
      <c r="B5358" s="343"/>
      <c r="C5358" s="343"/>
      <c r="D5358" s="395"/>
      <c r="E5358" s="343"/>
    </row>
    <row r="5359" spans="1:5" s="335" customFormat="1" ht="12.75">
      <c r="A5359" s="403" t="s">
        <v>4701</v>
      </c>
      <c r="B5359" s="403"/>
      <c r="C5359" s="403"/>
      <c r="D5359" s="403"/>
      <c r="E5359" s="343"/>
    </row>
    <row r="5360" spans="1:5" s="335" customFormat="1" ht="24">
      <c r="A5360" s="342" t="s">
        <v>4702</v>
      </c>
      <c r="B5360" s="342" t="s">
        <v>4703</v>
      </c>
      <c r="C5360" s="342" t="str">
        <f>("7640007961")</f>
        <v>7640007961</v>
      </c>
      <c r="D5360" s="340">
        <v>5200</v>
      </c>
      <c r="E5360" s="343"/>
    </row>
    <row r="5361" spans="1:5" s="335" customFormat="1" ht="24">
      <c r="A5361" s="342" t="s">
        <v>4704</v>
      </c>
      <c r="B5361" s="342" t="s">
        <v>4705</v>
      </c>
      <c r="C5361" s="342" t="str">
        <f>("7640007962")</f>
        <v>7640007962</v>
      </c>
      <c r="D5361" s="340">
        <v>3900</v>
      </c>
      <c r="E5361" s="343"/>
    </row>
    <row r="5362" spans="1:5" s="335" customFormat="1" ht="24">
      <c r="A5362" s="342" t="s">
        <v>4706</v>
      </c>
      <c r="B5362" s="342" t="s">
        <v>4707</v>
      </c>
      <c r="C5362" s="342" t="str">
        <f>("7640007963")</f>
        <v>7640007963</v>
      </c>
      <c r="D5362" s="340">
        <v>11700</v>
      </c>
      <c r="E5362" s="343"/>
    </row>
    <row r="5363" spans="1:5" s="335" customFormat="1" ht="24">
      <c r="A5363" s="342" t="s">
        <v>4708</v>
      </c>
      <c r="B5363" s="342" t="s">
        <v>4709</v>
      </c>
      <c r="C5363" s="342" t="str">
        <f>("7640007964")</f>
        <v>7640007964</v>
      </c>
      <c r="D5363" s="340">
        <v>8775</v>
      </c>
      <c r="E5363" s="343"/>
    </row>
    <row r="5364" spans="1:5" s="335" customFormat="1" ht="24">
      <c r="A5364" s="342" t="s">
        <v>4710</v>
      </c>
      <c r="B5364" s="342" t="s">
        <v>4711</v>
      </c>
      <c r="C5364" s="342" t="str">
        <f>("7640007965")</f>
        <v>7640007965</v>
      </c>
      <c r="D5364" s="340">
        <v>6500</v>
      </c>
      <c r="E5364" s="343"/>
    </row>
    <row r="5365" spans="1:5" s="335" customFormat="1" ht="24">
      <c r="A5365" s="342" t="s">
        <v>4712</v>
      </c>
      <c r="B5365" s="342" t="s">
        <v>4713</v>
      </c>
      <c r="C5365" s="342" t="str">
        <f>("7640007966")</f>
        <v>7640007966</v>
      </c>
      <c r="D5365" s="340">
        <v>4875</v>
      </c>
      <c r="E5365" s="343"/>
    </row>
    <row r="5366" spans="1:5" s="335" customFormat="1" ht="12.75">
      <c r="A5366" s="403" t="s">
        <v>4714</v>
      </c>
      <c r="B5366" s="403"/>
      <c r="C5366" s="403"/>
      <c r="D5366" s="403"/>
      <c r="E5366" s="343"/>
    </row>
    <row r="5367" spans="1:5" s="335" customFormat="1" ht="24">
      <c r="A5367" s="342" t="s">
        <v>4715</v>
      </c>
      <c r="B5367" s="342" t="s">
        <v>4716</v>
      </c>
      <c r="C5367" s="342" t="str">
        <f>("7640007975")</f>
        <v>7640007975</v>
      </c>
      <c r="D5367" s="340">
        <v>884</v>
      </c>
      <c r="E5367" s="343"/>
    </row>
    <row r="5368" spans="1:5" s="335" customFormat="1" ht="24">
      <c r="A5368" s="342" t="s">
        <v>4717</v>
      </c>
      <c r="B5368" s="342" t="s">
        <v>4718</v>
      </c>
      <c r="C5368" s="342" t="str">
        <f>("7640007976")</f>
        <v>7640007976</v>
      </c>
      <c r="D5368" s="340">
        <v>663</v>
      </c>
      <c r="E5368" s="343"/>
    </row>
    <row r="5369" spans="1:5" s="335" customFormat="1" ht="24">
      <c r="A5369" s="342" t="s">
        <v>4719</v>
      </c>
      <c r="B5369" s="342" t="s">
        <v>4720</v>
      </c>
      <c r="C5369" s="342" t="str">
        <f>("7640007977")</f>
        <v>7640007977</v>
      </c>
      <c r="D5369" s="340">
        <v>1989</v>
      </c>
      <c r="E5369" s="343"/>
    </row>
    <row r="5370" spans="1:5" s="335" customFormat="1" ht="24">
      <c r="A5370" s="342" t="s">
        <v>4721</v>
      </c>
      <c r="B5370" s="342" t="s">
        <v>4722</v>
      </c>
      <c r="C5370" s="342" t="str">
        <f>("7640007978")</f>
        <v>7640007978</v>
      </c>
      <c r="D5370" s="340">
        <v>1491.75</v>
      </c>
      <c r="E5370" s="343"/>
    </row>
    <row r="5371" spans="1:5" s="335" customFormat="1" ht="24">
      <c r="A5371" s="342" t="s">
        <v>4723</v>
      </c>
      <c r="B5371" s="342" t="s">
        <v>4724</v>
      </c>
      <c r="C5371" s="342" t="str">
        <f>("7640007979")</f>
        <v>7640007979</v>
      </c>
      <c r="D5371" s="340">
        <v>1105</v>
      </c>
      <c r="E5371" s="343"/>
    </row>
    <row r="5372" spans="1:5" s="335" customFormat="1" ht="24">
      <c r="A5372" s="342" t="s">
        <v>4725</v>
      </c>
      <c r="B5372" s="342" t="s">
        <v>4726</v>
      </c>
      <c r="C5372" s="342" t="str">
        <f>("7640007980")</f>
        <v>7640007980</v>
      </c>
      <c r="D5372" s="340">
        <v>828.75</v>
      </c>
      <c r="E5372" s="343"/>
    </row>
    <row r="5373" spans="1:5" s="335" customFormat="1" ht="12.75">
      <c r="A5373" s="403" t="s">
        <v>4727</v>
      </c>
      <c r="B5373" s="403"/>
      <c r="C5373" s="403"/>
      <c r="D5373" s="403"/>
      <c r="E5373" s="343"/>
    </row>
    <row r="5374" spans="1:5" s="335" customFormat="1" ht="36">
      <c r="A5374" s="342" t="s">
        <v>4728</v>
      </c>
      <c r="B5374" s="342" t="s">
        <v>4729</v>
      </c>
      <c r="C5374" s="342" t="str">
        <f>("7640007989")</f>
        <v>7640007989</v>
      </c>
      <c r="D5374" s="340">
        <v>884</v>
      </c>
      <c r="E5374" s="343"/>
    </row>
    <row r="5375" spans="1:5" s="335" customFormat="1" ht="36">
      <c r="A5375" s="342" t="s">
        <v>4730</v>
      </c>
      <c r="B5375" s="342" t="s">
        <v>4731</v>
      </c>
      <c r="C5375" s="342" t="str">
        <f>("7640007990")</f>
        <v>7640007990</v>
      </c>
      <c r="D5375" s="340">
        <v>663</v>
      </c>
      <c r="E5375" s="343"/>
    </row>
    <row r="5376" spans="1:5" s="335" customFormat="1" ht="36">
      <c r="A5376" s="342" t="s">
        <v>4732</v>
      </c>
      <c r="B5376" s="342" t="s">
        <v>4733</v>
      </c>
      <c r="C5376" s="342" t="str">
        <f>("7640007991")</f>
        <v>7640007991</v>
      </c>
      <c r="D5376" s="340">
        <v>1989</v>
      </c>
      <c r="E5376" s="343"/>
    </row>
    <row r="5377" spans="1:5" s="335" customFormat="1" ht="36">
      <c r="A5377" s="342" t="s">
        <v>4734</v>
      </c>
      <c r="B5377" s="342" t="s">
        <v>4735</v>
      </c>
      <c r="C5377" s="342" t="str">
        <f>("7640007993")</f>
        <v>7640007993</v>
      </c>
      <c r="D5377" s="340">
        <v>1105</v>
      </c>
      <c r="E5377" s="343"/>
    </row>
    <row r="5378" spans="1:5" s="335" customFormat="1" ht="36">
      <c r="A5378" s="342" t="s">
        <v>4736</v>
      </c>
      <c r="B5378" s="342" t="s">
        <v>4737</v>
      </c>
      <c r="C5378" s="342" t="str">
        <f>("7640007994")</f>
        <v>7640007994</v>
      </c>
      <c r="D5378" s="340">
        <v>828.75</v>
      </c>
      <c r="E5378" s="343"/>
    </row>
    <row r="5379" spans="1:5" s="335" customFormat="1" ht="12.75">
      <c r="A5379" s="403" t="s">
        <v>4738</v>
      </c>
      <c r="B5379" s="403"/>
      <c r="C5379" s="403"/>
      <c r="D5379" s="403"/>
      <c r="E5379" s="343"/>
    </row>
    <row r="5380" spans="1:5" s="335" customFormat="1" ht="36">
      <c r="A5380" s="342" t="s">
        <v>4739</v>
      </c>
      <c r="B5380" s="342" t="s">
        <v>4740</v>
      </c>
      <c r="C5380" s="342" t="str">
        <f>("7640008003")</f>
        <v>7640008003</v>
      </c>
      <c r="D5380" s="340">
        <v>1300</v>
      </c>
      <c r="E5380" s="343"/>
    </row>
    <row r="5381" spans="1:5" s="335" customFormat="1" ht="36">
      <c r="A5381" s="342" t="s">
        <v>4741</v>
      </c>
      <c r="B5381" s="342" t="s">
        <v>4742</v>
      </c>
      <c r="C5381" s="342" t="str">
        <f>("7640008004")</f>
        <v>7640008004</v>
      </c>
      <c r="D5381" s="340">
        <v>975</v>
      </c>
      <c r="E5381" s="343"/>
    </row>
    <row r="5382" spans="1:5" s="335" customFormat="1" ht="36">
      <c r="A5382" s="342" t="s">
        <v>4743</v>
      </c>
      <c r="B5382" s="342" t="s">
        <v>4744</v>
      </c>
      <c r="C5382" s="342" t="str">
        <f>("7640008005")</f>
        <v>7640008005</v>
      </c>
      <c r="D5382" s="340">
        <v>2925</v>
      </c>
      <c r="E5382" s="343"/>
    </row>
    <row r="5383" spans="1:5" s="335" customFormat="1" ht="36">
      <c r="A5383" s="342" t="s">
        <v>4745</v>
      </c>
      <c r="B5383" s="342" t="s">
        <v>4746</v>
      </c>
      <c r="C5383" s="342" t="str">
        <f>("7640008006")</f>
        <v>7640008006</v>
      </c>
      <c r="D5383" s="340">
        <v>2193.75</v>
      </c>
      <c r="E5383" s="343"/>
    </row>
    <row r="5384" spans="1:5" s="335" customFormat="1" ht="36">
      <c r="A5384" s="342" t="s">
        <v>4747</v>
      </c>
      <c r="B5384" s="342" t="s">
        <v>4748</v>
      </c>
      <c r="C5384" s="342" t="str">
        <f>("7640008007")</f>
        <v>7640008007</v>
      </c>
      <c r="D5384" s="340">
        <v>1625</v>
      </c>
      <c r="E5384" s="343"/>
    </row>
    <row r="5385" spans="1:5" s="335" customFormat="1" ht="36">
      <c r="A5385" s="342" t="s">
        <v>4749</v>
      </c>
      <c r="B5385" s="342" t="s">
        <v>4750</v>
      </c>
      <c r="C5385" s="342" t="str">
        <f>("7640008008")</f>
        <v>7640008008</v>
      </c>
      <c r="D5385" s="340">
        <v>1218.75</v>
      </c>
      <c r="E5385" s="343"/>
    </row>
    <row r="5386" spans="1:5" s="335" customFormat="1" ht="12.75">
      <c r="A5386" s="344"/>
      <c r="B5386" s="343"/>
      <c r="C5386" s="343"/>
      <c r="D5386" s="395"/>
      <c r="E5386" s="343"/>
    </row>
    <row r="5387" spans="1:5" s="335" customFormat="1" ht="12.75">
      <c r="A5387" s="403" t="s">
        <v>4751</v>
      </c>
      <c r="B5387" s="403"/>
      <c r="C5387" s="403"/>
      <c r="D5387" s="403"/>
      <c r="E5387" s="343"/>
    </row>
    <row r="5388" spans="1:5" s="335" customFormat="1" ht="24">
      <c r="A5388" s="342" t="s">
        <v>4752</v>
      </c>
      <c r="B5388" s="342" t="s">
        <v>4753</v>
      </c>
      <c r="C5388" s="342" t="s">
        <v>6325</v>
      </c>
      <c r="D5388" s="340">
        <v>50</v>
      </c>
      <c r="E5388" s="343"/>
    </row>
    <row r="5389" spans="1:5" s="335" customFormat="1" ht="12.75">
      <c r="A5389" s="403" t="s">
        <v>4754</v>
      </c>
      <c r="B5389" s="403"/>
      <c r="C5389" s="403"/>
      <c r="D5389" s="403"/>
      <c r="E5389" s="343"/>
    </row>
    <row r="5390" spans="1:5" s="335" customFormat="1" ht="24">
      <c r="A5390" s="342" t="s">
        <v>4755</v>
      </c>
      <c r="B5390" s="342" t="s">
        <v>4756</v>
      </c>
      <c r="C5390" s="342" t="s">
        <v>6326</v>
      </c>
      <c r="D5390" s="340">
        <v>995</v>
      </c>
      <c r="E5390" s="343"/>
    </row>
    <row r="5391" spans="1:5" s="335" customFormat="1" ht="24">
      <c r="A5391" s="342" t="s">
        <v>4757</v>
      </c>
      <c r="B5391" s="342" t="s">
        <v>4758</v>
      </c>
      <c r="C5391" s="342" t="str">
        <f>("7640008010")</f>
        <v>7640008010</v>
      </c>
      <c r="D5391" s="340">
        <v>1750</v>
      </c>
      <c r="E5391" s="343"/>
    </row>
    <row r="5392" spans="1:5" s="335" customFormat="1" ht="24">
      <c r="A5392" s="342" t="s">
        <v>4759</v>
      </c>
      <c r="B5392" s="342" t="s">
        <v>4760</v>
      </c>
      <c r="C5392" s="342" t="str">
        <f>("7640008011")</f>
        <v>7640008011</v>
      </c>
      <c r="D5392" s="340">
        <v>1750</v>
      </c>
      <c r="E5392" s="343"/>
    </row>
    <row r="5393" spans="1:5" s="335" customFormat="1" ht="24">
      <c r="A5393" s="342" t="s">
        <v>4761</v>
      </c>
      <c r="B5393" s="342" t="s">
        <v>4762</v>
      </c>
      <c r="C5393" s="342" t="str">
        <f>("7640008012")</f>
        <v>7640008012</v>
      </c>
      <c r="D5393" s="340">
        <v>2750</v>
      </c>
      <c r="E5393" s="343"/>
    </row>
    <row r="5394" spans="1:5" s="335" customFormat="1" ht="24">
      <c r="A5394" s="342" t="s">
        <v>4763</v>
      </c>
      <c r="B5394" s="342" t="s">
        <v>4764</v>
      </c>
      <c r="C5394" s="342" t="str">
        <f>("7640008013")</f>
        <v>7640008013</v>
      </c>
      <c r="D5394" s="340">
        <v>1450</v>
      </c>
      <c r="E5394" s="343"/>
    </row>
    <row r="5395" spans="1:5" s="335" customFormat="1" ht="24">
      <c r="A5395" s="342" t="s">
        <v>4765</v>
      </c>
      <c r="B5395" s="342" t="s">
        <v>4766</v>
      </c>
      <c r="C5395" s="342" t="str">
        <f>("7640008014")</f>
        <v>7640008014</v>
      </c>
      <c r="D5395" s="340">
        <v>1250</v>
      </c>
      <c r="E5395" s="343"/>
    </row>
    <row r="5396" spans="1:5" s="335" customFormat="1" ht="24">
      <c r="A5396" s="342" t="s">
        <v>4767</v>
      </c>
      <c r="B5396" s="342" t="s">
        <v>4768</v>
      </c>
      <c r="C5396" s="342" t="s">
        <v>6327</v>
      </c>
      <c r="D5396" s="340">
        <v>4000</v>
      </c>
      <c r="E5396" s="343"/>
    </row>
    <row r="5397" spans="1:5" s="335" customFormat="1" ht="24">
      <c r="A5397" s="342" t="s">
        <v>4769</v>
      </c>
      <c r="B5397" s="342" t="s">
        <v>4770</v>
      </c>
      <c r="C5397" s="342" t="s">
        <v>6328</v>
      </c>
      <c r="D5397" s="340">
        <v>4000</v>
      </c>
      <c r="E5397" s="343"/>
    </row>
    <row r="5398" spans="1:5" s="335" customFormat="1" ht="24">
      <c r="A5398" s="342" t="s">
        <v>4771</v>
      </c>
      <c r="B5398" s="342" t="s">
        <v>4772</v>
      </c>
      <c r="C5398" s="342" t="s">
        <v>6329</v>
      </c>
      <c r="D5398" s="340">
        <v>8000</v>
      </c>
      <c r="E5398" s="343"/>
    </row>
    <row r="5399" spans="1:5" s="335" customFormat="1" ht="24">
      <c r="A5399" s="342" t="s">
        <v>4773</v>
      </c>
      <c r="B5399" s="342" t="s">
        <v>4774</v>
      </c>
      <c r="C5399" s="342" t="s">
        <v>6330</v>
      </c>
      <c r="D5399" s="340">
        <v>2200</v>
      </c>
      <c r="E5399" s="343"/>
    </row>
    <row r="5400" spans="1:5" s="335" customFormat="1" ht="24">
      <c r="A5400" s="342" t="s">
        <v>4775</v>
      </c>
      <c r="B5400" s="342" t="s">
        <v>4776</v>
      </c>
      <c r="C5400" s="342" t="s">
        <v>6331</v>
      </c>
      <c r="D5400" s="340">
        <v>2000</v>
      </c>
      <c r="E5400" s="343"/>
    </row>
    <row r="5401" spans="1:5" s="335" customFormat="1" ht="12.75">
      <c r="A5401" s="403" t="s">
        <v>4777</v>
      </c>
      <c r="B5401" s="403"/>
      <c r="C5401" s="403"/>
      <c r="D5401" s="403"/>
      <c r="E5401" s="343"/>
    </row>
    <row r="5402" spans="1:5" s="335" customFormat="1" ht="24">
      <c r="A5402" s="342" t="s">
        <v>4778</v>
      </c>
      <c r="B5402" s="342" t="s">
        <v>4779</v>
      </c>
      <c r="C5402" s="342" t="str">
        <f>("7640004310")</f>
        <v>7640004310</v>
      </c>
      <c r="D5402" s="340">
        <v>0</v>
      </c>
      <c r="E5402" s="343"/>
    </row>
    <row r="5403" spans="1:5" s="335" customFormat="1" ht="12.75">
      <c r="A5403" s="403" t="s">
        <v>856</v>
      </c>
      <c r="B5403" s="403"/>
      <c r="C5403" s="403"/>
      <c r="D5403" s="403"/>
      <c r="E5403" s="343"/>
    </row>
    <row r="5404" spans="1:5" s="335" customFormat="1" ht="36">
      <c r="A5404" s="342" t="s">
        <v>4780</v>
      </c>
      <c r="B5404" s="342" t="s">
        <v>4781</v>
      </c>
      <c r="C5404" s="342" t="s">
        <v>6332</v>
      </c>
      <c r="D5404" s="340">
        <v>2000</v>
      </c>
      <c r="E5404" s="343"/>
    </row>
    <row r="5405" spans="1:5" s="335" customFormat="1" ht="36">
      <c r="A5405" s="342" t="s">
        <v>4782</v>
      </c>
      <c r="B5405" s="342" t="s">
        <v>4783</v>
      </c>
      <c r="C5405" s="342" t="str">
        <f>("7640001519")</f>
        <v>7640001519</v>
      </c>
      <c r="D5405" s="340">
        <v>250</v>
      </c>
      <c r="E5405" s="343"/>
    </row>
    <row r="5406" spans="1:5" s="335" customFormat="1" ht="24">
      <c r="A5406" s="342" t="s">
        <v>4784</v>
      </c>
      <c r="B5406" s="342" t="s">
        <v>4785</v>
      </c>
      <c r="C5406" s="342" t="str">
        <f>("7640004304")</f>
        <v>7640004304</v>
      </c>
      <c r="D5406" s="340">
        <v>335</v>
      </c>
      <c r="E5406" s="343"/>
    </row>
    <row r="5407" spans="1:5" s="335" customFormat="1" ht="36">
      <c r="A5407" s="342" t="s">
        <v>4786</v>
      </c>
      <c r="B5407" s="342" t="s">
        <v>4787</v>
      </c>
      <c r="C5407" s="342" t="str">
        <f>("7640008020")</f>
        <v>7640008020</v>
      </c>
      <c r="D5407" s="340">
        <v>250</v>
      </c>
      <c r="E5407" s="343"/>
    </row>
    <row r="5408" spans="1:5" s="335" customFormat="1" ht="12.75">
      <c r="A5408" s="344"/>
      <c r="B5408" s="343"/>
      <c r="C5408" s="343"/>
      <c r="D5408" s="395"/>
      <c r="E5408" s="343"/>
    </row>
    <row r="5409" spans="1:5" s="335" customFormat="1" ht="15" customHeight="1">
      <c r="A5409" s="345"/>
      <c r="B5409" s="404" t="s">
        <v>4788</v>
      </c>
      <c r="C5409" s="404"/>
      <c r="D5409" s="404"/>
      <c r="E5409" s="404"/>
    </row>
    <row r="5410" spans="1:5" s="335" customFormat="1" ht="25.5">
      <c r="A5410" s="346" t="s">
        <v>789</v>
      </c>
      <c r="B5410" s="346" t="s">
        <v>409</v>
      </c>
      <c r="C5410" s="346" t="s">
        <v>26</v>
      </c>
      <c r="D5410" s="337" t="s">
        <v>6425</v>
      </c>
      <c r="E5410" s="343"/>
    </row>
    <row r="5411" spans="1:5" s="335" customFormat="1" ht="26.25">
      <c r="A5411" s="342" t="s">
        <v>4789</v>
      </c>
      <c r="B5411" s="342"/>
      <c r="C5411" s="342" t="s">
        <v>6333</v>
      </c>
      <c r="D5411" s="338" t="s">
        <v>791</v>
      </c>
      <c r="E5411" s="343"/>
    </row>
    <row r="5412" spans="1:5" s="335" customFormat="1" ht="12.75">
      <c r="A5412" s="403" t="s">
        <v>1534</v>
      </c>
      <c r="B5412" s="403"/>
      <c r="C5412" s="403"/>
      <c r="D5412" s="403"/>
      <c r="E5412" s="343"/>
    </row>
    <row r="5413" spans="1:5" s="335" customFormat="1" ht="24">
      <c r="A5413" s="342" t="s">
        <v>4790</v>
      </c>
      <c r="B5413" s="342" t="s">
        <v>4791</v>
      </c>
      <c r="C5413" s="342" t="str">
        <f>("7640015829")</f>
        <v>7640015829</v>
      </c>
      <c r="D5413" s="340">
        <v>249</v>
      </c>
      <c r="E5413" s="343"/>
    </row>
    <row r="5414" spans="1:5" s="335" customFormat="1" ht="12.75">
      <c r="A5414" s="403" t="s">
        <v>792</v>
      </c>
      <c r="B5414" s="403"/>
      <c r="C5414" s="403"/>
      <c r="D5414" s="403"/>
      <c r="E5414" s="343"/>
    </row>
    <row r="5415" spans="1:5" s="335" customFormat="1" ht="24">
      <c r="A5415" s="342" t="s">
        <v>4792</v>
      </c>
      <c r="B5415" s="342" t="s">
        <v>4793</v>
      </c>
      <c r="C5415" s="342" t="s">
        <v>6334</v>
      </c>
      <c r="D5415" s="340">
        <v>469</v>
      </c>
      <c r="E5415" s="343"/>
    </row>
    <row r="5416" spans="1:5" s="335" customFormat="1" ht="24">
      <c r="A5416" s="342" t="s">
        <v>4794</v>
      </c>
      <c r="B5416" s="342" t="s">
        <v>4795</v>
      </c>
      <c r="C5416" s="342" t="str">
        <f>("7640017565")</f>
        <v>7640017565</v>
      </c>
      <c r="D5416" s="340">
        <v>439</v>
      </c>
      <c r="E5416" s="343"/>
    </row>
    <row r="5417" spans="1:5" s="335" customFormat="1" ht="24">
      <c r="A5417" s="342" t="s">
        <v>4796</v>
      </c>
      <c r="B5417" s="342" t="s">
        <v>4797</v>
      </c>
      <c r="C5417" s="342" t="str">
        <f>("7640017569")</f>
        <v>7640017569</v>
      </c>
      <c r="D5417" s="340">
        <v>399</v>
      </c>
      <c r="E5417" s="343"/>
    </row>
    <row r="5418" spans="1:5" s="335" customFormat="1" ht="24">
      <c r="A5418" s="342" t="s">
        <v>4798</v>
      </c>
      <c r="B5418" s="342" t="s">
        <v>4799</v>
      </c>
      <c r="C5418" s="342" t="str">
        <f>("7640017573")</f>
        <v>7640017573</v>
      </c>
      <c r="D5418" s="340">
        <v>379</v>
      </c>
      <c r="E5418" s="343"/>
    </row>
    <row r="5419" spans="1:5" s="335" customFormat="1" ht="36">
      <c r="A5419" s="342" t="s">
        <v>4800</v>
      </c>
      <c r="B5419" s="342" t="s">
        <v>4801</v>
      </c>
      <c r="C5419" s="342" t="str">
        <f>("HPC1001020001")</f>
        <v>HPC1001020001</v>
      </c>
      <c r="D5419" s="340">
        <v>420</v>
      </c>
      <c r="E5419" s="343"/>
    </row>
    <row r="5420" spans="1:5" s="335" customFormat="1" ht="24">
      <c r="A5420" s="342" t="s">
        <v>4802</v>
      </c>
      <c r="B5420" s="342" t="s">
        <v>4803</v>
      </c>
      <c r="C5420" s="342" t="str">
        <f>("PPC1001020001")</f>
        <v>PPC1001020001</v>
      </c>
      <c r="D5420" s="340">
        <v>5000</v>
      </c>
      <c r="E5420" s="343"/>
    </row>
    <row r="5421" spans="1:5" s="335" customFormat="1" ht="12.75">
      <c r="A5421" s="403" t="s">
        <v>803</v>
      </c>
      <c r="B5421" s="403"/>
      <c r="C5421" s="403"/>
      <c r="D5421" s="403"/>
      <c r="E5421" s="343"/>
    </row>
    <row r="5422" spans="1:5" s="335" customFormat="1" ht="24">
      <c r="A5422" s="342" t="s">
        <v>4804</v>
      </c>
      <c r="B5422" s="342" t="s">
        <v>4805</v>
      </c>
      <c r="C5422" s="342" t="str">
        <f>("7640017562")</f>
        <v>7640017562</v>
      </c>
      <c r="D5422" s="340">
        <v>79.73</v>
      </c>
      <c r="E5422" s="343"/>
    </row>
    <row r="5423" spans="1:5" s="335" customFormat="1" ht="24">
      <c r="A5423" s="342" t="s">
        <v>4806</v>
      </c>
      <c r="B5423" s="342" t="s">
        <v>4807</v>
      </c>
      <c r="C5423" s="342" t="str">
        <f>("7640017566")</f>
        <v>7640017566</v>
      </c>
      <c r="D5423" s="340">
        <v>74.63</v>
      </c>
      <c r="E5423" s="343"/>
    </row>
    <row r="5424" spans="1:5" s="335" customFormat="1" ht="24">
      <c r="A5424" s="342" t="s">
        <v>4808</v>
      </c>
      <c r="B5424" s="342" t="s">
        <v>4809</v>
      </c>
      <c r="C5424" s="342" t="str">
        <f>("7640017570")</f>
        <v>7640017570</v>
      </c>
      <c r="D5424" s="340">
        <v>67.83</v>
      </c>
      <c r="E5424" s="343"/>
    </row>
    <row r="5425" spans="1:5" s="335" customFormat="1" ht="24">
      <c r="A5425" s="342" t="s">
        <v>4810</v>
      </c>
      <c r="B5425" s="342" t="s">
        <v>4811</v>
      </c>
      <c r="C5425" s="342" t="str">
        <f>("7640017574")</f>
        <v>7640017574</v>
      </c>
      <c r="D5425" s="340">
        <v>64.430000000000007</v>
      </c>
      <c r="E5425" s="343"/>
    </row>
    <row r="5426" spans="1:5" s="335" customFormat="1" ht="24">
      <c r="A5426" s="342" t="s">
        <v>4812</v>
      </c>
      <c r="B5426" s="342" t="s">
        <v>4813</v>
      </c>
      <c r="C5426" s="342" t="str">
        <f>("CPC1001020001")</f>
        <v>CPC1001020001</v>
      </c>
      <c r="D5426" s="340">
        <v>850</v>
      </c>
      <c r="E5426" s="343"/>
    </row>
    <row r="5427" spans="1:5" s="335" customFormat="1" ht="12.75">
      <c r="A5427" s="403" t="s">
        <v>4814</v>
      </c>
      <c r="B5427" s="403"/>
      <c r="C5427" s="403"/>
      <c r="D5427" s="403"/>
      <c r="E5427" s="343"/>
    </row>
    <row r="5428" spans="1:5" s="335" customFormat="1" ht="24">
      <c r="A5428" s="342" t="s">
        <v>4815</v>
      </c>
      <c r="B5428" s="342" t="s">
        <v>4816</v>
      </c>
      <c r="C5428" s="342" t="str">
        <f>("7640017563")</f>
        <v>7640017563</v>
      </c>
      <c r="D5428" s="340">
        <v>79.73</v>
      </c>
      <c r="E5428" s="343"/>
    </row>
    <row r="5429" spans="1:5" s="335" customFormat="1" ht="24">
      <c r="A5429" s="342" t="s">
        <v>4817</v>
      </c>
      <c r="B5429" s="342" t="s">
        <v>4818</v>
      </c>
      <c r="C5429" s="342" t="str">
        <f>("7640017567")</f>
        <v>7640017567</v>
      </c>
      <c r="D5429" s="340">
        <v>74.63</v>
      </c>
      <c r="E5429" s="343"/>
    </row>
    <row r="5430" spans="1:5" s="335" customFormat="1" ht="24">
      <c r="A5430" s="342" t="s">
        <v>4819</v>
      </c>
      <c r="B5430" s="342" t="s">
        <v>4820</v>
      </c>
      <c r="C5430" s="342" t="str">
        <f>("7640017571")</f>
        <v>7640017571</v>
      </c>
      <c r="D5430" s="340">
        <v>67.83</v>
      </c>
      <c r="E5430" s="343"/>
    </row>
    <row r="5431" spans="1:5" s="335" customFormat="1" ht="24">
      <c r="A5431" s="342" t="s">
        <v>4821</v>
      </c>
      <c r="B5431" s="342" t="s">
        <v>4822</v>
      </c>
      <c r="C5431" s="342" t="str">
        <f>("7640017575")</f>
        <v>7640017575</v>
      </c>
      <c r="D5431" s="340">
        <v>64.430000000000007</v>
      </c>
      <c r="E5431" s="343"/>
    </row>
    <row r="5432" spans="1:5" s="335" customFormat="1" ht="24">
      <c r="A5432" s="342" t="s">
        <v>4823</v>
      </c>
      <c r="B5432" s="342" t="s">
        <v>4824</v>
      </c>
      <c r="C5432" s="342" t="str">
        <f>("BPC1001020001")</f>
        <v>BPC1001020001</v>
      </c>
      <c r="D5432" s="340">
        <v>850</v>
      </c>
      <c r="E5432" s="343"/>
    </row>
    <row r="5433" spans="1:5" s="335" customFormat="1" ht="12.75">
      <c r="A5433" s="403" t="s">
        <v>4825</v>
      </c>
      <c r="B5433" s="403"/>
      <c r="C5433" s="403"/>
      <c r="D5433" s="403"/>
      <c r="E5433" s="343"/>
    </row>
    <row r="5434" spans="1:5" s="335" customFormat="1" ht="24">
      <c r="A5434" s="342" t="s">
        <v>4826</v>
      </c>
      <c r="B5434" s="342" t="s">
        <v>4827</v>
      </c>
      <c r="C5434" s="342" t="str">
        <f>("7640017564")</f>
        <v>7640017564</v>
      </c>
      <c r="D5434" s="340">
        <v>164.15</v>
      </c>
      <c r="E5434" s="343"/>
    </row>
    <row r="5435" spans="1:5" s="335" customFormat="1" ht="24">
      <c r="A5435" s="342" t="s">
        <v>4828</v>
      </c>
      <c r="B5435" s="342" t="s">
        <v>4829</v>
      </c>
      <c r="C5435" s="342" t="str">
        <f>("7640017568")</f>
        <v>7640017568</v>
      </c>
      <c r="D5435" s="340">
        <v>153.65</v>
      </c>
      <c r="E5435" s="343"/>
    </row>
    <row r="5436" spans="1:5" s="335" customFormat="1" ht="24">
      <c r="A5436" s="342" t="s">
        <v>4830</v>
      </c>
      <c r="B5436" s="342" t="s">
        <v>4831</v>
      </c>
      <c r="C5436" s="342" t="str">
        <f>("7640017572")</f>
        <v>7640017572</v>
      </c>
      <c r="D5436" s="340">
        <v>139.65</v>
      </c>
      <c r="E5436" s="343"/>
    </row>
    <row r="5437" spans="1:5" s="335" customFormat="1" ht="24">
      <c r="A5437" s="342" t="s">
        <v>4832</v>
      </c>
      <c r="B5437" s="342" t="s">
        <v>4833</v>
      </c>
      <c r="C5437" s="342" t="str">
        <f>("7640017576")</f>
        <v>7640017576</v>
      </c>
      <c r="D5437" s="340">
        <v>132.65</v>
      </c>
      <c r="E5437" s="343"/>
    </row>
    <row r="5438" spans="1:5" s="335" customFormat="1" ht="24">
      <c r="A5438" s="342" t="s">
        <v>4834</v>
      </c>
      <c r="B5438" s="342" t="s">
        <v>4835</v>
      </c>
      <c r="C5438" s="342" t="str">
        <f>("APC1001020001")</f>
        <v>APC1001020001</v>
      </c>
      <c r="D5438" s="340">
        <v>1750</v>
      </c>
      <c r="E5438" s="343"/>
    </row>
    <row r="5439" spans="1:5" s="335" customFormat="1" ht="12.75">
      <c r="A5439" s="403" t="s">
        <v>1516</v>
      </c>
      <c r="B5439" s="403"/>
      <c r="C5439" s="403"/>
      <c r="D5439" s="403"/>
      <c r="E5439" s="343"/>
    </row>
    <row r="5440" spans="1:5" s="335" customFormat="1" ht="48">
      <c r="A5440" s="342" t="s">
        <v>4836</v>
      </c>
      <c r="B5440" s="342" t="s">
        <v>4837</v>
      </c>
      <c r="C5440" s="342" t="str">
        <f>("7640015136")</f>
        <v>7640015136</v>
      </c>
      <c r="D5440" s="340">
        <v>155</v>
      </c>
      <c r="E5440" s="343"/>
    </row>
    <row r="5441" spans="1:5" s="335" customFormat="1" ht="36">
      <c r="A5441" s="342" t="s">
        <v>4838</v>
      </c>
      <c r="B5441" s="342" t="s">
        <v>4839</v>
      </c>
      <c r="C5441" s="342" t="str">
        <f>("7640015137")</f>
        <v>7640015137</v>
      </c>
      <c r="D5441" s="340">
        <v>155</v>
      </c>
      <c r="E5441" s="343"/>
    </row>
    <row r="5442" spans="1:5" s="335" customFormat="1" ht="48">
      <c r="A5442" s="342" t="s">
        <v>4840</v>
      </c>
      <c r="B5442" s="342" t="s">
        <v>4841</v>
      </c>
      <c r="C5442" s="342" t="str">
        <f>("7640015138")</f>
        <v>7640015138</v>
      </c>
      <c r="D5442" s="340">
        <v>55</v>
      </c>
      <c r="E5442" s="343"/>
    </row>
    <row r="5443" spans="1:5" s="335" customFormat="1" ht="12.75">
      <c r="A5443" s="403" t="s">
        <v>856</v>
      </c>
      <c r="B5443" s="403"/>
      <c r="C5443" s="403"/>
      <c r="D5443" s="403"/>
      <c r="E5443" s="343"/>
    </row>
    <row r="5444" spans="1:5" s="335" customFormat="1" ht="36">
      <c r="A5444" s="342" t="s">
        <v>4780</v>
      </c>
      <c r="B5444" s="342" t="s">
        <v>4781</v>
      </c>
      <c r="C5444" s="342" t="s">
        <v>6335</v>
      </c>
      <c r="D5444" s="340">
        <v>2000</v>
      </c>
      <c r="E5444" s="343"/>
    </row>
    <row r="5445" spans="1:5" s="335" customFormat="1" ht="36">
      <c r="A5445" s="342" t="s">
        <v>4782</v>
      </c>
      <c r="B5445" s="342" t="s">
        <v>4783</v>
      </c>
      <c r="C5445" s="342" t="str">
        <f>("7640001519")</f>
        <v>7640001519</v>
      </c>
      <c r="D5445" s="340">
        <v>250</v>
      </c>
      <c r="E5445" s="343"/>
    </row>
    <row r="5446" spans="1:5" s="335" customFormat="1" ht="24">
      <c r="A5446" s="342" t="s">
        <v>4784</v>
      </c>
      <c r="B5446" s="342" t="s">
        <v>4785</v>
      </c>
      <c r="C5446" s="342" t="str">
        <f>("7640004304")</f>
        <v>7640004304</v>
      </c>
      <c r="D5446" s="340">
        <v>335</v>
      </c>
      <c r="E5446" s="343"/>
    </row>
    <row r="5447" spans="1:5" s="335" customFormat="1" ht="36">
      <c r="A5447" s="342" t="s">
        <v>4786</v>
      </c>
      <c r="B5447" s="342" t="s">
        <v>4787</v>
      </c>
      <c r="C5447" s="342" t="str">
        <f>("7640008020")</f>
        <v>7640008020</v>
      </c>
      <c r="D5447" s="340">
        <v>250</v>
      </c>
      <c r="E5447" s="343"/>
    </row>
    <row r="5448" spans="1:5" s="335" customFormat="1" ht="12.75">
      <c r="A5448" s="344"/>
      <c r="B5448" s="343"/>
      <c r="C5448" s="343"/>
      <c r="D5448" s="395"/>
      <c r="E5448" s="343"/>
    </row>
    <row r="5449" spans="1:5" s="335" customFormat="1" ht="15" customHeight="1">
      <c r="A5449" s="345"/>
      <c r="B5449" s="404" t="s">
        <v>4842</v>
      </c>
      <c r="C5449" s="404"/>
      <c r="D5449" s="404"/>
      <c r="E5449" s="404"/>
    </row>
    <row r="5450" spans="1:5" s="335" customFormat="1" ht="25.5">
      <c r="A5450" s="346" t="s">
        <v>789</v>
      </c>
      <c r="B5450" s="346" t="s">
        <v>409</v>
      </c>
      <c r="C5450" s="346" t="s">
        <v>26</v>
      </c>
      <c r="D5450" s="337" t="s">
        <v>6425</v>
      </c>
      <c r="E5450" s="343"/>
    </row>
    <row r="5451" spans="1:5" s="335" customFormat="1" ht="12.75">
      <c r="A5451" s="342" t="s">
        <v>4843</v>
      </c>
      <c r="B5451" s="342" t="s">
        <v>4844</v>
      </c>
      <c r="C5451" s="342" t="str">
        <f>("Printgroove")</f>
        <v>Printgroove</v>
      </c>
      <c r="D5451" s="340">
        <v>0</v>
      </c>
      <c r="E5451" s="343"/>
    </row>
    <row r="5452" spans="1:5" s="335" customFormat="1" ht="12.75">
      <c r="A5452" s="402" t="s">
        <v>1587</v>
      </c>
      <c r="B5452" s="402"/>
      <c r="C5452" s="402"/>
      <c r="D5452" s="402"/>
      <c r="E5452" s="343"/>
    </row>
    <row r="5453" spans="1:5" s="335" customFormat="1" ht="24">
      <c r="A5453" s="342" t="s">
        <v>4845</v>
      </c>
      <c r="B5453" s="342" t="s">
        <v>4846</v>
      </c>
      <c r="C5453" s="342" t="s">
        <v>6336</v>
      </c>
      <c r="D5453" s="340">
        <v>400</v>
      </c>
      <c r="E5453" s="343"/>
    </row>
    <row r="5454" spans="1:5" s="335" customFormat="1" ht="24">
      <c r="A5454" s="342" t="s">
        <v>4847</v>
      </c>
      <c r="B5454" s="342" t="s">
        <v>4848</v>
      </c>
      <c r="C5454" s="342" t="str">
        <f>("A0D30Y0")</f>
        <v>A0D30Y0</v>
      </c>
      <c r="D5454" s="340">
        <v>2500</v>
      </c>
      <c r="E5454" s="343"/>
    </row>
    <row r="5455" spans="1:5" s="335" customFormat="1" ht="24">
      <c r="A5455" s="342" t="s">
        <v>4849</v>
      </c>
      <c r="B5455" s="342" t="s">
        <v>4850</v>
      </c>
      <c r="C5455" s="342" t="s">
        <v>6337</v>
      </c>
      <c r="D5455" s="340">
        <v>3500</v>
      </c>
      <c r="E5455" s="343"/>
    </row>
    <row r="5456" spans="1:5" s="335" customFormat="1" ht="12.75">
      <c r="A5456" s="403" t="s">
        <v>4851</v>
      </c>
      <c r="B5456" s="403"/>
      <c r="C5456" s="403"/>
      <c r="D5456" s="403"/>
      <c r="E5456" s="343"/>
    </row>
    <row r="5457" spans="1:5" s="335" customFormat="1" ht="24">
      <c r="A5457" s="342" t="s">
        <v>4852</v>
      </c>
      <c r="B5457" s="342" t="s">
        <v>4853</v>
      </c>
      <c r="C5457" s="342" t="str">
        <f>("A0EH0Y1")</f>
        <v>A0EH0Y1</v>
      </c>
      <c r="D5457" s="340">
        <v>2400</v>
      </c>
      <c r="E5457" s="343"/>
    </row>
    <row r="5458" spans="1:5" s="335" customFormat="1" ht="24">
      <c r="A5458" s="342" t="s">
        <v>4854</v>
      </c>
      <c r="B5458" s="342" t="s">
        <v>4855</v>
      </c>
      <c r="C5458" s="342" t="str">
        <f>("A0EH0Y2")</f>
        <v>A0EH0Y2</v>
      </c>
      <c r="D5458" s="340">
        <v>3800</v>
      </c>
      <c r="E5458" s="343"/>
    </row>
    <row r="5459" spans="1:5" s="335" customFormat="1" ht="24">
      <c r="A5459" s="342" t="s">
        <v>4856</v>
      </c>
      <c r="B5459" s="342" t="s">
        <v>4857</v>
      </c>
      <c r="C5459" s="342" t="str">
        <f>("A0EH0Y3")</f>
        <v>A0EH0Y3</v>
      </c>
      <c r="D5459" s="340">
        <v>7000</v>
      </c>
      <c r="E5459" s="343"/>
    </row>
    <row r="5460" spans="1:5" s="335" customFormat="1" ht="24">
      <c r="A5460" s="342" t="s">
        <v>4858</v>
      </c>
      <c r="B5460" s="342" t="s">
        <v>4859</v>
      </c>
      <c r="C5460" s="342" t="str">
        <f>("A0EH0Y4")</f>
        <v>A0EH0Y4</v>
      </c>
      <c r="D5460" s="340">
        <v>11800</v>
      </c>
      <c r="E5460" s="343"/>
    </row>
    <row r="5461" spans="1:5" s="335" customFormat="1" ht="24">
      <c r="A5461" s="342" t="s">
        <v>4860</v>
      </c>
      <c r="B5461" s="342" t="s">
        <v>4861</v>
      </c>
      <c r="C5461" s="342" t="str">
        <f>("A0EH0Y5")</f>
        <v>A0EH0Y5</v>
      </c>
      <c r="D5461" s="340">
        <v>20000</v>
      </c>
      <c r="E5461" s="343"/>
    </row>
    <row r="5462" spans="1:5" s="335" customFormat="1" ht="36">
      <c r="A5462" s="342" t="s">
        <v>4862</v>
      </c>
      <c r="B5462" s="342" t="s">
        <v>4863</v>
      </c>
      <c r="C5462" s="342" t="str">
        <f>("A0EH0Y6")</f>
        <v>A0EH0Y6</v>
      </c>
      <c r="D5462" s="340">
        <v>1200</v>
      </c>
      <c r="E5462" s="343"/>
    </row>
    <row r="5463" spans="1:5" s="335" customFormat="1" ht="36">
      <c r="A5463" s="342" t="s">
        <v>4864</v>
      </c>
      <c r="B5463" s="342" t="s">
        <v>4865</v>
      </c>
      <c r="C5463" s="342" t="str">
        <f>("A0EH0Y7")</f>
        <v>A0EH0Y7</v>
      </c>
      <c r="D5463" s="340">
        <v>1800</v>
      </c>
      <c r="E5463" s="343"/>
    </row>
    <row r="5464" spans="1:5" s="335" customFormat="1" ht="36">
      <c r="A5464" s="342" t="s">
        <v>4866</v>
      </c>
      <c r="B5464" s="342" t="s">
        <v>4867</v>
      </c>
      <c r="C5464" s="342" t="str">
        <f>("A0EH0Y8")</f>
        <v>A0EH0Y8</v>
      </c>
      <c r="D5464" s="340">
        <v>3500</v>
      </c>
      <c r="E5464" s="343"/>
    </row>
    <row r="5465" spans="1:5" s="335" customFormat="1" ht="12.75">
      <c r="A5465" s="403" t="s">
        <v>4868</v>
      </c>
      <c r="B5465" s="403"/>
      <c r="C5465" s="403"/>
      <c r="D5465" s="403"/>
      <c r="E5465" s="343"/>
    </row>
    <row r="5466" spans="1:5" s="335" customFormat="1" ht="36">
      <c r="A5466" s="342" t="s">
        <v>4869</v>
      </c>
      <c r="B5466" s="342" t="s">
        <v>4870</v>
      </c>
      <c r="C5466" s="342" t="str">
        <f>("A0D30Y1")</f>
        <v>A0D30Y1</v>
      </c>
      <c r="D5466" s="340">
        <v>1200</v>
      </c>
      <c r="E5466" s="343"/>
    </row>
    <row r="5467" spans="1:5" s="335" customFormat="1" ht="24">
      <c r="A5467" s="342" t="s">
        <v>4871</v>
      </c>
      <c r="B5467" s="342" t="s">
        <v>4872</v>
      </c>
      <c r="C5467" s="342" t="str">
        <f>("A0D30Y2")</f>
        <v>A0D30Y2</v>
      </c>
      <c r="D5467" s="340">
        <v>1200</v>
      </c>
      <c r="E5467" s="343"/>
    </row>
    <row r="5468" spans="1:5" s="335" customFormat="1" ht="12.75">
      <c r="A5468" s="403" t="s">
        <v>4873</v>
      </c>
      <c r="B5468" s="403"/>
      <c r="C5468" s="403"/>
      <c r="D5468" s="403"/>
      <c r="E5468" s="343"/>
    </row>
    <row r="5469" spans="1:5" s="335" customFormat="1" ht="36">
      <c r="A5469" s="342" t="s">
        <v>4874</v>
      </c>
      <c r="B5469" s="342" t="s">
        <v>4875</v>
      </c>
      <c r="C5469" s="342" t="str">
        <f>("A0EG0Y1")</f>
        <v>A0EG0Y1</v>
      </c>
      <c r="D5469" s="340">
        <v>1200</v>
      </c>
      <c r="E5469" s="343"/>
    </row>
    <row r="5470" spans="1:5" s="335" customFormat="1" ht="36">
      <c r="A5470" s="342" t="s">
        <v>4876</v>
      </c>
      <c r="B5470" s="342" t="s">
        <v>4877</v>
      </c>
      <c r="C5470" s="342" t="str">
        <f>("A0EG0Y2")</f>
        <v>A0EG0Y2</v>
      </c>
      <c r="D5470" s="340">
        <v>1800</v>
      </c>
      <c r="E5470" s="343"/>
    </row>
    <row r="5471" spans="1:5" s="335" customFormat="1" ht="36">
      <c r="A5471" s="342" t="s">
        <v>4878</v>
      </c>
      <c r="B5471" s="342" t="s">
        <v>4879</v>
      </c>
      <c r="C5471" s="342" t="str">
        <f>("A0EG0Y3")</f>
        <v>A0EG0Y3</v>
      </c>
      <c r="D5471" s="340">
        <v>3500</v>
      </c>
      <c r="E5471" s="343"/>
    </row>
    <row r="5472" spans="1:5" s="335" customFormat="1" ht="36">
      <c r="A5472" s="342" t="s">
        <v>4880</v>
      </c>
      <c r="B5472" s="342" t="s">
        <v>4863</v>
      </c>
      <c r="C5472" s="342" t="str">
        <f>("A0EG0Y4")</f>
        <v>A0EG0Y4</v>
      </c>
      <c r="D5472" s="340">
        <v>1200</v>
      </c>
      <c r="E5472" s="343"/>
    </row>
    <row r="5473" spans="1:5" s="335" customFormat="1" ht="36">
      <c r="A5473" s="342" t="s">
        <v>4881</v>
      </c>
      <c r="B5473" s="342" t="s">
        <v>4882</v>
      </c>
      <c r="C5473" s="342" t="str">
        <f>("A0EG0Y5")</f>
        <v>A0EG0Y5</v>
      </c>
      <c r="D5473" s="340">
        <v>1800</v>
      </c>
      <c r="E5473" s="343"/>
    </row>
    <row r="5474" spans="1:5" s="335" customFormat="1" ht="36">
      <c r="A5474" s="342" t="s">
        <v>4883</v>
      </c>
      <c r="B5474" s="342" t="s">
        <v>4867</v>
      </c>
      <c r="C5474" s="342" t="str">
        <f>("A0EG0Y6")</f>
        <v>A0EG0Y6</v>
      </c>
      <c r="D5474" s="340">
        <v>3500</v>
      </c>
      <c r="E5474" s="343"/>
    </row>
    <row r="5475" spans="1:5" s="335" customFormat="1" ht="12.75">
      <c r="A5475" s="403" t="s">
        <v>3121</v>
      </c>
      <c r="B5475" s="403"/>
      <c r="C5475" s="403"/>
      <c r="D5475" s="403"/>
      <c r="E5475" s="343"/>
    </row>
    <row r="5476" spans="1:5" s="335" customFormat="1" ht="12.75">
      <c r="A5476" s="342" t="s">
        <v>4884</v>
      </c>
      <c r="B5476" s="342" t="s">
        <v>4885</v>
      </c>
      <c r="C5476" s="342" t="str">
        <f>("708320")</f>
        <v>708320</v>
      </c>
      <c r="D5476" s="340">
        <v>3500</v>
      </c>
      <c r="E5476" s="343"/>
    </row>
    <row r="5477" spans="1:5" s="335" customFormat="1" ht="12.75">
      <c r="A5477" s="342" t="s">
        <v>4886</v>
      </c>
      <c r="B5477" s="342" t="s">
        <v>4887</v>
      </c>
      <c r="C5477" s="342" t="str">
        <f>("708324")</f>
        <v>708324</v>
      </c>
      <c r="D5477" s="340">
        <v>4500</v>
      </c>
      <c r="E5477" s="343"/>
    </row>
    <row r="5478" spans="1:5" s="335" customFormat="1" ht="12.75">
      <c r="A5478" s="403" t="s">
        <v>3473</v>
      </c>
      <c r="B5478" s="403"/>
      <c r="C5478" s="403"/>
      <c r="D5478" s="403"/>
      <c r="E5478" s="343"/>
    </row>
    <row r="5479" spans="1:5" s="335" customFormat="1" ht="36">
      <c r="A5479" s="342" t="s">
        <v>4888</v>
      </c>
      <c r="B5479" s="342" t="s">
        <v>4889</v>
      </c>
      <c r="C5479" s="342" t="s">
        <v>6338</v>
      </c>
      <c r="D5479" s="340">
        <v>83</v>
      </c>
      <c r="E5479" s="343"/>
    </row>
    <row r="5480" spans="1:5" s="335" customFormat="1" ht="36">
      <c r="A5480" s="342" t="s">
        <v>4890</v>
      </c>
      <c r="B5480" s="342" t="s">
        <v>4889</v>
      </c>
      <c r="C5480" s="342" t="str">
        <f>("7640003103")</f>
        <v>7640003103</v>
      </c>
      <c r="D5480" s="340">
        <v>83</v>
      </c>
      <c r="E5480" s="343"/>
    </row>
    <row r="5481" spans="1:5" s="335" customFormat="1" ht="36">
      <c r="A5481" s="342" t="s">
        <v>4891</v>
      </c>
      <c r="B5481" s="342" t="s">
        <v>4889</v>
      </c>
      <c r="C5481" s="342" t="str">
        <f>("7640003104")</f>
        <v>7640003104</v>
      </c>
      <c r="D5481" s="340">
        <v>42</v>
      </c>
      <c r="E5481" s="343"/>
    </row>
    <row r="5482" spans="1:5" s="335" customFormat="1" ht="36">
      <c r="A5482" s="342" t="s">
        <v>4892</v>
      </c>
      <c r="B5482" s="342" t="s">
        <v>4889</v>
      </c>
      <c r="C5482" s="342" t="str">
        <f>("7640003105")</f>
        <v>7640003105</v>
      </c>
      <c r="D5482" s="340">
        <v>20</v>
      </c>
      <c r="E5482" s="343"/>
    </row>
    <row r="5483" spans="1:5" s="335" customFormat="1" ht="36">
      <c r="A5483" s="342" t="s">
        <v>4893</v>
      </c>
      <c r="B5483" s="342" t="s">
        <v>4889</v>
      </c>
      <c r="C5483" s="342" t="str">
        <f>("7640003106")</f>
        <v>7640003106</v>
      </c>
      <c r="D5483" s="340">
        <v>30</v>
      </c>
      <c r="E5483" s="343"/>
    </row>
    <row r="5484" spans="1:5" s="335" customFormat="1" ht="36">
      <c r="A5484" s="342" t="s">
        <v>4894</v>
      </c>
      <c r="B5484" s="342" t="s">
        <v>4889</v>
      </c>
      <c r="C5484" s="342" t="str">
        <f>("7640003107")</f>
        <v>7640003107</v>
      </c>
      <c r="D5484" s="340">
        <v>58</v>
      </c>
      <c r="E5484" s="343"/>
    </row>
    <row r="5485" spans="1:5" s="335" customFormat="1" ht="36">
      <c r="A5485" s="342" t="s">
        <v>4895</v>
      </c>
      <c r="B5485" s="342" t="s">
        <v>4889</v>
      </c>
      <c r="C5485" s="342" t="str">
        <f>("7640003108")</f>
        <v>7640003108</v>
      </c>
      <c r="D5485" s="340">
        <v>20</v>
      </c>
      <c r="E5485" s="343"/>
    </row>
    <row r="5486" spans="1:5" s="335" customFormat="1" ht="36">
      <c r="A5486" s="342" t="s">
        <v>4896</v>
      </c>
      <c r="B5486" s="342" t="s">
        <v>4889</v>
      </c>
      <c r="C5486" s="342" t="str">
        <f>("7640003109")</f>
        <v>7640003109</v>
      </c>
      <c r="D5486" s="340">
        <v>30</v>
      </c>
      <c r="E5486" s="343"/>
    </row>
    <row r="5487" spans="1:5" s="335" customFormat="1" ht="36">
      <c r="A5487" s="342" t="s">
        <v>4897</v>
      </c>
      <c r="B5487" s="342" t="s">
        <v>4889</v>
      </c>
      <c r="C5487" s="342" t="str">
        <f>("7640003110")</f>
        <v>7640003110</v>
      </c>
      <c r="D5487" s="340">
        <v>58</v>
      </c>
      <c r="E5487" s="343"/>
    </row>
    <row r="5488" spans="1:5" s="335" customFormat="1" ht="36">
      <c r="A5488" s="342" t="s">
        <v>4898</v>
      </c>
      <c r="B5488" s="342" t="s">
        <v>4889</v>
      </c>
      <c r="C5488" s="342" t="str">
        <f>("7640003111")</f>
        <v>7640003111</v>
      </c>
      <c r="D5488" s="340">
        <v>20</v>
      </c>
      <c r="E5488" s="343"/>
    </row>
    <row r="5489" spans="1:5" s="335" customFormat="1" ht="36">
      <c r="A5489" s="342" t="s">
        <v>4899</v>
      </c>
      <c r="B5489" s="342" t="s">
        <v>4889</v>
      </c>
      <c r="C5489" s="342" t="str">
        <f>("7640003112")</f>
        <v>7640003112</v>
      </c>
      <c r="D5489" s="340">
        <v>30</v>
      </c>
      <c r="E5489" s="343"/>
    </row>
    <row r="5490" spans="1:5" s="335" customFormat="1" ht="36">
      <c r="A5490" s="342" t="s">
        <v>4900</v>
      </c>
      <c r="B5490" s="342" t="s">
        <v>4889</v>
      </c>
      <c r="C5490" s="342" t="str">
        <f>("7640003113")</f>
        <v>7640003113</v>
      </c>
      <c r="D5490" s="340">
        <v>58</v>
      </c>
      <c r="E5490" s="343"/>
    </row>
    <row r="5491" spans="1:5" s="335" customFormat="1" ht="36">
      <c r="A5491" s="342" t="s">
        <v>4901</v>
      </c>
      <c r="B5491" s="342" t="s">
        <v>4889</v>
      </c>
      <c r="C5491" s="342" t="str">
        <f>("7640003114")</f>
        <v>7640003114</v>
      </c>
      <c r="D5491" s="340">
        <v>40</v>
      </c>
      <c r="E5491" s="343"/>
    </row>
    <row r="5492" spans="1:5" s="335" customFormat="1" ht="36">
      <c r="A5492" s="342" t="s">
        <v>4902</v>
      </c>
      <c r="B5492" s="342" t="s">
        <v>4889</v>
      </c>
      <c r="C5492" s="342" t="str">
        <f>("7640003115")</f>
        <v>7640003115</v>
      </c>
      <c r="D5492" s="340">
        <v>63</v>
      </c>
      <c r="E5492" s="343"/>
    </row>
    <row r="5493" spans="1:5" s="335" customFormat="1" ht="36">
      <c r="A5493" s="342" t="s">
        <v>4903</v>
      </c>
      <c r="B5493" s="342" t="s">
        <v>4889</v>
      </c>
      <c r="C5493" s="342" t="str">
        <f>("7640003116")</f>
        <v>7640003116</v>
      </c>
      <c r="D5493" s="340">
        <v>117</v>
      </c>
      <c r="E5493" s="343"/>
    </row>
    <row r="5494" spans="1:5" s="335" customFormat="1" ht="36">
      <c r="A5494" s="342" t="s">
        <v>4904</v>
      </c>
      <c r="B5494" s="342" t="s">
        <v>4889</v>
      </c>
      <c r="C5494" s="342" t="str">
        <f>("7640003117")</f>
        <v>7640003117</v>
      </c>
      <c r="D5494" s="340">
        <v>197</v>
      </c>
      <c r="E5494" s="343"/>
    </row>
    <row r="5495" spans="1:5" s="335" customFormat="1" ht="36">
      <c r="A5495" s="342" t="s">
        <v>4905</v>
      </c>
      <c r="B5495" s="342" t="s">
        <v>4889</v>
      </c>
      <c r="C5495" s="342" t="str">
        <f>("7640003118")</f>
        <v>7640003118</v>
      </c>
      <c r="D5495" s="340">
        <v>333</v>
      </c>
      <c r="E5495" s="343"/>
    </row>
    <row r="5496" spans="1:5" s="335" customFormat="1" ht="48">
      <c r="A5496" s="342" t="s">
        <v>4906</v>
      </c>
      <c r="B5496" s="342" t="s">
        <v>4889</v>
      </c>
      <c r="C5496" s="342" t="str">
        <f>("7640003119")</f>
        <v>7640003119</v>
      </c>
      <c r="D5496" s="340">
        <v>20</v>
      </c>
      <c r="E5496" s="343"/>
    </row>
    <row r="5497" spans="1:5" s="335" customFormat="1" ht="36">
      <c r="A5497" s="342" t="s">
        <v>4907</v>
      </c>
      <c r="B5497" s="342" t="s">
        <v>4889</v>
      </c>
      <c r="C5497" s="342" t="str">
        <f>("7640003120")</f>
        <v>7640003120</v>
      </c>
      <c r="D5497" s="340">
        <v>20</v>
      </c>
      <c r="E5497" s="343"/>
    </row>
    <row r="5498" spans="1:5" s="335" customFormat="1" ht="36">
      <c r="A5498" s="342" t="s">
        <v>4908</v>
      </c>
      <c r="B5498" s="342" t="s">
        <v>4889</v>
      </c>
      <c r="C5498" s="342" t="str">
        <f>("7640007941")</f>
        <v>7640007941</v>
      </c>
      <c r="D5498" s="340">
        <v>58</v>
      </c>
      <c r="E5498" s="343"/>
    </row>
    <row r="5499" spans="1:5" s="335" customFormat="1" ht="48">
      <c r="A5499" s="342" t="s">
        <v>4909</v>
      </c>
      <c r="B5499" s="342" t="s">
        <v>4889</v>
      </c>
      <c r="C5499" s="342" t="str">
        <f>("7640008422")</f>
        <v>7640008422</v>
      </c>
      <c r="D5499" s="340">
        <v>58</v>
      </c>
      <c r="E5499" s="343"/>
    </row>
    <row r="5500" spans="1:5" s="335" customFormat="1" ht="12.75">
      <c r="A5500" s="344"/>
      <c r="B5500" s="343"/>
      <c r="C5500" s="343"/>
      <c r="D5500" s="395"/>
      <c r="E5500" s="343"/>
    </row>
    <row r="5501" spans="1:5" s="335" customFormat="1" ht="15" customHeight="1">
      <c r="A5501" s="345"/>
      <c r="B5501" s="404" t="s">
        <v>4910</v>
      </c>
      <c r="C5501" s="404"/>
      <c r="D5501" s="404"/>
      <c r="E5501" s="404"/>
    </row>
    <row r="5502" spans="1:5" s="335" customFormat="1" ht="25.5">
      <c r="A5502" s="346" t="s">
        <v>789</v>
      </c>
      <c r="B5502" s="346" t="s">
        <v>409</v>
      </c>
      <c r="C5502" s="346" t="s">
        <v>26</v>
      </c>
      <c r="D5502" s="337" t="s">
        <v>6425</v>
      </c>
      <c r="E5502" s="343"/>
    </row>
    <row r="5503" spans="1:5" s="335" customFormat="1" ht="26.25">
      <c r="A5503" s="342" t="s">
        <v>4911</v>
      </c>
      <c r="B5503" s="342" t="s">
        <v>4912</v>
      </c>
      <c r="C5503" s="342" t="s">
        <v>6339</v>
      </c>
      <c r="D5503" s="340">
        <v>0</v>
      </c>
      <c r="E5503" s="343"/>
    </row>
    <row r="5504" spans="1:5" s="335" customFormat="1" ht="12.75">
      <c r="A5504" s="403" t="s">
        <v>792</v>
      </c>
      <c r="B5504" s="403"/>
      <c r="C5504" s="403"/>
      <c r="D5504" s="403"/>
      <c r="E5504" s="343"/>
    </row>
    <row r="5505" spans="1:5" s="335" customFormat="1" ht="24">
      <c r="A5505" s="342" t="s">
        <v>4913</v>
      </c>
      <c r="B5505" s="342" t="s">
        <v>4914</v>
      </c>
      <c r="C5505" s="342" t="str">
        <f>("7640009493")</f>
        <v>7640009493</v>
      </c>
      <c r="D5505" s="340">
        <v>995</v>
      </c>
      <c r="E5505" s="343"/>
    </row>
    <row r="5506" spans="1:5" s="335" customFormat="1" ht="24">
      <c r="A5506" s="342" t="s">
        <v>4915</v>
      </c>
      <c r="B5506" s="342" t="s">
        <v>4916</v>
      </c>
      <c r="C5506" s="342" t="str">
        <f>("7640009497")</f>
        <v>7640009497</v>
      </c>
      <c r="D5506" s="340">
        <v>4995</v>
      </c>
      <c r="E5506" s="343"/>
    </row>
    <row r="5507" spans="1:5" s="335" customFormat="1" ht="24">
      <c r="A5507" s="342" t="s">
        <v>4917</v>
      </c>
      <c r="B5507" s="342" t="s">
        <v>4918</v>
      </c>
      <c r="C5507" s="342" t="str">
        <f>("7640009505")</f>
        <v>7640009505</v>
      </c>
      <c r="D5507" s="340">
        <v>7995</v>
      </c>
      <c r="E5507" s="343"/>
    </row>
    <row r="5508" spans="1:5" s="335" customFormat="1" ht="12.75">
      <c r="A5508" s="403" t="s">
        <v>803</v>
      </c>
      <c r="B5508" s="403"/>
      <c r="C5508" s="403"/>
      <c r="D5508" s="403"/>
      <c r="E5508" s="343"/>
    </row>
    <row r="5509" spans="1:5" s="335" customFormat="1" ht="24">
      <c r="A5509" s="342" t="s">
        <v>4919</v>
      </c>
      <c r="B5509" s="342" t="s">
        <v>4920</v>
      </c>
      <c r="C5509" s="342" t="str">
        <f>("7640009494")</f>
        <v>7640009494</v>
      </c>
      <c r="D5509" s="340">
        <v>169.15</v>
      </c>
      <c r="E5509" s="343"/>
    </row>
    <row r="5510" spans="1:5" s="335" customFormat="1" ht="24">
      <c r="A5510" s="342" t="s">
        <v>4921</v>
      </c>
      <c r="B5510" s="342" t="s">
        <v>4922</v>
      </c>
      <c r="C5510" s="342" t="str">
        <f>("7640009498")</f>
        <v>7640009498</v>
      </c>
      <c r="D5510" s="340">
        <v>849.15</v>
      </c>
      <c r="E5510" s="343"/>
    </row>
    <row r="5511" spans="1:5" s="335" customFormat="1" ht="24">
      <c r="A5511" s="342" t="s">
        <v>4923</v>
      </c>
      <c r="B5511" s="342" t="s">
        <v>4924</v>
      </c>
      <c r="C5511" s="342" t="str">
        <f>("7640009506")</f>
        <v>7640009506</v>
      </c>
      <c r="D5511" s="340">
        <v>1359.15</v>
      </c>
      <c r="E5511" s="343"/>
    </row>
    <row r="5512" spans="1:5" s="335" customFormat="1" ht="12.75">
      <c r="A5512" s="403" t="s">
        <v>4814</v>
      </c>
      <c r="B5512" s="403"/>
      <c r="C5512" s="403"/>
      <c r="D5512" s="403"/>
      <c r="E5512" s="343"/>
    </row>
    <row r="5513" spans="1:5" s="335" customFormat="1" ht="24">
      <c r="A5513" s="342" t="s">
        <v>4925</v>
      </c>
      <c r="B5513" s="342" t="s">
        <v>4926</v>
      </c>
      <c r="C5513" s="342" t="str">
        <f>("7640009495")</f>
        <v>7640009495</v>
      </c>
      <c r="D5513" s="340">
        <v>169.15</v>
      </c>
      <c r="E5513" s="343"/>
    </row>
    <row r="5514" spans="1:5" s="335" customFormat="1" ht="24">
      <c r="A5514" s="342" t="s">
        <v>4927</v>
      </c>
      <c r="B5514" s="342" t="s">
        <v>4928</v>
      </c>
      <c r="C5514" s="342" t="str">
        <f>("7640009499")</f>
        <v>7640009499</v>
      </c>
      <c r="D5514" s="340">
        <v>849.15</v>
      </c>
      <c r="E5514" s="343"/>
    </row>
    <row r="5515" spans="1:5" s="335" customFormat="1" ht="24">
      <c r="A5515" s="342" t="s">
        <v>4929</v>
      </c>
      <c r="B5515" s="342" t="s">
        <v>4930</v>
      </c>
      <c r="C5515" s="342" t="str">
        <f>("7640009507")</f>
        <v>7640009507</v>
      </c>
      <c r="D5515" s="340">
        <v>1359.15</v>
      </c>
      <c r="E5515" s="343"/>
    </row>
    <row r="5516" spans="1:5" s="335" customFormat="1" ht="12.75">
      <c r="A5516" s="403" t="s">
        <v>4825</v>
      </c>
      <c r="B5516" s="403"/>
      <c r="C5516" s="403"/>
      <c r="D5516" s="403"/>
      <c r="E5516" s="343"/>
    </row>
    <row r="5517" spans="1:5" s="335" customFormat="1" ht="24">
      <c r="A5517" s="342" t="s">
        <v>4931</v>
      </c>
      <c r="B5517" s="342" t="s">
        <v>4932</v>
      </c>
      <c r="C5517" s="342" t="str">
        <f>("7640009496")</f>
        <v>7640009496</v>
      </c>
      <c r="D5517" s="340">
        <v>348.25</v>
      </c>
      <c r="E5517" s="343"/>
    </row>
    <row r="5518" spans="1:5" s="335" customFormat="1" ht="24">
      <c r="A5518" s="342" t="s">
        <v>4933</v>
      </c>
      <c r="B5518" s="342" t="s">
        <v>4934</v>
      </c>
      <c r="C5518" s="342" t="str">
        <f>("7640009500")</f>
        <v>7640009500</v>
      </c>
      <c r="D5518" s="340">
        <v>1748.25</v>
      </c>
      <c r="E5518" s="343"/>
    </row>
    <row r="5519" spans="1:5" s="335" customFormat="1" ht="24">
      <c r="A5519" s="342" t="s">
        <v>4935</v>
      </c>
      <c r="B5519" s="342" t="s">
        <v>4936</v>
      </c>
      <c r="C5519" s="342" t="str">
        <f>("7640009508")</f>
        <v>7640009508</v>
      </c>
      <c r="D5519" s="340">
        <v>2798.25</v>
      </c>
      <c r="E5519" s="343"/>
    </row>
    <row r="5520" spans="1:5" s="335" customFormat="1" ht="12.75">
      <c r="A5520" s="403" t="s">
        <v>814</v>
      </c>
      <c r="B5520" s="403"/>
      <c r="C5520" s="403"/>
      <c r="D5520" s="403"/>
      <c r="E5520" s="343"/>
    </row>
    <row r="5521" spans="1:5" s="335" customFormat="1" ht="36">
      <c r="A5521" s="342" t="s">
        <v>4937</v>
      </c>
      <c r="B5521" s="342" t="s">
        <v>4938</v>
      </c>
      <c r="C5521" s="342" t="str">
        <f>("7640009509")</f>
        <v>7640009509</v>
      </c>
      <c r="D5521" s="340">
        <v>4495</v>
      </c>
      <c r="E5521" s="343"/>
    </row>
    <row r="5522" spans="1:5" s="335" customFormat="1" ht="36">
      <c r="A5522" s="342" t="s">
        <v>4939</v>
      </c>
      <c r="B5522" s="342" t="s">
        <v>4940</v>
      </c>
      <c r="C5522" s="342" t="str">
        <f>("7640009510")</f>
        <v>7640009510</v>
      </c>
      <c r="D5522" s="340">
        <v>764.15</v>
      </c>
      <c r="E5522" s="343"/>
    </row>
    <row r="5523" spans="1:5" s="335" customFormat="1" ht="36">
      <c r="A5523" s="342" t="s">
        <v>4941</v>
      </c>
      <c r="B5523" s="342" t="s">
        <v>4942</v>
      </c>
      <c r="C5523" s="342" t="str">
        <f>("7640009511")</f>
        <v>7640009511</v>
      </c>
      <c r="D5523" s="340">
        <v>7495</v>
      </c>
      <c r="E5523" s="343"/>
    </row>
    <row r="5524" spans="1:5" s="335" customFormat="1" ht="36">
      <c r="A5524" s="342" t="s">
        <v>4943</v>
      </c>
      <c r="B5524" s="342" t="s">
        <v>4944</v>
      </c>
      <c r="C5524" s="342" t="str">
        <f>("7640009512")</f>
        <v>7640009512</v>
      </c>
      <c r="D5524" s="340">
        <v>1274.1500000000001</v>
      </c>
      <c r="E5524" s="343"/>
    </row>
    <row r="5525" spans="1:5" s="335" customFormat="1" ht="36">
      <c r="A5525" s="342" t="s">
        <v>4945</v>
      </c>
      <c r="B5525" s="342" t="s">
        <v>4946</v>
      </c>
      <c r="C5525" s="342" t="str">
        <f>("7640009513")</f>
        <v>7640009513</v>
      </c>
      <c r="D5525" s="340">
        <v>4375</v>
      </c>
      <c r="E5525" s="343"/>
    </row>
    <row r="5526" spans="1:5" s="335" customFormat="1" ht="24">
      <c r="A5526" s="342" t="s">
        <v>4947</v>
      </c>
      <c r="B5526" s="342" t="s">
        <v>4948</v>
      </c>
      <c r="C5526" s="342" t="str">
        <f>("7640009514")</f>
        <v>7640009514</v>
      </c>
      <c r="D5526" s="340">
        <v>743.75</v>
      </c>
      <c r="E5526" s="343"/>
    </row>
    <row r="5527" spans="1:5" s="335" customFormat="1" ht="36">
      <c r="A5527" s="342" t="s">
        <v>4949</v>
      </c>
      <c r="B5527" s="342" t="s">
        <v>4950</v>
      </c>
      <c r="C5527" s="342" t="str">
        <f>("7640009515")</f>
        <v>7640009515</v>
      </c>
      <c r="D5527" s="340">
        <v>795</v>
      </c>
      <c r="E5527" s="343"/>
    </row>
    <row r="5528" spans="1:5" s="335" customFormat="1" ht="24">
      <c r="A5528" s="342" t="s">
        <v>4951</v>
      </c>
      <c r="B5528" s="342" t="s">
        <v>4952</v>
      </c>
      <c r="C5528" s="342" t="str">
        <f>("7640009516")</f>
        <v>7640009516</v>
      </c>
      <c r="D5528" s="340">
        <v>2500</v>
      </c>
      <c r="E5528" s="343"/>
    </row>
    <row r="5529" spans="1:5" s="335" customFormat="1" ht="12.75">
      <c r="A5529" s="403" t="s">
        <v>819</v>
      </c>
      <c r="B5529" s="403"/>
      <c r="C5529" s="403"/>
      <c r="D5529" s="403"/>
      <c r="E5529" s="343"/>
    </row>
    <row r="5530" spans="1:5" s="335" customFormat="1" ht="36">
      <c r="A5530" s="342" t="s">
        <v>4953</v>
      </c>
      <c r="B5530" s="342" t="s">
        <v>4954</v>
      </c>
      <c r="C5530" s="342" t="s">
        <v>6340</v>
      </c>
      <c r="D5530" s="340">
        <v>3200</v>
      </c>
      <c r="E5530" s="343"/>
    </row>
    <row r="5531" spans="1:5" s="335" customFormat="1" ht="12.75">
      <c r="A5531" s="403" t="s">
        <v>836</v>
      </c>
      <c r="B5531" s="403"/>
      <c r="C5531" s="403"/>
      <c r="D5531" s="403"/>
      <c r="E5531" s="343"/>
    </row>
    <row r="5532" spans="1:5" s="335" customFormat="1" ht="24">
      <c r="A5532" s="342" t="s">
        <v>4955</v>
      </c>
      <c r="B5532" s="342" t="s">
        <v>4956</v>
      </c>
      <c r="C5532" s="342" t="str">
        <f>("7640016927")</f>
        <v>7640016927</v>
      </c>
      <c r="D5532" s="340">
        <v>640</v>
      </c>
      <c r="E5532" s="343"/>
    </row>
    <row r="5533" spans="1:5" s="335" customFormat="1" ht="12.75">
      <c r="A5533" s="403" t="s">
        <v>2586</v>
      </c>
      <c r="B5533" s="403"/>
      <c r="C5533" s="403"/>
      <c r="D5533" s="403"/>
      <c r="E5533" s="343"/>
    </row>
    <row r="5534" spans="1:5" s="335" customFormat="1" ht="24">
      <c r="A5534" s="342" t="s">
        <v>4957</v>
      </c>
      <c r="B5534" s="342" t="s">
        <v>4958</v>
      </c>
      <c r="C5534" s="342" t="str">
        <f>("7640016928")</f>
        <v>7640016928</v>
      </c>
      <c r="D5534" s="340">
        <v>640</v>
      </c>
      <c r="E5534" s="343"/>
    </row>
    <row r="5535" spans="1:5" s="335" customFormat="1" ht="12.75">
      <c r="A5535" s="344"/>
      <c r="B5535" s="343"/>
      <c r="C5535" s="343"/>
      <c r="D5535" s="395"/>
      <c r="E5535" s="343"/>
    </row>
    <row r="5536" spans="1:5" s="335" customFormat="1" ht="15" customHeight="1">
      <c r="A5536" s="345"/>
      <c r="B5536" s="404" t="s">
        <v>4959</v>
      </c>
      <c r="C5536" s="404"/>
      <c r="D5536" s="404"/>
      <c r="E5536" s="404"/>
    </row>
    <row r="5537" spans="1:5" s="335" customFormat="1" ht="25.5">
      <c r="A5537" s="346" t="s">
        <v>789</v>
      </c>
      <c r="B5537" s="346" t="s">
        <v>409</v>
      </c>
      <c r="C5537" s="346" t="s">
        <v>26</v>
      </c>
      <c r="D5537" s="337" t="s">
        <v>6425</v>
      </c>
      <c r="E5537" s="343"/>
    </row>
    <row r="5538" spans="1:5" s="335" customFormat="1" ht="24">
      <c r="A5538" s="342" t="s">
        <v>4960</v>
      </c>
      <c r="B5538" s="342"/>
      <c r="C5538" s="342" t="str">
        <f>("prism_deskform")</f>
        <v>prism_deskform</v>
      </c>
      <c r="D5538" s="340">
        <v>0</v>
      </c>
      <c r="E5538" s="343"/>
    </row>
    <row r="5539" spans="1:5" s="335" customFormat="1" ht="12.75">
      <c r="A5539" s="403" t="s">
        <v>4961</v>
      </c>
      <c r="B5539" s="403"/>
      <c r="C5539" s="403"/>
      <c r="D5539" s="403"/>
      <c r="E5539" s="343"/>
    </row>
    <row r="5540" spans="1:5" s="335" customFormat="1" ht="24">
      <c r="A5540" s="342" t="s">
        <v>4962</v>
      </c>
      <c r="B5540" s="342" t="s">
        <v>4963</v>
      </c>
      <c r="C5540" s="342" t="str">
        <f>("7640008464")</f>
        <v>7640008464</v>
      </c>
      <c r="D5540" s="340">
        <v>995</v>
      </c>
      <c r="E5540" s="343"/>
    </row>
    <row r="5541" spans="1:5" s="335" customFormat="1" ht="24">
      <c r="A5541" s="342" t="s">
        <v>4964</v>
      </c>
      <c r="B5541" s="342" t="s">
        <v>4965</v>
      </c>
      <c r="C5541" s="342" t="str">
        <f>("7640009318")</f>
        <v>7640009318</v>
      </c>
      <c r="D5541" s="340">
        <v>1495</v>
      </c>
      <c r="E5541" s="343"/>
    </row>
    <row r="5542" spans="1:5" s="335" customFormat="1" ht="24">
      <c r="A5542" s="342" t="s">
        <v>4966</v>
      </c>
      <c r="B5542" s="342" t="s">
        <v>4967</v>
      </c>
      <c r="C5542" s="342" t="str">
        <f>("7640009319")</f>
        <v>7640009319</v>
      </c>
      <c r="D5542" s="340">
        <v>3995</v>
      </c>
      <c r="E5542" s="343"/>
    </row>
    <row r="5543" spans="1:5" s="335" customFormat="1" ht="36">
      <c r="A5543" s="342" t="s">
        <v>4968</v>
      </c>
      <c r="B5543" s="342" t="s">
        <v>4969</v>
      </c>
      <c r="C5543" s="342" t="str">
        <f>("7640009320")</f>
        <v>7640009320</v>
      </c>
      <c r="D5543" s="340">
        <v>4995</v>
      </c>
      <c r="E5543" s="343"/>
    </row>
    <row r="5544" spans="1:5" s="335" customFormat="1" ht="12.75">
      <c r="A5544" s="403" t="s">
        <v>4970</v>
      </c>
      <c r="B5544" s="403"/>
      <c r="C5544" s="403"/>
      <c r="D5544" s="403"/>
      <c r="E5544" s="343"/>
    </row>
    <row r="5545" spans="1:5" s="335" customFormat="1" ht="36">
      <c r="A5545" s="342" t="s">
        <v>4971</v>
      </c>
      <c r="B5545" s="342" t="s">
        <v>4972</v>
      </c>
      <c r="C5545" s="342" t="str">
        <f>("7640009321")</f>
        <v>7640009321</v>
      </c>
      <c r="D5545" s="340">
        <v>1495</v>
      </c>
      <c r="E5545" s="343"/>
    </row>
    <row r="5546" spans="1:5" s="335" customFormat="1" ht="36">
      <c r="A5546" s="342" t="s">
        <v>4973</v>
      </c>
      <c r="B5546" s="342" t="s">
        <v>4974</v>
      </c>
      <c r="C5546" s="342" t="str">
        <f>("7640009322")</f>
        <v>7640009322</v>
      </c>
      <c r="D5546" s="340">
        <v>4995</v>
      </c>
      <c r="E5546" s="343"/>
    </row>
    <row r="5547" spans="1:5" s="335" customFormat="1" ht="36">
      <c r="A5547" s="342" t="s">
        <v>4975</v>
      </c>
      <c r="B5547" s="342" t="s">
        <v>4976</v>
      </c>
      <c r="C5547" s="342" t="str">
        <f>("7640009323")</f>
        <v>7640009323</v>
      </c>
      <c r="D5547" s="340">
        <v>14995</v>
      </c>
      <c r="E5547" s="343"/>
    </row>
    <row r="5548" spans="1:5" s="335" customFormat="1" ht="24">
      <c r="A5548" s="342" t="s">
        <v>4977</v>
      </c>
      <c r="B5548" s="342" t="s">
        <v>4978</v>
      </c>
      <c r="C5548" s="342" t="str">
        <f>("7640009324")</f>
        <v>7640009324</v>
      </c>
      <c r="D5548" s="340">
        <v>995</v>
      </c>
      <c r="E5548" s="343"/>
    </row>
    <row r="5549" spans="1:5" s="335" customFormat="1" ht="12.75">
      <c r="A5549" s="403" t="s">
        <v>4979</v>
      </c>
      <c r="B5549" s="403"/>
      <c r="C5549" s="403"/>
      <c r="D5549" s="403"/>
      <c r="E5549" s="343"/>
    </row>
    <row r="5550" spans="1:5" s="335" customFormat="1" ht="24">
      <c r="A5550" s="342" t="s">
        <v>4980</v>
      </c>
      <c r="B5550" s="342" t="s">
        <v>4981</v>
      </c>
      <c r="C5550" s="342" t="str">
        <f>("7640009340")</f>
        <v>7640009340</v>
      </c>
      <c r="D5550" s="340">
        <v>14.93</v>
      </c>
      <c r="E5550" s="343"/>
    </row>
    <row r="5551" spans="1:5" s="335" customFormat="1" ht="24">
      <c r="A5551" s="342" t="s">
        <v>4982</v>
      </c>
      <c r="B5551" s="342" t="s">
        <v>4983</v>
      </c>
      <c r="C5551" s="342" t="str">
        <f>("7640009341")</f>
        <v>7640009341</v>
      </c>
      <c r="D5551" s="340">
        <v>22.43</v>
      </c>
      <c r="E5551" s="343"/>
    </row>
    <row r="5552" spans="1:5" s="335" customFormat="1" ht="24">
      <c r="A5552" s="342" t="s">
        <v>4984</v>
      </c>
      <c r="B5552" s="342" t="s">
        <v>4985</v>
      </c>
      <c r="C5552" s="342" t="str">
        <f>("7640009342")</f>
        <v>7640009342</v>
      </c>
      <c r="D5552" s="340">
        <v>59.93</v>
      </c>
      <c r="E5552" s="343"/>
    </row>
    <row r="5553" spans="1:5" s="335" customFormat="1" ht="24">
      <c r="A5553" s="342" t="s">
        <v>4986</v>
      </c>
      <c r="B5553" s="342" t="s">
        <v>4987</v>
      </c>
      <c r="C5553" s="342" t="str">
        <f>("7640009343")</f>
        <v>7640009343</v>
      </c>
      <c r="D5553" s="340">
        <v>74.930000000000007</v>
      </c>
      <c r="E5553" s="343"/>
    </row>
    <row r="5554" spans="1:5" s="335" customFormat="1" ht="24">
      <c r="A5554" s="342" t="s">
        <v>4988</v>
      </c>
      <c r="B5554" s="342" t="s">
        <v>4989</v>
      </c>
      <c r="C5554" s="342" t="str">
        <f>("7640009344")</f>
        <v>7640009344</v>
      </c>
      <c r="D5554" s="340">
        <v>22.43</v>
      </c>
      <c r="E5554" s="343"/>
    </row>
    <row r="5555" spans="1:5" s="335" customFormat="1" ht="24">
      <c r="A5555" s="342" t="s">
        <v>4990</v>
      </c>
      <c r="B5555" s="342" t="s">
        <v>4991</v>
      </c>
      <c r="C5555" s="342" t="str">
        <f>("7640009345")</f>
        <v>7640009345</v>
      </c>
      <c r="D5555" s="340">
        <v>74.930000000000007</v>
      </c>
      <c r="E5555" s="343"/>
    </row>
    <row r="5556" spans="1:5" s="335" customFormat="1" ht="24">
      <c r="A5556" s="342" t="s">
        <v>4992</v>
      </c>
      <c r="B5556" s="342" t="s">
        <v>4993</v>
      </c>
      <c r="C5556" s="342" t="str">
        <f>("7640009346")</f>
        <v>7640009346</v>
      </c>
      <c r="D5556" s="340">
        <v>224.93</v>
      </c>
      <c r="E5556" s="343"/>
    </row>
    <row r="5557" spans="1:5" s="335" customFormat="1" ht="24">
      <c r="A5557" s="342" t="s">
        <v>4994</v>
      </c>
      <c r="B5557" s="342" t="s">
        <v>4995</v>
      </c>
      <c r="C5557" s="342" t="str">
        <f>("7640009347")</f>
        <v>7640009347</v>
      </c>
      <c r="D5557" s="340">
        <v>14.93</v>
      </c>
      <c r="E5557" s="343"/>
    </row>
    <row r="5558" spans="1:5" s="335" customFormat="1" ht="24">
      <c r="A5558" s="342" t="s">
        <v>4996</v>
      </c>
      <c r="B5558" s="342" t="s">
        <v>4997</v>
      </c>
      <c r="C5558" s="342" t="str">
        <f>("7640009352")</f>
        <v>7640009352</v>
      </c>
      <c r="D5558" s="340">
        <v>11.93</v>
      </c>
      <c r="E5558" s="343"/>
    </row>
    <row r="5559" spans="1:5" s="335" customFormat="1" ht="24">
      <c r="A5559" s="342" t="s">
        <v>4998</v>
      </c>
      <c r="B5559" s="342" t="s">
        <v>4999</v>
      </c>
      <c r="C5559" s="342" t="str">
        <f>("7640009353")</f>
        <v>7640009353</v>
      </c>
      <c r="D5559" s="340">
        <v>19.43</v>
      </c>
      <c r="E5559" s="343"/>
    </row>
    <row r="5560" spans="1:5" s="335" customFormat="1" ht="24">
      <c r="A5560" s="342" t="s">
        <v>5000</v>
      </c>
      <c r="B5560" s="342" t="s">
        <v>5001</v>
      </c>
      <c r="C5560" s="342" t="str">
        <f>("7640009354")</f>
        <v>7640009354</v>
      </c>
      <c r="D5560" s="340">
        <v>14.93</v>
      </c>
      <c r="E5560" s="343"/>
    </row>
    <row r="5561" spans="1:5" s="335" customFormat="1" ht="24">
      <c r="A5561" s="342" t="s">
        <v>5002</v>
      </c>
      <c r="B5561" s="342" t="s">
        <v>5003</v>
      </c>
      <c r="C5561" s="342" t="str">
        <f>("7640009355")</f>
        <v>7640009355</v>
      </c>
      <c r="D5561" s="340">
        <v>52.43</v>
      </c>
      <c r="E5561" s="343"/>
    </row>
    <row r="5562" spans="1:5" s="335" customFormat="1" ht="24">
      <c r="A5562" s="342" t="s">
        <v>5004</v>
      </c>
      <c r="B5562" s="342" t="s">
        <v>5005</v>
      </c>
      <c r="C5562" s="342" t="str">
        <f>("7640009356")</f>
        <v>7640009356</v>
      </c>
      <c r="D5562" s="340">
        <v>67.430000000000007</v>
      </c>
      <c r="E5562" s="343"/>
    </row>
    <row r="5563" spans="1:5" s="335" customFormat="1" ht="24">
      <c r="A5563" s="342" t="s">
        <v>5006</v>
      </c>
      <c r="B5563" s="342" t="s">
        <v>5007</v>
      </c>
      <c r="C5563" s="342" t="str">
        <f>("7640009357")</f>
        <v>7640009357</v>
      </c>
      <c r="D5563" s="340">
        <v>44.93</v>
      </c>
      <c r="E5563" s="343"/>
    </row>
    <row r="5564" spans="1:5" s="335" customFormat="1" ht="24">
      <c r="A5564" s="342" t="s">
        <v>5008</v>
      </c>
      <c r="B5564" s="342" t="s">
        <v>5009</v>
      </c>
      <c r="C5564" s="342" t="str">
        <f>("7640009358")</f>
        <v>7640009358</v>
      </c>
      <c r="D5564" s="340">
        <v>59.93</v>
      </c>
      <c r="E5564" s="343"/>
    </row>
    <row r="5565" spans="1:5" s="335" customFormat="1" ht="24">
      <c r="A5565" s="342" t="s">
        <v>5010</v>
      </c>
      <c r="B5565" s="342" t="s">
        <v>5011</v>
      </c>
      <c r="C5565" s="342" t="str">
        <f>("7640009359")</f>
        <v>7640009359</v>
      </c>
      <c r="D5565" s="340">
        <v>22.43</v>
      </c>
      <c r="E5565" s="343"/>
    </row>
    <row r="5566" spans="1:5" s="335" customFormat="1" ht="12.75">
      <c r="A5566" s="403" t="s">
        <v>5012</v>
      </c>
      <c r="B5566" s="403"/>
      <c r="C5566" s="403"/>
      <c r="D5566" s="403"/>
      <c r="E5566" s="343"/>
    </row>
    <row r="5567" spans="1:5" s="335" customFormat="1" ht="36">
      <c r="A5567" s="342" t="s">
        <v>5013</v>
      </c>
      <c r="B5567" s="342" t="s">
        <v>5014</v>
      </c>
      <c r="C5567" s="342" t="str">
        <f>("7640009330")</f>
        <v>7640009330</v>
      </c>
      <c r="D5567" s="340">
        <v>795</v>
      </c>
      <c r="E5567" s="343"/>
    </row>
    <row r="5568" spans="1:5" s="335" customFormat="1" ht="36">
      <c r="A5568" s="342" t="s">
        <v>5015</v>
      </c>
      <c r="B5568" s="342" t="s">
        <v>5016</v>
      </c>
      <c r="C5568" s="342" t="str">
        <f>("7640009331")</f>
        <v>7640009331</v>
      </c>
      <c r="D5568" s="340">
        <v>1295</v>
      </c>
      <c r="E5568" s="343"/>
    </row>
    <row r="5569" spans="1:5" s="335" customFormat="1" ht="24">
      <c r="A5569" s="342" t="s">
        <v>5017</v>
      </c>
      <c r="B5569" s="342" t="s">
        <v>5018</v>
      </c>
      <c r="C5569" s="342" t="str">
        <f>("7640009332")</f>
        <v>7640009332</v>
      </c>
      <c r="D5569" s="340">
        <v>995</v>
      </c>
      <c r="E5569" s="343"/>
    </row>
    <row r="5570" spans="1:5" s="335" customFormat="1" ht="36">
      <c r="A5570" s="342" t="s">
        <v>5019</v>
      </c>
      <c r="B5570" s="342" t="s">
        <v>5020</v>
      </c>
      <c r="C5570" s="342" t="str">
        <f>("7640009333")</f>
        <v>7640009333</v>
      </c>
      <c r="D5570" s="340">
        <v>3495</v>
      </c>
      <c r="E5570" s="343"/>
    </row>
    <row r="5571" spans="1:5" s="335" customFormat="1" ht="24">
      <c r="A5571" s="342" t="s">
        <v>5021</v>
      </c>
      <c r="B5571" s="342" t="s">
        <v>5022</v>
      </c>
      <c r="C5571" s="342" t="str">
        <f>("7640009334")</f>
        <v>7640009334</v>
      </c>
      <c r="D5571" s="340">
        <v>4495</v>
      </c>
      <c r="E5571" s="343"/>
    </row>
    <row r="5572" spans="1:5" s="335" customFormat="1" ht="24">
      <c r="A5572" s="342" t="s">
        <v>5023</v>
      </c>
      <c r="B5572" s="342" t="s">
        <v>5024</v>
      </c>
      <c r="C5572" s="342" t="str">
        <f>("7640009335")</f>
        <v>7640009335</v>
      </c>
      <c r="D5572" s="340">
        <v>2995</v>
      </c>
      <c r="E5572" s="343"/>
    </row>
    <row r="5573" spans="1:5" s="335" customFormat="1" ht="24">
      <c r="A5573" s="342" t="s">
        <v>5025</v>
      </c>
      <c r="B5573" s="342" t="s">
        <v>5026</v>
      </c>
      <c r="C5573" s="342" t="str">
        <f>("7640009336")</f>
        <v>7640009336</v>
      </c>
      <c r="D5573" s="340">
        <v>3995</v>
      </c>
      <c r="E5573" s="343"/>
    </row>
    <row r="5574" spans="1:5" s="335" customFormat="1" ht="36">
      <c r="A5574" s="342" t="s">
        <v>5027</v>
      </c>
      <c r="B5574" s="342" t="s">
        <v>5028</v>
      </c>
      <c r="C5574" s="342" t="str">
        <f>("7640009337")</f>
        <v>7640009337</v>
      </c>
      <c r="D5574" s="340">
        <v>1495</v>
      </c>
      <c r="E5574" s="343"/>
    </row>
    <row r="5575" spans="1:5" s="335" customFormat="1" ht="24">
      <c r="A5575" s="342" t="s">
        <v>5029</v>
      </c>
      <c r="B5575" s="342" t="s">
        <v>5030</v>
      </c>
      <c r="C5575" s="342" t="str">
        <f>("7640009338")</f>
        <v>7640009338</v>
      </c>
      <c r="D5575" s="340">
        <v>595</v>
      </c>
      <c r="E5575" s="343"/>
    </row>
    <row r="5576" spans="1:5" s="335" customFormat="1" ht="12.75">
      <c r="A5576" s="342" t="s">
        <v>5031</v>
      </c>
      <c r="B5576" s="342" t="s">
        <v>5032</v>
      </c>
      <c r="C5576" s="342" t="str">
        <f>("7640009339")</f>
        <v>7640009339</v>
      </c>
      <c r="D5576" s="340">
        <v>595</v>
      </c>
      <c r="E5576" s="343"/>
    </row>
    <row r="5577" spans="1:5" s="335" customFormat="1" ht="12.75">
      <c r="A5577" s="403" t="s">
        <v>4386</v>
      </c>
      <c r="B5577" s="403"/>
      <c r="C5577" s="403"/>
      <c r="D5577" s="403"/>
      <c r="E5577" s="343"/>
    </row>
    <row r="5578" spans="1:5" s="335" customFormat="1" ht="24">
      <c r="A5578" s="342" t="s">
        <v>5033</v>
      </c>
      <c r="B5578" s="342" t="s">
        <v>5033</v>
      </c>
      <c r="C5578" s="342" t="str">
        <f>("7640014143")</f>
        <v>7640014143</v>
      </c>
      <c r="D5578" s="340">
        <v>250</v>
      </c>
      <c r="E5578" s="343"/>
    </row>
    <row r="5579" spans="1:5" s="335" customFormat="1" ht="12.75">
      <c r="A5579" s="350"/>
      <c r="B5579" s="350"/>
      <c r="C5579" s="350"/>
      <c r="D5579" s="341"/>
      <c r="E5579" s="343"/>
    </row>
    <row r="5580" spans="1:5" s="335" customFormat="1" ht="15" customHeight="1">
      <c r="A5580" s="345"/>
      <c r="B5580" s="404" t="s">
        <v>5034</v>
      </c>
      <c r="C5580" s="404"/>
      <c r="D5580" s="404"/>
      <c r="E5580" s="404"/>
    </row>
    <row r="5581" spans="1:5" s="335" customFormat="1" ht="25.5">
      <c r="A5581" s="346" t="s">
        <v>789</v>
      </c>
      <c r="B5581" s="346" t="s">
        <v>409</v>
      </c>
      <c r="C5581" s="346" t="s">
        <v>26</v>
      </c>
      <c r="D5581" s="337" t="s">
        <v>6425</v>
      </c>
      <c r="E5581" s="343"/>
    </row>
    <row r="5582" spans="1:5" s="335" customFormat="1" ht="12.75">
      <c r="A5582" s="342" t="s">
        <v>5035</v>
      </c>
      <c r="B5582" s="342"/>
      <c r="C5582" s="342" t="str">
        <f>("Prism_DocAudit")</f>
        <v>Prism_DocAudit</v>
      </c>
      <c r="D5582" s="340">
        <v>0</v>
      </c>
      <c r="E5582" s="343"/>
    </row>
    <row r="5583" spans="1:5" s="335" customFormat="1" ht="12.75">
      <c r="A5583" s="403" t="s">
        <v>792</v>
      </c>
      <c r="B5583" s="403"/>
      <c r="C5583" s="403"/>
      <c r="D5583" s="403"/>
      <c r="E5583" s="343"/>
    </row>
    <row r="5584" spans="1:5" s="335" customFormat="1" ht="60">
      <c r="A5584" s="405" t="s">
        <v>5036</v>
      </c>
      <c r="B5584" s="347" t="s">
        <v>5037</v>
      </c>
      <c r="C5584" s="405" t="s">
        <v>6341</v>
      </c>
      <c r="D5584" s="408">
        <v>3495</v>
      </c>
      <c r="E5584" s="343"/>
    </row>
    <row r="5585" spans="1:5" s="335" customFormat="1" ht="12.75">
      <c r="A5585" s="406"/>
      <c r="B5585" s="348"/>
      <c r="C5585" s="406"/>
      <c r="D5585" s="409"/>
      <c r="E5585" s="343"/>
    </row>
    <row r="5586" spans="1:5" s="335" customFormat="1" ht="36">
      <c r="A5586" s="407"/>
      <c r="B5586" s="349" t="s">
        <v>5038</v>
      </c>
      <c r="C5586" s="407"/>
      <c r="D5586" s="410"/>
      <c r="E5586" s="343"/>
    </row>
    <row r="5587" spans="1:5" s="335" customFormat="1" ht="48">
      <c r="A5587" s="342" t="s">
        <v>5039</v>
      </c>
      <c r="B5587" s="342" t="s">
        <v>5040</v>
      </c>
      <c r="C5587" s="342" t="str">
        <f>("7640017505")</f>
        <v>7640017505</v>
      </c>
      <c r="D5587" s="340">
        <v>695</v>
      </c>
      <c r="E5587" s="343"/>
    </row>
    <row r="5588" spans="1:5" s="335" customFormat="1" ht="48">
      <c r="A5588" s="342" t="s">
        <v>5041</v>
      </c>
      <c r="B5588" s="342" t="s">
        <v>5042</v>
      </c>
      <c r="C5588" s="342" t="str">
        <f>("7640017506")</f>
        <v>7640017506</v>
      </c>
      <c r="D5588" s="340">
        <v>595</v>
      </c>
      <c r="E5588" s="343"/>
    </row>
    <row r="5589" spans="1:5" s="335" customFormat="1" ht="48">
      <c r="A5589" s="342" t="s">
        <v>5043</v>
      </c>
      <c r="B5589" s="342" t="s">
        <v>5044</v>
      </c>
      <c r="C5589" s="342" t="str">
        <f>("7640017507")</f>
        <v>7640017507</v>
      </c>
      <c r="D5589" s="340">
        <v>495</v>
      </c>
      <c r="E5589" s="343"/>
    </row>
    <row r="5590" spans="1:5" s="335" customFormat="1" ht="48">
      <c r="A5590" s="342" t="s">
        <v>5045</v>
      </c>
      <c r="B5590" s="342" t="s">
        <v>5046</v>
      </c>
      <c r="C5590" s="342" t="str">
        <f>("7640017508")</f>
        <v>7640017508</v>
      </c>
      <c r="D5590" s="340">
        <v>435</v>
      </c>
      <c r="E5590" s="343"/>
    </row>
    <row r="5591" spans="1:5" s="335" customFormat="1" ht="48">
      <c r="A5591" s="342" t="s">
        <v>5047</v>
      </c>
      <c r="B5591" s="342" t="s">
        <v>5048</v>
      </c>
      <c r="C5591" s="342" t="str">
        <f>("7640017509")</f>
        <v>7640017509</v>
      </c>
      <c r="D5591" s="340">
        <v>315</v>
      </c>
      <c r="E5591" s="343"/>
    </row>
    <row r="5592" spans="1:5" s="335" customFormat="1" ht="48">
      <c r="A5592" s="342" t="s">
        <v>5049</v>
      </c>
      <c r="B5592" s="342" t="s">
        <v>5050</v>
      </c>
      <c r="C5592" s="342" t="str">
        <f>("7640017510")</f>
        <v>7640017510</v>
      </c>
      <c r="D5592" s="340">
        <v>275</v>
      </c>
      <c r="E5592" s="343"/>
    </row>
    <row r="5593" spans="1:5" s="335" customFormat="1" ht="48">
      <c r="A5593" s="342" t="s">
        <v>5051</v>
      </c>
      <c r="B5593" s="342" t="s">
        <v>5052</v>
      </c>
      <c r="C5593" s="342" t="str">
        <f>("7640017511")</f>
        <v>7640017511</v>
      </c>
      <c r="D5593" s="340">
        <v>260</v>
      </c>
      <c r="E5593" s="343"/>
    </row>
    <row r="5594" spans="1:5" s="335" customFormat="1" ht="12.75">
      <c r="A5594" s="403" t="s">
        <v>3653</v>
      </c>
      <c r="B5594" s="403"/>
      <c r="C5594" s="403"/>
      <c r="D5594" s="403"/>
      <c r="E5594" s="343"/>
    </row>
    <row r="5595" spans="1:5" s="335" customFormat="1" ht="24">
      <c r="A5595" s="342" t="s">
        <v>5053</v>
      </c>
      <c r="B5595" s="342" t="s">
        <v>5053</v>
      </c>
      <c r="C5595" s="342" t="s">
        <v>6342</v>
      </c>
      <c r="D5595" s="340">
        <v>629.1</v>
      </c>
      <c r="E5595" s="343"/>
    </row>
    <row r="5596" spans="1:5" s="335" customFormat="1" ht="24">
      <c r="A5596" s="342" t="s">
        <v>5054</v>
      </c>
      <c r="B5596" s="342" t="s">
        <v>5054</v>
      </c>
      <c r="C5596" s="342" t="str">
        <f>("7640017513")</f>
        <v>7640017513</v>
      </c>
      <c r="D5596" s="340">
        <v>125.1</v>
      </c>
      <c r="E5596" s="343"/>
    </row>
    <row r="5597" spans="1:5" s="335" customFormat="1" ht="24">
      <c r="A5597" s="342" t="s">
        <v>5055</v>
      </c>
      <c r="B5597" s="342" t="s">
        <v>5055</v>
      </c>
      <c r="C5597" s="342" t="str">
        <f>("7640017514")</f>
        <v>7640017514</v>
      </c>
      <c r="D5597" s="340">
        <v>107.1</v>
      </c>
      <c r="E5597" s="343"/>
    </row>
    <row r="5598" spans="1:5" s="335" customFormat="1" ht="24">
      <c r="A5598" s="342" t="s">
        <v>5056</v>
      </c>
      <c r="B5598" s="342" t="s">
        <v>5056</v>
      </c>
      <c r="C5598" s="342" t="str">
        <f>("7640017515")</f>
        <v>7640017515</v>
      </c>
      <c r="D5598" s="340">
        <v>89.1</v>
      </c>
      <c r="E5598" s="343"/>
    </row>
    <row r="5599" spans="1:5" s="335" customFormat="1" ht="24">
      <c r="A5599" s="342" t="s">
        <v>5057</v>
      </c>
      <c r="B5599" s="342" t="s">
        <v>5057</v>
      </c>
      <c r="C5599" s="342" t="str">
        <f>("7640017516")</f>
        <v>7640017516</v>
      </c>
      <c r="D5599" s="340">
        <v>78.3</v>
      </c>
      <c r="E5599" s="343"/>
    </row>
    <row r="5600" spans="1:5" s="335" customFormat="1" ht="24">
      <c r="A5600" s="342" t="s">
        <v>5058</v>
      </c>
      <c r="B5600" s="342" t="s">
        <v>5058</v>
      </c>
      <c r="C5600" s="342" t="str">
        <f>("7640017517")</f>
        <v>7640017517</v>
      </c>
      <c r="D5600" s="340">
        <v>56.7</v>
      </c>
      <c r="E5600" s="343"/>
    </row>
    <row r="5601" spans="1:5" s="335" customFormat="1" ht="24">
      <c r="A5601" s="342" t="s">
        <v>5059</v>
      </c>
      <c r="B5601" s="342" t="s">
        <v>5059</v>
      </c>
      <c r="C5601" s="342" t="str">
        <f>("7640017518")</f>
        <v>7640017518</v>
      </c>
      <c r="D5601" s="340">
        <v>49.5</v>
      </c>
      <c r="E5601" s="343"/>
    </row>
    <row r="5602" spans="1:5" s="335" customFormat="1" ht="24">
      <c r="A5602" s="342" t="s">
        <v>5060</v>
      </c>
      <c r="B5602" s="342" t="s">
        <v>5060</v>
      </c>
      <c r="C5602" s="342" t="str">
        <f>("7640017519")</f>
        <v>7640017519</v>
      </c>
      <c r="D5602" s="340">
        <v>46.8</v>
      </c>
      <c r="E5602" s="343"/>
    </row>
    <row r="5603" spans="1:5" s="335" customFormat="1" ht="12.75">
      <c r="A5603" s="403" t="s">
        <v>5061</v>
      </c>
      <c r="B5603" s="403"/>
      <c r="C5603" s="403"/>
      <c r="D5603" s="403"/>
      <c r="E5603" s="343"/>
    </row>
    <row r="5604" spans="1:5" s="335" customFormat="1" ht="24">
      <c r="A5604" s="342" t="s">
        <v>5062</v>
      </c>
      <c r="B5604" s="342" t="s">
        <v>5063</v>
      </c>
      <c r="C5604" s="342" t="str">
        <f>("7640017400")</f>
        <v>7640017400</v>
      </c>
      <c r="D5604" s="340">
        <v>595</v>
      </c>
      <c r="E5604" s="343"/>
    </row>
    <row r="5605" spans="1:5" s="335" customFormat="1" ht="12.75">
      <c r="A5605" s="344"/>
      <c r="B5605" s="343"/>
      <c r="C5605" s="343"/>
      <c r="D5605" s="395"/>
      <c r="E5605" s="343"/>
    </row>
    <row r="5606" spans="1:5" s="335" customFormat="1" ht="15" customHeight="1">
      <c r="A5606" s="345"/>
      <c r="B5606" s="404" t="s">
        <v>5064</v>
      </c>
      <c r="C5606" s="404"/>
      <c r="D5606" s="404"/>
      <c r="E5606" s="404"/>
    </row>
    <row r="5607" spans="1:5" s="335" customFormat="1" ht="25.5">
      <c r="A5607" s="346" t="s">
        <v>789</v>
      </c>
      <c r="B5607" s="346" t="s">
        <v>409</v>
      </c>
      <c r="C5607" s="346" t="s">
        <v>26</v>
      </c>
      <c r="D5607" s="337" t="s">
        <v>6425</v>
      </c>
      <c r="E5607" s="343"/>
    </row>
    <row r="5608" spans="1:5" s="335" customFormat="1" ht="12.75">
      <c r="A5608" s="342" t="s">
        <v>5065</v>
      </c>
      <c r="B5608" s="342" t="s">
        <v>5066</v>
      </c>
      <c r="C5608" s="342" t="str">
        <f>("DocForm")</f>
        <v>DocForm</v>
      </c>
      <c r="D5608" s="340">
        <v>0</v>
      </c>
      <c r="E5608" s="343"/>
    </row>
    <row r="5609" spans="1:5" s="335" customFormat="1" ht="12.75">
      <c r="A5609" s="402" t="s">
        <v>1587</v>
      </c>
      <c r="B5609" s="402"/>
      <c r="C5609" s="402"/>
      <c r="D5609" s="402"/>
      <c r="E5609" s="343"/>
    </row>
    <row r="5610" spans="1:5" s="335" customFormat="1" ht="60">
      <c r="A5610" s="342" t="s">
        <v>5067</v>
      </c>
      <c r="B5610" s="342" t="s">
        <v>5068</v>
      </c>
      <c r="C5610" s="342" t="s">
        <v>6343</v>
      </c>
      <c r="D5610" s="340">
        <v>4900</v>
      </c>
      <c r="E5610" s="343"/>
    </row>
    <row r="5611" spans="1:5" s="335" customFormat="1" ht="72">
      <c r="A5611" s="342" t="s">
        <v>5069</v>
      </c>
      <c r="B5611" s="342" t="s">
        <v>5070</v>
      </c>
      <c r="C5611" s="342" t="str">
        <f>("7640003123")</f>
        <v>7640003123</v>
      </c>
      <c r="D5611" s="340">
        <v>9900</v>
      </c>
      <c r="E5611" s="343"/>
    </row>
    <row r="5612" spans="1:5" s="335" customFormat="1" ht="12.75">
      <c r="A5612" s="403" t="s">
        <v>3153</v>
      </c>
      <c r="B5612" s="403"/>
      <c r="C5612" s="403"/>
      <c r="D5612" s="403"/>
      <c r="E5612" s="343"/>
    </row>
    <row r="5613" spans="1:5" s="335" customFormat="1" ht="36">
      <c r="A5613" s="342" t="s">
        <v>5071</v>
      </c>
      <c r="B5613" s="342" t="s">
        <v>5072</v>
      </c>
      <c r="C5613" s="342" t="s">
        <v>6344</v>
      </c>
      <c r="D5613" s="340">
        <v>500</v>
      </c>
      <c r="E5613" s="343"/>
    </row>
    <row r="5614" spans="1:5" s="335" customFormat="1" ht="12.75">
      <c r="A5614" s="342" t="s">
        <v>5073</v>
      </c>
      <c r="B5614" s="342" t="s">
        <v>5074</v>
      </c>
      <c r="C5614" s="342" t="str">
        <f>("7640003127")</f>
        <v>7640003127</v>
      </c>
      <c r="D5614" s="340">
        <v>4400</v>
      </c>
      <c r="E5614" s="343"/>
    </row>
    <row r="5615" spans="1:5" s="335" customFormat="1" ht="48">
      <c r="A5615" s="342" t="s">
        <v>5075</v>
      </c>
      <c r="B5615" s="342" t="s">
        <v>5076</v>
      </c>
      <c r="C5615" s="342" t="str">
        <f>("7640003129")</f>
        <v>7640003129</v>
      </c>
      <c r="D5615" s="340">
        <v>2450</v>
      </c>
      <c r="E5615" s="343"/>
    </row>
    <row r="5616" spans="1:5" s="335" customFormat="1" ht="48">
      <c r="A5616" s="342" t="s">
        <v>5077</v>
      </c>
      <c r="B5616" s="342" t="s">
        <v>5078</v>
      </c>
      <c r="C5616" s="342" t="str">
        <f>("7640003131")</f>
        <v>7640003131</v>
      </c>
      <c r="D5616" s="340">
        <v>2450</v>
      </c>
      <c r="E5616" s="343"/>
    </row>
    <row r="5617" spans="1:5" s="335" customFormat="1" ht="36">
      <c r="A5617" s="342" t="s">
        <v>5079</v>
      </c>
      <c r="B5617" s="342" t="s">
        <v>5080</v>
      </c>
      <c r="C5617" s="342" t="s">
        <v>6345</v>
      </c>
      <c r="D5617" s="340">
        <v>995</v>
      </c>
      <c r="E5617" s="343"/>
    </row>
    <row r="5618" spans="1:5" s="335" customFormat="1" ht="36">
      <c r="A5618" s="342" t="s">
        <v>5081</v>
      </c>
      <c r="B5618" s="342" t="s">
        <v>5082</v>
      </c>
      <c r="C5618" s="342" t="s">
        <v>6346</v>
      </c>
      <c r="D5618" s="340">
        <v>495</v>
      </c>
      <c r="E5618" s="343"/>
    </row>
    <row r="5619" spans="1:5" s="335" customFormat="1" ht="60">
      <c r="A5619" s="342" t="s">
        <v>5083</v>
      </c>
      <c r="B5619" s="342" t="s">
        <v>5084</v>
      </c>
      <c r="C5619" s="342" t="str">
        <f>("7640003137")</f>
        <v>7640003137</v>
      </c>
      <c r="D5619" s="340">
        <v>9900</v>
      </c>
      <c r="E5619" s="343"/>
    </row>
    <row r="5620" spans="1:5" s="335" customFormat="1" ht="60">
      <c r="A5620" s="342" t="s">
        <v>5085</v>
      </c>
      <c r="B5620" s="342" t="s">
        <v>5086</v>
      </c>
      <c r="C5620" s="342" t="str">
        <f>("7640003139")</f>
        <v>7640003139</v>
      </c>
      <c r="D5620" s="340">
        <v>5000</v>
      </c>
      <c r="E5620" s="343"/>
    </row>
    <row r="5621" spans="1:5" s="335" customFormat="1" ht="36">
      <c r="A5621" s="342" t="s">
        <v>5087</v>
      </c>
      <c r="B5621" s="342" t="s">
        <v>5088</v>
      </c>
      <c r="C5621" s="342" t="str">
        <f>("7640003141")</f>
        <v>7640003141</v>
      </c>
      <c r="D5621" s="340">
        <v>3500</v>
      </c>
      <c r="E5621" s="343"/>
    </row>
    <row r="5622" spans="1:5" s="335" customFormat="1" ht="60">
      <c r="A5622" s="342" t="s">
        <v>5089</v>
      </c>
      <c r="B5622" s="342" t="s">
        <v>5090</v>
      </c>
      <c r="C5622" s="342" t="str">
        <f>("7640003143")</f>
        <v>7640003143</v>
      </c>
      <c r="D5622" s="340">
        <v>2500</v>
      </c>
      <c r="E5622" s="343"/>
    </row>
    <row r="5623" spans="1:5" s="335" customFormat="1" ht="24">
      <c r="A5623" s="342" t="s">
        <v>5091</v>
      </c>
      <c r="B5623" s="342" t="s">
        <v>5092</v>
      </c>
      <c r="C5623" s="342" t="str">
        <f>("7640003145")</f>
        <v>7640003145</v>
      </c>
      <c r="D5623" s="340">
        <v>1500</v>
      </c>
      <c r="E5623" s="343"/>
    </row>
    <row r="5624" spans="1:5" s="335" customFormat="1" ht="48">
      <c r="A5624" s="342" t="s">
        <v>5093</v>
      </c>
      <c r="B5624" s="342" t="s">
        <v>5094</v>
      </c>
      <c r="C5624" s="342" t="str">
        <f>("7640003147")</f>
        <v>7640003147</v>
      </c>
      <c r="D5624" s="340">
        <v>2000</v>
      </c>
      <c r="E5624" s="343"/>
    </row>
    <row r="5625" spans="1:5" s="335" customFormat="1" ht="24">
      <c r="A5625" s="342" t="s">
        <v>5095</v>
      </c>
      <c r="B5625" s="342" t="s">
        <v>5096</v>
      </c>
      <c r="C5625" s="342" t="str">
        <f>("7640003149")</f>
        <v>7640003149</v>
      </c>
      <c r="D5625" s="340">
        <v>1200</v>
      </c>
      <c r="E5625" s="343"/>
    </row>
    <row r="5626" spans="1:5" s="335" customFormat="1" ht="48">
      <c r="A5626" s="342" t="s">
        <v>5097</v>
      </c>
      <c r="B5626" s="342" t="s">
        <v>5098</v>
      </c>
      <c r="C5626" s="342" t="str">
        <f>("7640003151")</f>
        <v>7640003151</v>
      </c>
      <c r="D5626" s="340">
        <v>1000</v>
      </c>
      <c r="E5626" s="343"/>
    </row>
    <row r="5627" spans="1:5" s="335" customFormat="1" ht="24">
      <c r="A5627" s="342" t="s">
        <v>5099</v>
      </c>
      <c r="B5627" s="342" t="s">
        <v>5100</v>
      </c>
      <c r="C5627" s="342" t="str">
        <f>("7640003153")</f>
        <v>7640003153</v>
      </c>
      <c r="D5627" s="340">
        <v>1000</v>
      </c>
      <c r="E5627" s="343"/>
    </row>
    <row r="5628" spans="1:5" s="335" customFormat="1" ht="24">
      <c r="A5628" s="342" t="s">
        <v>5101</v>
      </c>
      <c r="B5628" s="342" t="s">
        <v>5101</v>
      </c>
      <c r="C5628" s="342" t="str">
        <f>("7640003155")</f>
        <v>7640003155</v>
      </c>
      <c r="D5628" s="340">
        <v>6485</v>
      </c>
      <c r="E5628" s="343"/>
    </row>
    <row r="5629" spans="1:5" s="335" customFormat="1" ht="48">
      <c r="A5629" s="342" t="s">
        <v>5102</v>
      </c>
      <c r="B5629" s="342" t="s">
        <v>5103</v>
      </c>
      <c r="C5629" s="342" t="str">
        <f>("7640003157")</f>
        <v>7640003157</v>
      </c>
      <c r="D5629" s="340">
        <v>3250</v>
      </c>
      <c r="E5629" s="343"/>
    </row>
    <row r="5630" spans="1:5" s="335" customFormat="1" ht="12.75">
      <c r="A5630" s="403" t="s">
        <v>3106</v>
      </c>
      <c r="B5630" s="403"/>
      <c r="C5630" s="403"/>
      <c r="D5630" s="403"/>
      <c r="E5630" s="343"/>
    </row>
    <row r="5631" spans="1:5" s="335" customFormat="1" ht="24">
      <c r="A5631" s="342" t="s">
        <v>5104</v>
      </c>
      <c r="B5631" s="342" t="s">
        <v>5104</v>
      </c>
      <c r="C5631" s="342" t="s">
        <v>6347</v>
      </c>
      <c r="D5631" s="340">
        <v>79</v>
      </c>
      <c r="E5631" s="343"/>
    </row>
    <row r="5632" spans="1:5" s="335" customFormat="1" ht="36">
      <c r="A5632" s="342" t="s">
        <v>5105</v>
      </c>
      <c r="B5632" s="342" t="s">
        <v>5105</v>
      </c>
      <c r="C5632" s="342" t="s">
        <v>6348</v>
      </c>
      <c r="D5632" s="340">
        <v>160</v>
      </c>
      <c r="E5632" s="343"/>
    </row>
    <row r="5633" spans="1:5" s="335" customFormat="1" ht="24">
      <c r="A5633" s="342" t="s">
        <v>5106</v>
      </c>
      <c r="B5633" s="342" t="s">
        <v>5106</v>
      </c>
      <c r="C5633" s="342" t="s">
        <v>6349</v>
      </c>
      <c r="D5633" s="340">
        <v>8</v>
      </c>
      <c r="E5633" s="343"/>
    </row>
    <row r="5634" spans="1:5" s="335" customFormat="1" ht="24">
      <c r="A5634" s="342" t="s">
        <v>5107</v>
      </c>
      <c r="B5634" s="342" t="s">
        <v>5107</v>
      </c>
      <c r="C5634" s="342" t="s">
        <v>6350</v>
      </c>
      <c r="D5634" s="340">
        <v>71</v>
      </c>
      <c r="E5634" s="343"/>
    </row>
    <row r="5635" spans="1:5" s="335" customFormat="1" ht="36">
      <c r="A5635" s="342" t="s">
        <v>5108</v>
      </c>
      <c r="B5635" s="342" t="s">
        <v>5108</v>
      </c>
      <c r="C5635" s="342" t="s">
        <v>6351</v>
      </c>
      <c r="D5635" s="340">
        <v>40</v>
      </c>
      <c r="E5635" s="343"/>
    </row>
    <row r="5636" spans="1:5" s="335" customFormat="1" ht="36">
      <c r="A5636" s="342" t="s">
        <v>5109</v>
      </c>
      <c r="B5636" s="342" t="s">
        <v>5109</v>
      </c>
      <c r="C5636" s="342" t="s">
        <v>6352</v>
      </c>
      <c r="D5636" s="340">
        <v>40</v>
      </c>
      <c r="E5636" s="343"/>
    </row>
    <row r="5637" spans="1:5" s="335" customFormat="1" ht="24">
      <c r="A5637" s="342" t="s">
        <v>5110</v>
      </c>
      <c r="B5637" s="342" t="s">
        <v>5110</v>
      </c>
      <c r="C5637" s="342" t="s">
        <v>6353</v>
      </c>
      <c r="D5637" s="340">
        <v>16</v>
      </c>
      <c r="E5637" s="343"/>
    </row>
    <row r="5638" spans="1:5" s="335" customFormat="1" ht="36">
      <c r="A5638" s="342" t="s">
        <v>5111</v>
      </c>
      <c r="B5638" s="342" t="s">
        <v>5111</v>
      </c>
      <c r="C5638" s="342" t="s">
        <v>6354</v>
      </c>
      <c r="D5638" s="340">
        <v>8</v>
      </c>
      <c r="E5638" s="343"/>
    </row>
    <row r="5639" spans="1:5" s="335" customFormat="1" ht="24">
      <c r="A5639" s="342" t="s">
        <v>5112</v>
      </c>
      <c r="B5639" s="342" t="s">
        <v>5112</v>
      </c>
      <c r="C5639" s="342" t="s">
        <v>6355</v>
      </c>
      <c r="D5639" s="340">
        <v>160</v>
      </c>
      <c r="E5639" s="343"/>
    </row>
    <row r="5640" spans="1:5" s="335" customFormat="1" ht="36">
      <c r="A5640" s="342" t="s">
        <v>5113</v>
      </c>
      <c r="B5640" s="342" t="s">
        <v>5113</v>
      </c>
      <c r="C5640" s="342" t="s">
        <v>6356</v>
      </c>
      <c r="D5640" s="340">
        <v>81</v>
      </c>
      <c r="E5640" s="343"/>
    </row>
    <row r="5641" spans="1:5" s="335" customFormat="1" ht="36">
      <c r="A5641" s="342" t="s">
        <v>5114</v>
      </c>
      <c r="B5641" s="342" t="s">
        <v>5115</v>
      </c>
      <c r="C5641" s="342" t="s">
        <v>6357</v>
      </c>
      <c r="D5641" s="340">
        <v>56</v>
      </c>
      <c r="E5641" s="343"/>
    </row>
    <row r="5642" spans="1:5" s="335" customFormat="1" ht="36">
      <c r="A5642" s="342" t="s">
        <v>5116</v>
      </c>
      <c r="B5642" s="342" t="s">
        <v>5117</v>
      </c>
      <c r="C5642" s="342" t="s">
        <v>6358</v>
      </c>
      <c r="D5642" s="340">
        <v>40</v>
      </c>
      <c r="E5642" s="343"/>
    </row>
    <row r="5643" spans="1:5" s="335" customFormat="1" ht="36">
      <c r="A5643" s="342" t="s">
        <v>5118</v>
      </c>
      <c r="B5643" s="342" t="s">
        <v>5119</v>
      </c>
      <c r="C5643" s="342" t="s">
        <v>6359</v>
      </c>
      <c r="D5643" s="340">
        <v>24</v>
      </c>
      <c r="E5643" s="343"/>
    </row>
    <row r="5644" spans="1:5" s="335" customFormat="1" ht="24">
      <c r="A5644" s="342" t="s">
        <v>5120</v>
      </c>
      <c r="B5644" s="342" t="s">
        <v>5121</v>
      </c>
      <c r="C5644" s="342" t="s">
        <v>6360</v>
      </c>
      <c r="D5644" s="340">
        <v>32</v>
      </c>
      <c r="E5644" s="343"/>
    </row>
    <row r="5645" spans="1:5" s="335" customFormat="1" ht="36">
      <c r="A5645" s="342" t="s">
        <v>5122</v>
      </c>
      <c r="B5645" s="342" t="s">
        <v>5123</v>
      </c>
      <c r="C5645" s="342" t="s">
        <v>6361</v>
      </c>
      <c r="D5645" s="340">
        <v>19</v>
      </c>
      <c r="E5645" s="343"/>
    </row>
    <row r="5646" spans="1:5" s="335" customFormat="1" ht="36">
      <c r="A5646" s="342" t="s">
        <v>5124</v>
      </c>
      <c r="B5646" s="342" t="s">
        <v>5124</v>
      </c>
      <c r="C5646" s="342" t="s">
        <v>6362</v>
      </c>
      <c r="D5646" s="340">
        <v>16</v>
      </c>
      <c r="E5646" s="343"/>
    </row>
    <row r="5647" spans="1:5" s="335" customFormat="1" ht="36">
      <c r="A5647" s="342" t="s">
        <v>5125</v>
      </c>
      <c r="B5647" s="342" t="s">
        <v>5126</v>
      </c>
      <c r="C5647" s="342" t="s">
        <v>6363</v>
      </c>
      <c r="D5647" s="340">
        <v>16</v>
      </c>
      <c r="E5647" s="343"/>
    </row>
    <row r="5648" spans="1:5" s="335" customFormat="1" ht="36">
      <c r="A5648" s="342" t="s">
        <v>5127</v>
      </c>
      <c r="B5648" s="342" t="s">
        <v>5127</v>
      </c>
      <c r="C5648" s="342" t="s">
        <v>6364</v>
      </c>
      <c r="D5648" s="340">
        <v>104</v>
      </c>
      <c r="E5648" s="343"/>
    </row>
    <row r="5649" spans="1:5" s="335" customFormat="1" ht="36">
      <c r="A5649" s="342" t="s">
        <v>5128</v>
      </c>
      <c r="B5649" s="342" t="s">
        <v>5129</v>
      </c>
      <c r="C5649" s="342" t="s">
        <v>6365</v>
      </c>
      <c r="D5649" s="340">
        <v>52</v>
      </c>
      <c r="E5649" s="343"/>
    </row>
    <row r="5650" spans="1:5" s="335" customFormat="1" ht="12.75">
      <c r="A5650" s="403" t="s">
        <v>5061</v>
      </c>
      <c r="B5650" s="403"/>
      <c r="C5650" s="403"/>
      <c r="D5650" s="403"/>
      <c r="E5650" s="343"/>
    </row>
    <row r="5651" spans="1:5" s="335" customFormat="1" ht="24">
      <c r="A5651" s="342" t="s">
        <v>5130</v>
      </c>
      <c r="B5651" s="342" t="s">
        <v>5130</v>
      </c>
      <c r="C5651" s="342" t="str">
        <f>("7640000792")</f>
        <v>7640000792</v>
      </c>
      <c r="D5651" s="340">
        <v>1990</v>
      </c>
      <c r="E5651" s="343"/>
    </row>
    <row r="5652" spans="1:5" s="335" customFormat="1" ht="36">
      <c r="A5652" s="342" t="s">
        <v>5131</v>
      </c>
      <c r="B5652" s="342" t="s">
        <v>5131</v>
      </c>
      <c r="C5652" s="342" t="str">
        <f>("7640000793")</f>
        <v>7640000793</v>
      </c>
      <c r="D5652" s="340">
        <v>3400</v>
      </c>
      <c r="E5652" s="343"/>
    </row>
    <row r="5653" spans="1:5" s="335" customFormat="1" ht="48">
      <c r="A5653" s="342" t="s">
        <v>5132</v>
      </c>
      <c r="B5653" s="342" t="s">
        <v>5132</v>
      </c>
      <c r="C5653" s="342" t="str">
        <f>("7640000794")</f>
        <v>7640000794</v>
      </c>
      <c r="D5653" s="340">
        <v>225</v>
      </c>
      <c r="E5653" s="343"/>
    </row>
    <row r="5654" spans="1:5" s="335" customFormat="1" ht="24">
      <c r="A5654" s="342" t="s">
        <v>5133</v>
      </c>
      <c r="B5654" s="342" t="s">
        <v>5133</v>
      </c>
      <c r="C5654" s="342" t="str">
        <f>("7640000795")</f>
        <v>7640000795</v>
      </c>
      <c r="D5654" s="340">
        <v>2500</v>
      </c>
      <c r="E5654" s="343"/>
    </row>
    <row r="5655" spans="1:5" s="335" customFormat="1" ht="36">
      <c r="A5655" s="342" t="s">
        <v>5134</v>
      </c>
      <c r="B5655" s="342" t="s">
        <v>5134</v>
      </c>
      <c r="C5655" s="342" t="str">
        <f>("7640000796")</f>
        <v>7640000796</v>
      </c>
      <c r="D5655" s="340">
        <v>3500</v>
      </c>
      <c r="E5655" s="343"/>
    </row>
    <row r="5656" spans="1:5" s="335" customFormat="1" ht="24">
      <c r="A5656" s="342" t="s">
        <v>5135</v>
      </c>
      <c r="B5656" s="342" t="s">
        <v>5135</v>
      </c>
      <c r="C5656" s="342" t="str">
        <f>("7640000797")</f>
        <v>7640000797</v>
      </c>
      <c r="D5656" s="340">
        <v>995</v>
      </c>
      <c r="E5656" s="343"/>
    </row>
    <row r="5657" spans="1:5" s="335" customFormat="1" ht="24">
      <c r="A5657" s="342" t="s">
        <v>5136</v>
      </c>
      <c r="B5657" s="342" t="s">
        <v>5136</v>
      </c>
      <c r="C5657" s="342" t="str">
        <f>("7640001335")</f>
        <v>7640001335</v>
      </c>
      <c r="D5657" s="340">
        <v>995</v>
      </c>
      <c r="E5657" s="343"/>
    </row>
    <row r="5658" spans="1:5" s="335" customFormat="1" ht="24">
      <c r="A5658" s="342" t="s">
        <v>5137</v>
      </c>
      <c r="B5658" s="342" t="s">
        <v>5137</v>
      </c>
      <c r="C5658" s="342" t="str">
        <f>("7640001336")</f>
        <v>7640001336</v>
      </c>
      <c r="D5658" s="340">
        <v>2985</v>
      </c>
      <c r="E5658" s="343"/>
    </row>
    <row r="5659" spans="1:5" s="335" customFormat="1" ht="36">
      <c r="A5659" s="342" t="s">
        <v>5138</v>
      </c>
      <c r="B5659" s="342" t="s">
        <v>5138</v>
      </c>
      <c r="C5659" s="342" t="str">
        <f>("7640001337")</f>
        <v>7640001337</v>
      </c>
      <c r="D5659" s="340">
        <v>2750</v>
      </c>
      <c r="E5659" s="343"/>
    </row>
    <row r="5660" spans="1:5" s="335" customFormat="1" ht="36">
      <c r="A5660" s="342" t="s">
        <v>5139</v>
      </c>
      <c r="B5660" s="342" t="s">
        <v>5139</v>
      </c>
      <c r="C5660" s="342" t="str">
        <f>("7640001338")</f>
        <v>7640001338</v>
      </c>
      <c r="D5660" s="340">
        <v>4100</v>
      </c>
      <c r="E5660" s="343"/>
    </row>
    <row r="5661" spans="1:5" s="335" customFormat="1" ht="12.75">
      <c r="A5661" s="344"/>
      <c r="B5661" s="343"/>
      <c r="C5661" s="343"/>
      <c r="D5661" s="395"/>
      <c r="E5661" s="343"/>
    </row>
    <row r="5662" spans="1:5" s="335" customFormat="1" ht="15" customHeight="1">
      <c r="A5662" s="345"/>
      <c r="B5662" s="404" t="s">
        <v>5140</v>
      </c>
      <c r="C5662" s="404"/>
      <c r="D5662" s="404"/>
      <c r="E5662" s="404"/>
    </row>
    <row r="5663" spans="1:5" s="335" customFormat="1" ht="25.5">
      <c r="A5663" s="346" t="s">
        <v>789</v>
      </c>
      <c r="B5663" s="346" t="s">
        <v>409</v>
      </c>
      <c r="C5663" s="346" t="s">
        <v>26</v>
      </c>
      <c r="D5663" s="337" t="s">
        <v>6425</v>
      </c>
      <c r="E5663" s="343"/>
    </row>
    <row r="5664" spans="1:5" s="335" customFormat="1" ht="14.25">
      <c r="A5664" s="342" t="s">
        <v>5141</v>
      </c>
      <c r="B5664" s="342" t="s">
        <v>5141</v>
      </c>
      <c r="C5664" s="342" t="s">
        <v>6366</v>
      </c>
      <c r="D5664" s="340">
        <v>0</v>
      </c>
      <c r="E5664" s="343"/>
    </row>
    <row r="5665" spans="1:5" s="335" customFormat="1" ht="12.75">
      <c r="A5665" s="402" t="s">
        <v>1587</v>
      </c>
      <c r="B5665" s="402"/>
      <c r="C5665" s="402"/>
      <c r="D5665" s="402"/>
      <c r="E5665" s="343"/>
    </row>
    <row r="5666" spans="1:5" s="335" customFormat="1" ht="12.75">
      <c r="A5666" s="342" t="s">
        <v>5142</v>
      </c>
      <c r="B5666" s="342" t="s">
        <v>5143</v>
      </c>
      <c r="C5666" s="342" t="str">
        <f>("7640006870")</f>
        <v>7640006870</v>
      </c>
      <c r="D5666" s="340">
        <v>495</v>
      </c>
      <c r="E5666" s="343"/>
    </row>
    <row r="5667" spans="1:5" s="335" customFormat="1" ht="12.75">
      <c r="A5667" s="342" t="s">
        <v>5144</v>
      </c>
      <c r="B5667" s="342" t="s">
        <v>5145</v>
      </c>
      <c r="C5667" s="342" t="str">
        <f>("DR20002")</f>
        <v>DR20002</v>
      </c>
      <c r="D5667" s="340">
        <v>1495</v>
      </c>
      <c r="E5667" s="343"/>
    </row>
    <row r="5668" spans="1:5" s="335" customFormat="1" ht="24">
      <c r="A5668" s="342" t="s">
        <v>5146</v>
      </c>
      <c r="B5668" s="342" t="s">
        <v>5147</v>
      </c>
      <c r="C5668" s="342" t="str">
        <f>("DR20021")</f>
        <v>DR20021</v>
      </c>
      <c r="D5668" s="340">
        <v>500</v>
      </c>
      <c r="E5668" s="343"/>
    </row>
    <row r="5669" spans="1:5" s="335" customFormat="1" ht="12.75">
      <c r="A5669" s="342" t="s">
        <v>5148</v>
      </c>
      <c r="B5669" s="342" t="s">
        <v>5149</v>
      </c>
      <c r="C5669" s="342" t="str">
        <f>("DR20032")</f>
        <v>DR20032</v>
      </c>
      <c r="D5669" s="340">
        <v>3500</v>
      </c>
      <c r="E5669" s="343"/>
    </row>
    <row r="5670" spans="1:5" s="335" customFormat="1" ht="24">
      <c r="A5670" s="342" t="s">
        <v>5150</v>
      </c>
      <c r="B5670" s="342" t="s">
        <v>5151</v>
      </c>
      <c r="C5670" s="342" t="str">
        <f>("DR20050")</f>
        <v>DR20050</v>
      </c>
      <c r="D5670" s="340">
        <v>4995</v>
      </c>
      <c r="E5670" s="343"/>
    </row>
    <row r="5671" spans="1:5" s="335" customFormat="1" ht="60">
      <c r="A5671" s="342" t="s">
        <v>5152</v>
      </c>
      <c r="B5671" s="342" t="s">
        <v>5153</v>
      </c>
      <c r="C5671" s="342" t="str">
        <f>("DR20055")</f>
        <v>DR20055</v>
      </c>
      <c r="D5671" s="340">
        <v>2500</v>
      </c>
      <c r="E5671" s="343"/>
    </row>
    <row r="5672" spans="1:5" s="335" customFormat="1" ht="12.75">
      <c r="A5672" s="342" t="s">
        <v>5154</v>
      </c>
      <c r="B5672" s="342" t="s">
        <v>5155</v>
      </c>
      <c r="C5672" s="342" t="str">
        <f>("DR20070")</f>
        <v>DR20070</v>
      </c>
      <c r="D5672" s="340">
        <v>470</v>
      </c>
      <c r="E5672" s="343"/>
    </row>
    <row r="5673" spans="1:5" s="335" customFormat="1" ht="12.75">
      <c r="A5673" s="342" t="s">
        <v>5156</v>
      </c>
      <c r="B5673" s="342" t="s">
        <v>5157</v>
      </c>
      <c r="C5673" s="342" t="str">
        <f>("DR20071")</f>
        <v>DR20071</v>
      </c>
      <c r="D5673" s="340">
        <v>2125</v>
      </c>
      <c r="E5673" s="343"/>
    </row>
    <row r="5674" spans="1:5" s="335" customFormat="1" ht="12.75">
      <c r="A5674" s="342" t="s">
        <v>5158</v>
      </c>
      <c r="B5674" s="342" t="s">
        <v>5159</v>
      </c>
      <c r="C5674" s="342" t="str">
        <f>("DR20072")</f>
        <v>DR20072</v>
      </c>
      <c r="D5674" s="340">
        <v>4230</v>
      </c>
      <c r="E5674" s="343"/>
    </row>
    <row r="5675" spans="1:5" s="335" customFormat="1" ht="12.75">
      <c r="A5675" s="342" t="s">
        <v>5160</v>
      </c>
      <c r="B5675" s="342" t="s">
        <v>5161</v>
      </c>
      <c r="C5675" s="342" t="str">
        <f>("DR20073")</f>
        <v>DR20073</v>
      </c>
      <c r="D5675" s="340">
        <v>10500</v>
      </c>
      <c r="E5675" s="343"/>
    </row>
    <row r="5676" spans="1:5" s="335" customFormat="1" ht="12.75">
      <c r="A5676" s="342" t="s">
        <v>5162</v>
      </c>
      <c r="B5676" s="342" t="s">
        <v>5163</v>
      </c>
      <c r="C5676" s="342" t="str">
        <f>("DR20074")</f>
        <v>DR20074</v>
      </c>
      <c r="D5676" s="340">
        <v>20750</v>
      </c>
      <c r="E5676" s="343"/>
    </row>
    <row r="5677" spans="1:5" s="335" customFormat="1" ht="24">
      <c r="A5677" s="342" t="s">
        <v>5164</v>
      </c>
      <c r="B5677" s="342" t="s">
        <v>5165</v>
      </c>
      <c r="C5677" s="342" t="str">
        <f>("DR20075")</f>
        <v>DR20075</v>
      </c>
      <c r="D5677" s="340">
        <v>40000</v>
      </c>
      <c r="E5677" s="343"/>
    </row>
    <row r="5678" spans="1:5" s="335" customFormat="1" ht="24">
      <c r="A5678" s="342" t="s">
        <v>5166</v>
      </c>
      <c r="B5678" s="342" t="s">
        <v>5167</v>
      </c>
      <c r="C5678" s="342" t="str">
        <f>("DR20076")</f>
        <v>DR20076</v>
      </c>
      <c r="D5678" s="340">
        <v>50000</v>
      </c>
      <c r="E5678" s="343"/>
    </row>
    <row r="5679" spans="1:5" s="335" customFormat="1" ht="24">
      <c r="A5679" s="342" t="s">
        <v>5168</v>
      </c>
      <c r="B5679" s="342" t="s">
        <v>5169</v>
      </c>
      <c r="C5679" s="342" t="str">
        <f>("DR20077")</f>
        <v>DR20077</v>
      </c>
      <c r="D5679" s="340">
        <v>87500</v>
      </c>
      <c r="E5679" s="343"/>
    </row>
    <row r="5680" spans="1:5" s="335" customFormat="1" ht="24">
      <c r="A5680" s="342" t="s">
        <v>5170</v>
      </c>
      <c r="B5680" s="342" t="s">
        <v>5171</v>
      </c>
      <c r="C5680" s="342" t="str">
        <f>("DR20078")</f>
        <v>DR20078</v>
      </c>
      <c r="D5680" s="340">
        <v>112500</v>
      </c>
      <c r="E5680" s="343"/>
    </row>
    <row r="5681" spans="1:5" s="335" customFormat="1" ht="24">
      <c r="A5681" s="342" t="s">
        <v>5172</v>
      </c>
      <c r="B5681" s="342" t="s">
        <v>5173</v>
      </c>
      <c r="C5681" s="342" t="str">
        <f>("DR20079")</f>
        <v>DR20079</v>
      </c>
      <c r="D5681" s="340">
        <v>125000</v>
      </c>
      <c r="E5681" s="343"/>
    </row>
    <row r="5682" spans="1:5" s="335" customFormat="1" ht="24">
      <c r="A5682" s="342" t="s">
        <v>5174</v>
      </c>
      <c r="B5682" s="342" t="s">
        <v>5175</v>
      </c>
      <c r="C5682" s="342" t="str">
        <f>("DR20080")</f>
        <v>DR20080</v>
      </c>
      <c r="D5682" s="340">
        <v>300</v>
      </c>
      <c r="E5682" s="343"/>
    </row>
    <row r="5683" spans="1:5" s="335" customFormat="1" ht="24">
      <c r="A5683" s="342" t="s">
        <v>5176</v>
      </c>
      <c r="B5683" s="342" t="s">
        <v>5177</v>
      </c>
      <c r="C5683" s="342" t="str">
        <f>("DR20081")</f>
        <v>DR20081</v>
      </c>
      <c r="D5683" s="340">
        <v>2750</v>
      </c>
      <c r="E5683" s="343"/>
    </row>
    <row r="5684" spans="1:5" s="335" customFormat="1" ht="24">
      <c r="A5684" s="342" t="s">
        <v>5178</v>
      </c>
      <c r="B5684" s="342" t="s">
        <v>5179</v>
      </c>
      <c r="C5684" s="342" t="str">
        <f>("DR20082")</f>
        <v>DR20082</v>
      </c>
      <c r="D5684" s="340">
        <v>6250</v>
      </c>
      <c r="E5684" s="343"/>
    </row>
    <row r="5685" spans="1:5" s="335" customFormat="1" ht="24">
      <c r="A5685" s="342" t="s">
        <v>5180</v>
      </c>
      <c r="B5685" s="342" t="s">
        <v>5181</v>
      </c>
      <c r="C5685" s="342" t="str">
        <f>("DR20083")</f>
        <v>DR20083</v>
      </c>
      <c r="D5685" s="340">
        <v>11250</v>
      </c>
      <c r="E5685" s="343"/>
    </row>
    <row r="5686" spans="1:5" s="335" customFormat="1" ht="24">
      <c r="A5686" s="342" t="s">
        <v>5182</v>
      </c>
      <c r="B5686" s="342" t="s">
        <v>5183</v>
      </c>
      <c r="C5686" s="342" t="str">
        <f>("DR20084")</f>
        <v>DR20084</v>
      </c>
      <c r="D5686" s="340">
        <v>20000</v>
      </c>
      <c r="E5686" s="343"/>
    </row>
    <row r="5687" spans="1:5" s="335" customFormat="1" ht="24">
      <c r="A5687" s="342" t="s">
        <v>5184</v>
      </c>
      <c r="B5687" s="342" t="s">
        <v>5185</v>
      </c>
      <c r="C5687" s="342" t="str">
        <f>("DR20085")</f>
        <v>DR20085</v>
      </c>
      <c r="D5687" s="340">
        <v>1445</v>
      </c>
      <c r="E5687" s="343"/>
    </row>
    <row r="5688" spans="1:5" s="335" customFormat="1" ht="60">
      <c r="A5688" s="342" t="s">
        <v>5186</v>
      </c>
      <c r="B5688" s="342" t="s">
        <v>5187</v>
      </c>
      <c r="C5688" s="342" t="str">
        <f>("DR20100 ")</f>
        <v xml:space="preserve">DR20100 </v>
      </c>
      <c r="D5688" s="340">
        <v>250</v>
      </c>
      <c r="E5688" s="343"/>
    </row>
    <row r="5689" spans="1:5" s="335" customFormat="1" ht="12.75">
      <c r="A5689" s="403" t="s">
        <v>4208</v>
      </c>
      <c r="B5689" s="403"/>
      <c r="C5689" s="403"/>
      <c r="D5689" s="403"/>
      <c r="E5689" s="343"/>
    </row>
    <row r="5690" spans="1:5" s="335" customFormat="1" ht="36">
      <c r="A5690" s="342" t="s">
        <v>5188</v>
      </c>
      <c r="B5690" s="342" t="s">
        <v>5189</v>
      </c>
      <c r="C5690" s="342" t="str">
        <f>("DR20015")</f>
        <v>DR20015</v>
      </c>
      <c r="D5690" s="340">
        <v>4500</v>
      </c>
      <c r="E5690" s="343"/>
    </row>
    <row r="5691" spans="1:5" s="335" customFormat="1" ht="24">
      <c r="A5691" s="342" t="s">
        <v>5190</v>
      </c>
      <c r="B5691" s="342" t="s">
        <v>5191</v>
      </c>
      <c r="C5691" s="342" t="str">
        <f>("DR20090")</f>
        <v>DR20090</v>
      </c>
      <c r="D5691" s="340">
        <v>500</v>
      </c>
      <c r="E5691" s="343"/>
    </row>
    <row r="5692" spans="1:5" s="335" customFormat="1" ht="24">
      <c r="A5692" s="342" t="s">
        <v>5192</v>
      </c>
      <c r="B5692" s="342" t="s">
        <v>5193</v>
      </c>
      <c r="C5692" s="342" t="str">
        <f>("DR70001")</f>
        <v>DR70001</v>
      </c>
      <c r="D5692" s="340">
        <v>2000</v>
      </c>
      <c r="E5692" s="343"/>
    </row>
    <row r="5693" spans="1:5" s="335" customFormat="1" ht="24">
      <c r="A5693" s="342" t="s">
        <v>5194</v>
      </c>
      <c r="B5693" s="342" t="s">
        <v>5195</v>
      </c>
      <c r="C5693" s="342" t="str">
        <f>("DR70005")</f>
        <v>DR70005</v>
      </c>
      <c r="D5693" s="340">
        <v>8500</v>
      </c>
      <c r="E5693" s="343"/>
    </row>
    <row r="5694" spans="1:5" s="335" customFormat="1" ht="24">
      <c r="A5694" s="342" t="s">
        <v>5196</v>
      </c>
      <c r="B5694" s="342" t="s">
        <v>5197</v>
      </c>
      <c r="C5694" s="342" t="str">
        <f>("DR70010")</f>
        <v>DR70010</v>
      </c>
      <c r="D5694" s="340">
        <v>13500</v>
      </c>
      <c r="E5694" s="343"/>
    </row>
    <row r="5695" spans="1:5" s="335" customFormat="1" ht="24">
      <c r="A5695" s="342" t="s">
        <v>5198</v>
      </c>
      <c r="B5695" s="342" t="s">
        <v>5199</v>
      </c>
      <c r="C5695" s="342" t="str">
        <f>("DR70025")</f>
        <v>DR70025</v>
      </c>
      <c r="D5695" s="340">
        <v>30000</v>
      </c>
      <c r="E5695" s="343"/>
    </row>
    <row r="5696" spans="1:5" s="335" customFormat="1" ht="24">
      <c r="A5696" s="342" t="s">
        <v>5200</v>
      </c>
      <c r="B5696" s="342" t="s">
        <v>5201</v>
      </c>
      <c r="C5696" s="342" t="str">
        <f>("DR70050")</f>
        <v>DR70050</v>
      </c>
      <c r="D5696" s="340">
        <v>55000</v>
      </c>
      <c r="E5696" s="343"/>
    </row>
    <row r="5697" spans="1:5" s="335" customFormat="1" ht="24">
      <c r="A5697" s="342" t="s">
        <v>5202</v>
      </c>
      <c r="B5697" s="342" t="s">
        <v>5203</v>
      </c>
      <c r="C5697" s="342" t="str">
        <f>("DR70100")</f>
        <v>DR70100</v>
      </c>
      <c r="D5697" s="340">
        <v>98000</v>
      </c>
      <c r="E5697" s="343"/>
    </row>
    <row r="5698" spans="1:5" s="335" customFormat="1" ht="12.75">
      <c r="A5698" s="403" t="s">
        <v>5204</v>
      </c>
      <c r="B5698" s="403"/>
      <c r="C5698" s="403"/>
      <c r="D5698" s="403"/>
      <c r="E5698" s="343"/>
    </row>
    <row r="5699" spans="1:5" s="335" customFormat="1" ht="24">
      <c r="A5699" s="342" t="s">
        <v>5205</v>
      </c>
      <c r="B5699" s="342" t="s">
        <v>5206</v>
      </c>
      <c r="C5699" s="342" t="str">
        <f>("DR20002AM")</f>
        <v>DR20002AM</v>
      </c>
      <c r="D5699" s="340">
        <v>269.10000000000002</v>
      </c>
      <c r="E5699" s="343"/>
    </row>
    <row r="5700" spans="1:5" s="335" customFormat="1" ht="24">
      <c r="A5700" s="342" t="s">
        <v>5207</v>
      </c>
      <c r="B5700" s="342" t="s">
        <v>5208</v>
      </c>
      <c r="C5700" s="342" t="str">
        <f>("DR20015AM")</f>
        <v>DR20015AM</v>
      </c>
      <c r="D5700" s="340">
        <v>810</v>
      </c>
      <c r="E5700" s="343"/>
    </row>
    <row r="5701" spans="1:5" s="335" customFormat="1" ht="24">
      <c r="A5701" s="342" t="s">
        <v>5209</v>
      </c>
      <c r="B5701" s="342" t="s">
        <v>5210</v>
      </c>
      <c r="C5701" s="342" t="str">
        <f>("DR20021AM")</f>
        <v>DR20021AM</v>
      </c>
      <c r="D5701" s="340">
        <v>90</v>
      </c>
      <c r="E5701" s="343"/>
    </row>
    <row r="5702" spans="1:5" s="335" customFormat="1" ht="24">
      <c r="A5702" s="342" t="s">
        <v>5211</v>
      </c>
      <c r="B5702" s="342" t="s">
        <v>5212</v>
      </c>
      <c r="C5702" s="342" t="str">
        <f>("DR20032AM")</f>
        <v>DR20032AM</v>
      </c>
      <c r="D5702" s="340">
        <v>630</v>
      </c>
      <c r="E5702" s="343"/>
    </row>
    <row r="5703" spans="1:5" s="335" customFormat="1" ht="24">
      <c r="A5703" s="342" t="s">
        <v>5213</v>
      </c>
      <c r="B5703" s="342" t="s">
        <v>5214</v>
      </c>
      <c r="C5703" s="342" t="str">
        <f>("DR20050AM")</f>
        <v>DR20050AM</v>
      </c>
      <c r="D5703" s="340">
        <v>899.1</v>
      </c>
      <c r="E5703" s="343"/>
    </row>
    <row r="5704" spans="1:5" s="335" customFormat="1" ht="24">
      <c r="A5704" s="342" t="s">
        <v>5215</v>
      </c>
      <c r="B5704" s="342" t="s">
        <v>5216</v>
      </c>
      <c r="C5704" s="342" t="str">
        <f>("DR20055AM")</f>
        <v>DR20055AM</v>
      </c>
      <c r="D5704" s="340">
        <v>450</v>
      </c>
      <c r="E5704" s="343"/>
    </row>
    <row r="5705" spans="1:5" s="335" customFormat="1" ht="24">
      <c r="A5705" s="342" t="s">
        <v>5217</v>
      </c>
      <c r="B5705" s="342" t="s">
        <v>5218</v>
      </c>
      <c r="C5705" s="342" t="str">
        <f>("DR20070AM")</f>
        <v>DR20070AM</v>
      </c>
      <c r="D5705" s="340">
        <v>84.6</v>
      </c>
      <c r="E5705" s="343"/>
    </row>
    <row r="5706" spans="1:5" s="335" customFormat="1" ht="24">
      <c r="A5706" s="342" t="s">
        <v>5219</v>
      </c>
      <c r="B5706" s="342" t="s">
        <v>5220</v>
      </c>
      <c r="C5706" s="342" t="str">
        <f>("DR20071AM")</f>
        <v>DR20071AM</v>
      </c>
      <c r="D5706" s="340">
        <v>382.5</v>
      </c>
      <c r="E5706" s="343"/>
    </row>
    <row r="5707" spans="1:5" s="335" customFormat="1" ht="24">
      <c r="A5707" s="342" t="s">
        <v>5221</v>
      </c>
      <c r="B5707" s="342" t="s">
        <v>5222</v>
      </c>
      <c r="C5707" s="342" t="str">
        <f>("DR20072AM")</f>
        <v>DR20072AM</v>
      </c>
      <c r="D5707" s="340">
        <v>761.4</v>
      </c>
      <c r="E5707" s="343"/>
    </row>
    <row r="5708" spans="1:5" s="335" customFormat="1" ht="24">
      <c r="A5708" s="342" t="s">
        <v>5223</v>
      </c>
      <c r="B5708" s="342" t="s">
        <v>5224</v>
      </c>
      <c r="C5708" s="342" t="str">
        <f>("DR20073AM")</f>
        <v>DR20073AM</v>
      </c>
      <c r="D5708" s="340">
        <v>1890</v>
      </c>
      <c r="E5708" s="343"/>
    </row>
    <row r="5709" spans="1:5" s="335" customFormat="1" ht="24">
      <c r="A5709" s="342" t="s">
        <v>5225</v>
      </c>
      <c r="B5709" s="342" t="s">
        <v>5226</v>
      </c>
      <c r="C5709" s="342" t="str">
        <f>("DR20074AM")</f>
        <v>DR20074AM</v>
      </c>
      <c r="D5709" s="340">
        <v>3735</v>
      </c>
      <c r="E5709" s="343"/>
    </row>
    <row r="5710" spans="1:5" s="335" customFormat="1" ht="24">
      <c r="A5710" s="342" t="s">
        <v>5227</v>
      </c>
      <c r="B5710" s="342" t="s">
        <v>5228</v>
      </c>
      <c r="C5710" s="342" t="str">
        <f>("DR20075AM")</f>
        <v>DR20075AM</v>
      </c>
      <c r="D5710" s="340">
        <v>7200</v>
      </c>
      <c r="E5710" s="343"/>
    </row>
    <row r="5711" spans="1:5" s="335" customFormat="1" ht="24">
      <c r="A5711" s="342" t="s">
        <v>5229</v>
      </c>
      <c r="B5711" s="342" t="s">
        <v>5230</v>
      </c>
      <c r="C5711" s="342" t="str">
        <f>("DR20076AM")</f>
        <v>DR20076AM</v>
      </c>
      <c r="D5711" s="340">
        <v>9000</v>
      </c>
      <c r="E5711" s="343"/>
    </row>
    <row r="5712" spans="1:5" s="335" customFormat="1" ht="24">
      <c r="A5712" s="342" t="s">
        <v>5231</v>
      </c>
      <c r="B5712" s="342" t="s">
        <v>5232</v>
      </c>
      <c r="C5712" s="342" t="str">
        <f>("DR20077AM")</f>
        <v>DR20077AM</v>
      </c>
      <c r="D5712" s="340">
        <v>15750</v>
      </c>
      <c r="E5712" s="343"/>
    </row>
    <row r="5713" spans="1:5" s="335" customFormat="1" ht="24">
      <c r="A5713" s="342" t="s">
        <v>5233</v>
      </c>
      <c r="B5713" s="342" t="s">
        <v>5234</v>
      </c>
      <c r="C5713" s="342" t="str">
        <f>("DR20078AM")</f>
        <v>DR20078AM</v>
      </c>
      <c r="D5713" s="340">
        <v>20250</v>
      </c>
      <c r="E5713" s="343"/>
    </row>
    <row r="5714" spans="1:5" s="335" customFormat="1" ht="24">
      <c r="A5714" s="342" t="s">
        <v>5235</v>
      </c>
      <c r="B5714" s="342" t="s">
        <v>5236</v>
      </c>
      <c r="C5714" s="342" t="str">
        <f>("DR20079AM")</f>
        <v>DR20079AM</v>
      </c>
      <c r="D5714" s="340">
        <v>22500</v>
      </c>
      <c r="E5714" s="343"/>
    </row>
    <row r="5715" spans="1:5" s="335" customFormat="1" ht="24">
      <c r="A5715" s="342" t="s">
        <v>5237</v>
      </c>
      <c r="B5715" s="342" t="s">
        <v>5238</v>
      </c>
      <c r="C5715" s="342" t="str">
        <f>("DR20080AM")</f>
        <v>DR20080AM</v>
      </c>
      <c r="D5715" s="340">
        <v>54</v>
      </c>
      <c r="E5715" s="343"/>
    </row>
    <row r="5716" spans="1:5" s="335" customFormat="1" ht="24">
      <c r="A5716" s="342" t="s">
        <v>5239</v>
      </c>
      <c r="B5716" s="342" t="s">
        <v>5240</v>
      </c>
      <c r="C5716" s="342" t="str">
        <f>("DR20081AM")</f>
        <v>DR20081AM</v>
      </c>
      <c r="D5716" s="340">
        <v>495</v>
      </c>
      <c r="E5716" s="343"/>
    </row>
    <row r="5717" spans="1:5" s="335" customFormat="1" ht="24">
      <c r="A5717" s="342" t="s">
        <v>5241</v>
      </c>
      <c r="B5717" s="342" t="s">
        <v>5242</v>
      </c>
      <c r="C5717" s="342" t="str">
        <f>("DR20082AM")</f>
        <v>DR20082AM</v>
      </c>
      <c r="D5717" s="340">
        <v>1125</v>
      </c>
      <c r="E5717" s="343"/>
    </row>
    <row r="5718" spans="1:5" s="335" customFormat="1" ht="24">
      <c r="A5718" s="342" t="s">
        <v>5243</v>
      </c>
      <c r="B5718" s="342" t="s">
        <v>5244</v>
      </c>
      <c r="C5718" s="342" t="str">
        <f>("DR20083AM")</f>
        <v>DR20083AM</v>
      </c>
      <c r="D5718" s="340">
        <v>2025</v>
      </c>
      <c r="E5718" s="343"/>
    </row>
    <row r="5719" spans="1:5" s="335" customFormat="1" ht="24">
      <c r="A5719" s="342" t="s">
        <v>5245</v>
      </c>
      <c r="B5719" s="342" t="s">
        <v>5246</v>
      </c>
      <c r="C5719" s="342" t="str">
        <f>("DR20084AM")</f>
        <v>DR20084AM</v>
      </c>
      <c r="D5719" s="340">
        <v>3600</v>
      </c>
      <c r="E5719" s="343"/>
    </row>
    <row r="5720" spans="1:5" s="335" customFormat="1" ht="24">
      <c r="A5720" s="342" t="s">
        <v>5247</v>
      </c>
      <c r="B5720" s="342" t="s">
        <v>5248</v>
      </c>
      <c r="C5720" s="342" t="str">
        <f>("DR20085AM")</f>
        <v>DR20085AM</v>
      </c>
      <c r="D5720" s="340">
        <v>260.10000000000002</v>
      </c>
      <c r="E5720" s="343"/>
    </row>
    <row r="5721" spans="1:5" s="335" customFormat="1" ht="24">
      <c r="A5721" s="342" t="s">
        <v>5249</v>
      </c>
      <c r="B5721" s="342" t="s">
        <v>5250</v>
      </c>
      <c r="C5721" s="342" t="str">
        <f>("DR20090AM")</f>
        <v>DR20090AM</v>
      </c>
      <c r="D5721" s="340">
        <v>90</v>
      </c>
      <c r="E5721" s="343"/>
    </row>
    <row r="5722" spans="1:5" s="335" customFormat="1" ht="24">
      <c r="A5722" s="342" t="s">
        <v>5251</v>
      </c>
      <c r="B5722" s="342" t="s">
        <v>5252</v>
      </c>
      <c r="C5722" s="342" t="str">
        <f>("DR20100AM")</f>
        <v>DR20100AM</v>
      </c>
      <c r="D5722" s="340">
        <v>45</v>
      </c>
      <c r="E5722" s="343"/>
    </row>
    <row r="5723" spans="1:5" s="335" customFormat="1" ht="24">
      <c r="A5723" s="342" t="s">
        <v>5253</v>
      </c>
      <c r="B5723" s="342" t="s">
        <v>5254</v>
      </c>
      <c r="C5723" s="342" t="str">
        <f>("DR70001AM")</f>
        <v>DR70001AM</v>
      </c>
      <c r="D5723" s="340">
        <v>360</v>
      </c>
      <c r="E5723" s="343"/>
    </row>
    <row r="5724" spans="1:5" s="335" customFormat="1" ht="24">
      <c r="A5724" s="342" t="s">
        <v>5255</v>
      </c>
      <c r="B5724" s="342" t="s">
        <v>5256</v>
      </c>
      <c r="C5724" s="342" t="str">
        <f>("DR70005AM")</f>
        <v>DR70005AM</v>
      </c>
      <c r="D5724" s="340">
        <v>1530</v>
      </c>
      <c r="E5724" s="343"/>
    </row>
    <row r="5725" spans="1:5" s="335" customFormat="1" ht="24">
      <c r="A5725" s="342" t="s">
        <v>5257</v>
      </c>
      <c r="B5725" s="342" t="s">
        <v>5258</v>
      </c>
      <c r="C5725" s="342" t="str">
        <f>("DR70010AM")</f>
        <v>DR70010AM</v>
      </c>
      <c r="D5725" s="340">
        <v>2430</v>
      </c>
      <c r="E5725" s="343"/>
    </row>
    <row r="5726" spans="1:5" s="335" customFormat="1" ht="24">
      <c r="A5726" s="342" t="s">
        <v>5259</v>
      </c>
      <c r="B5726" s="342" t="s">
        <v>5260</v>
      </c>
      <c r="C5726" s="342" t="str">
        <f>("DR70025AM")</f>
        <v>DR70025AM</v>
      </c>
      <c r="D5726" s="340">
        <v>5400</v>
      </c>
      <c r="E5726" s="343"/>
    </row>
    <row r="5727" spans="1:5" s="335" customFormat="1" ht="24">
      <c r="A5727" s="342" t="s">
        <v>5261</v>
      </c>
      <c r="B5727" s="342" t="s">
        <v>5262</v>
      </c>
      <c r="C5727" s="342" t="str">
        <f>("DR70050AM")</f>
        <v>DR70050AM</v>
      </c>
      <c r="D5727" s="340">
        <v>9900</v>
      </c>
      <c r="E5727" s="343"/>
    </row>
    <row r="5728" spans="1:5" s="335" customFormat="1" ht="24">
      <c r="A5728" s="342" t="s">
        <v>5263</v>
      </c>
      <c r="B5728" s="342" t="s">
        <v>5264</v>
      </c>
      <c r="C5728" s="342" t="str">
        <f>("DR70100AM")</f>
        <v>DR70100AM</v>
      </c>
      <c r="D5728" s="340">
        <v>17640</v>
      </c>
      <c r="E5728" s="343"/>
    </row>
    <row r="5729" spans="1:5" s="335" customFormat="1" ht="12.75">
      <c r="A5729" s="403" t="s">
        <v>5061</v>
      </c>
      <c r="B5729" s="403"/>
      <c r="C5729" s="403"/>
      <c r="D5729" s="403"/>
      <c r="E5729" s="343"/>
    </row>
    <row r="5730" spans="1:5" s="335" customFormat="1" ht="24">
      <c r="A5730" s="342" t="s">
        <v>5130</v>
      </c>
      <c r="B5730" s="342" t="s">
        <v>5130</v>
      </c>
      <c r="C5730" s="342" t="str">
        <f>("7640000792")</f>
        <v>7640000792</v>
      </c>
      <c r="D5730" s="340">
        <v>1990</v>
      </c>
      <c r="E5730" s="343"/>
    </row>
    <row r="5731" spans="1:5" s="335" customFormat="1" ht="36">
      <c r="A5731" s="342" t="s">
        <v>5131</v>
      </c>
      <c r="B5731" s="342" t="s">
        <v>5131</v>
      </c>
      <c r="C5731" s="342" t="str">
        <f>("7640000793")</f>
        <v>7640000793</v>
      </c>
      <c r="D5731" s="340">
        <v>3400</v>
      </c>
      <c r="E5731" s="343"/>
    </row>
    <row r="5732" spans="1:5" s="335" customFormat="1" ht="48">
      <c r="A5732" s="342" t="s">
        <v>5132</v>
      </c>
      <c r="B5732" s="342" t="s">
        <v>5132</v>
      </c>
      <c r="C5732" s="342" t="str">
        <f>("7640000794")</f>
        <v>7640000794</v>
      </c>
      <c r="D5732" s="340">
        <v>225</v>
      </c>
      <c r="E5732" s="343"/>
    </row>
    <row r="5733" spans="1:5" s="335" customFormat="1" ht="24">
      <c r="A5733" s="342" t="s">
        <v>5133</v>
      </c>
      <c r="B5733" s="342" t="s">
        <v>5133</v>
      </c>
      <c r="C5733" s="342" t="str">
        <f>("7640000795")</f>
        <v>7640000795</v>
      </c>
      <c r="D5733" s="340">
        <v>2500</v>
      </c>
      <c r="E5733" s="343"/>
    </row>
    <row r="5734" spans="1:5" s="335" customFormat="1" ht="36">
      <c r="A5734" s="342" t="s">
        <v>5134</v>
      </c>
      <c r="B5734" s="342" t="s">
        <v>5134</v>
      </c>
      <c r="C5734" s="342" t="str">
        <f>("7640000796")</f>
        <v>7640000796</v>
      </c>
      <c r="D5734" s="340">
        <v>3500</v>
      </c>
      <c r="E5734" s="343"/>
    </row>
    <row r="5735" spans="1:5" s="335" customFormat="1" ht="24">
      <c r="A5735" s="342" t="s">
        <v>5135</v>
      </c>
      <c r="B5735" s="342" t="s">
        <v>5135</v>
      </c>
      <c r="C5735" s="342" t="str">
        <f>("7640000797")</f>
        <v>7640000797</v>
      </c>
      <c r="D5735" s="340">
        <v>995</v>
      </c>
      <c r="E5735" s="343"/>
    </row>
    <row r="5736" spans="1:5" s="335" customFormat="1" ht="24">
      <c r="A5736" s="342" t="s">
        <v>5136</v>
      </c>
      <c r="B5736" s="342" t="s">
        <v>5136</v>
      </c>
      <c r="C5736" s="342" t="str">
        <f>("7640001335")</f>
        <v>7640001335</v>
      </c>
      <c r="D5736" s="340">
        <v>995</v>
      </c>
      <c r="E5736" s="343"/>
    </row>
    <row r="5737" spans="1:5" s="335" customFormat="1" ht="24">
      <c r="A5737" s="342" t="s">
        <v>5137</v>
      </c>
      <c r="B5737" s="342" t="s">
        <v>5137</v>
      </c>
      <c r="C5737" s="342" t="str">
        <f>("7640001336")</f>
        <v>7640001336</v>
      </c>
      <c r="D5737" s="340">
        <v>2985</v>
      </c>
      <c r="E5737" s="343"/>
    </row>
    <row r="5738" spans="1:5" s="335" customFormat="1" ht="36">
      <c r="A5738" s="342" t="s">
        <v>5138</v>
      </c>
      <c r="B5738" s="342" t="s">
        <v>5138</v>
      </c>
      <c r="C5738" s="342" t="str">
        <f>("7640001337")</f>
        <v>7640001337</v>
      </c>
      <c r="D5738" s="340">
        <v>2750</v>
      </c>
      <c r="E5738" s="343"/>
    </row>
    <row r="5739" spans="1:5" s="335" customFormat="1" ht="36">
      <c r="A5739" s="342" t="s">
        <v>5139</v>
      </c>
      <c r="B5739" s="342" t="s">
        <v>5139</v>
      </c>
      <c r="C5739" s="342" t="str">
        <f>("7640001338")</f>
        <v>7640001338</v>
      </c>
      <c r="D5739" s="340">
        <v>4100</v>
      </c>
      <c r="E5739" s="343"/>
    </row>
    <row r="5740" spans="1:5" s="335" customFormat="1" ht="24">
      <c r="A5740" s="342" t="s">
        <v>5265</v>
      </c>
      <c r="B5740" s="342" t="s">
        <v>5266</v>
      </c>
      <c r="C5740" s="342" t="str">
        <f>("DR20016")</f>
        <v>DR20016</v>
      </c>
      <c r="D5740" s="340">
        <v>1100</v>
      </c>
      <c r="E5740" s="343"/>
    </row>
    <row r="5741" spans="1:5" s="335" customFormat="1" ht="24">
      <c r="A5741" s="342" t="s">
        <v>5267</v>
      </c>
      <c r="B5741" s="342" t="s">
        <v>5268</v>
      </c>
      <c r="C5741" s="342" t="str">
        <f>("DR20017")</f>
        <v>DR20017</v>
      </c>
      <c r="D5741" s="340">
        <v>100</v>
      </c>
      <c r="E5741" s="343"/>
    </row>
    <row r="5742" spans="1:5" s="335" customFormat="1" ht="24">
      <c r="A5742" s="342" t="s">
        <v>5269</v>
      </c>
      <c r="B5742" s="342" t="s">
        <v>5270</v>
      </c>
      <c r="C5742" s="342" t="str">
        <f>("DR80015")</f>
        <v>DR80015</v>
      </c>
      <c r="D5742" s="340">
        <v>250</v>
      </c>
      <c r="E5742" s="343"/>
    </row>
    <row r="5743" spans="1:5" s="335" customFormat="1" ht="24">
      <c r="A5743" s="342" t="s">
        <v>5271</v>
      </c>
      <c r="B5743" s="342" t="s">
        <v>5272</v>
      </c>
      <c r="C5743" s="342" t="str">
        <f>("DR80020")</f>
        <v>DR80020</v>
      </c>
      <c r="D5743" s="340">
        <v>1000</v>
      </c>
      <c r="E5743" s="343"/>
    </row>
    <row r="5744" spans="1:5" s="335" customFormat="1" ht="12.75">
      <c r="A5744" s="344"/>
      <c r="B5744" s="343"/>
      <c r="C5744" s="343"/>
      <c r="D5744" s="395"/>
      <c r="E5744" s="343"/>
    </row>
    <row r="5745" spans="1:5" s="335" customFormat="1" ht="15" customHeight="1">
      <c r="A5745" s="345"/>
      <c r="B5745" s="404" t="s">
        <v>5273</v>
      </c>
      <c r="C5745" s="404"/>
      <c r="D5745" s="404"/>
      <c r="E5745" s="404"/>
    </row>
    <row r="5746" spans="1:5" s="335" customFormat="1" ht="25.5">
      <c r="A5746" s="346" t="s">
        <v>789</v>
      </c>
      <c r="B5746" s="346" t="s">
        <v>409</v>
      </c>
      <c r="C5746" s="346" t="s">
        <v>26</v>
      </c>
      <c r="D5746" s="337" t="s">
        <v>6425</v>
      </c>
      <c r="E5746" s="343"/>
    </row>
    <row r="5747" spans="1:5" s="335" customFormat="1" ht="12.75">
      <c r="A5747" s="342" t="s">
        <v>5274</v>
      </c>
      <c r="B5747" s="342"/>
      <c r="C5747" s="342" t="str">
        <f>("DocSystem")</f>
        <v>DocSystem</v>
      </c>
      <c r="D5747" s="340">
        <v>0</v>
      </c>
      <c r="E5747" s="343"/>
    </row>
    <row r="5748" spans="1:5" s="335" customFormat="1" ht="12.75">
      <c r="A5748" s="402" t="s">
        <v>1587</v>
      </c>
      <c r="B5748" s="402"/>
      <c r="C5748" s="402"/>
      <c r="D5748" s="402"/>
      <c r="E5748" s="343"/>
    </row>
    <row r="5749" spans="1:5" s="335" customFormat="1" ht="24">
      <c r="A5749" s="342" t="s">
        <v>5275</v>
      </c>
      <c r="B5749" s="342" t="s">
        <v>5276</v>
      </c>
      <c r="C5749" s="342" t="s">
        <v>6367</v>
      </c>
      <c r="D5749" s="340">
        <v>495</v>
      </c>
      <c r="E5749" s="343"/>
    </row>
    <row r="5750" spans="1:5" s="335" customFormat="1" ht="14.25">
      <c r="A5750" s="342" t="s">
        <v>5277</v>
      </c>
      <c r="B5750" s="342" t="s">
        <v>5278</v>
      </c>
      <c r="C5750" s="342" t="s">
        <v>6368</v>
      </c>
      <c r="D5750" s="340">
        <v>695</v>
      </c>
      <c r="E5750" s="343"/>
    </row>
    <row r="5751" spans="1:5" s="335" customFormat="1" ht="24">
      <c r="A5751" s="342" t="s">
        <v>5279</v>
      </c>
      <c r="B5751" s="342" t="s">
        <v>5279</v>
      </c>
      <c r="C5751" s="342" t="s">
        <v>6369</v>
      </c>
      <c r="D5751" s="340">
        <v>500</v>
      </c>
      <c r="E5751" s="343"/>
    </row>
    <row r="5752" spans="1:5" s="335" customFormat="1" ht="48">
      <c r="A5752" s="342" t="s">
        <v>5280</v>
      </c>
      <c r="B5752" s="342" t="s">
        <v>5281</v>
      </c>
      <c r="C5752" s="342" t="str">
        <f>("7640012591")</f>
        <v>7640012591</v>
      </c>
      <c r="D5752" s="340">
        <v>1495</v>
      </c>
      <c r="E5752" s="343"/>
    </row>
    <row r="5753" spans="1:5" s="335" customFormat="1" ht="24">
      <c r="A5753" s="342" t="s">
        <v>5282</v>
      </c>
      <c r="B5753" s="342" t="s">
        <v>5283</v>
      </c>
      <c r="C5753" s="342" t="str">
        <f>("7640012592")</f>
        <v>7640012592</v>
      </c>
      <c r="D5753" s="340">
        <v>995</v>
      </c>
      <c r="E5753" s="343"/>
    </row>
    <row r="5754" spans="1:5" s="335" customFormat="1" ht="12.75">
      <c r="A5754" s="403" t="s">
        <v>3153</v>
      </c>
      <c r="B5754" s="403"/>
      <c r="C5754" s="403"/>
      <c r="D5754" s="403"/>
      <c r="E5754" s="343"/>
    </row>
    <row r="5755" spans="1:5" s="335" customFormat="1" ht="24">
      <c r="A5755" s="342" t="s">
        <v>5284</v>
      </c>
      <c r="B5755" s="342" t="s">
        <v>5284</v>
      </c>
      <c r="C5755" s="342" t="s">
        <v>6370</v>
      </c>
      <c r="D5755" s="340">
        <v>7</v>
      </c>
      <c r="E5755" s="343"/>
    </row>
    <row r="5756" spans="1:5" s="335" customFormat="1" ht="24">
      <c r="A5756" s="342" t="s">
        <v>5285</v>
      </c>
      <c r="B5756" s="342" t="s">
        <v>5285</v>
      </c>
      <c r="C5756" s="342" t="s">
        <v>6371</v>
      </c>
      <c r="D5756" s="340">
        <v>10</v>
      </c>
      <c r="E5756" s="343"/>
    </row>
    <row r="5757" spans="1:5" s="335" customFormat="1" ht="24">
      <c r="A5757" s="342" t="s">
        <v>5286</v>
      </c>
      <c r="B5757" s="342" t="s">
        <v>5286</v>
      </c>
      <c r="C5757" s="342" t="str">
        <f>("7640012593")</f>
        <v>7640012593</v>
      </c>
      <c r="D5757" s="340">
        <v>22</v>
      </c>
      <c r="E5757" s="343"/>
    </row>
    <row r="5758" spans="1:5" s="335" customFormat="1" ht="36">
      <c r="A5758" s="342" t="s">
        <v>5287</v>
      </c>
      <c r="B5758" s="342" t="s">
        <v>5287</v>
      </c>
      <c r="C5758" s="342" t="str">
        <f>("7640012594")</f>
        <v>7640012594</v>
      </c>
      <c r="D5758" s="340">
        <v>15</v>
      </c>
      <c r="E5758" s="343"/>
    </row>
    <row r="5759" spans="1:5" s="335" customFormat="1" ht="12.75">
      <c r="A5759" s="403" t="s">
        <v>4208</v>
      </c>
      <c r="B5759" s="403"/>
      <c r="C5759" s="403"/>
      <c r="D5759" s="403"/>
      <c r="E5759" s="343"/>
    </row>
    <row r="5760" spans="1:5" s="335" customFormat="1" ht="24">
      <c r="A5760" s="342" t="s">
        <v>5288</v>
      </c>
      <c r="B5760" s="342" t="s">
        <v>5288</v>
      </c>
      <c r="C5760" s="342" t="str">
        <f>("7640004608")</f>
        <v>7640004608</v>
      </c>
      <c r="D5760" s="340">
        <v>695</v>
      </c>
      <c r="E5760" s="343"/>
    </row>
    <row r="5761" spans="1:5" s="335" customFormat="1" ht="36">
      <c r="A5761" s="342" t="s">
        <v>5289</v>
      </c>
      <c r="B5761" s="342" t="s">
        <v>5289</v>
      </c>
      <c r="C5761" s="342" t="str">
        <f>("7640004609")</f>
        <v>7640004609</v>
      </c>
      <c r="D5761" s="340">
        <v>10.43</v>
      </c>
      <c r="E5761" s="343"/>
    </row>
    <row r="5762" spans="1:5" s="335" customFormat="1" ht="12.75">
      <c r="A5762" s="342" t="s">
        <v>5290</v>
      </c>
      <c r="B5762" s="342" t="s">
        <v>5291</v>
      </c>
      <c r="C5762" s="342" t="str">
        <f>("7640006871")</f>
        <v>7640006871</v>
      </c>
      <c r="D5762" s="340">
        <v>495</v>
      </c>
      <c r="E5762" s="343"/>
    </row>
    <row r="5763" spans="1:5" s="335" customFormat="1" ht="12.75">
      <c r="A5763" s="403" t="s">
        <v>5061</v>
      </c>
      <c r="B5763" s="403"/>
      <c r="C5763" s="403"/>
      <c r="D5763" s="403"/>
      <c r="E5763" s="343"/>
    </row>
    <row r="5764" spans="1:5" s="335" customFormat="1" ht="24">
      <c r="A5764" s="342" t="s">
        <v>5130</v>
      </c>
      <c r="B5764" s="342" t="s">
        <v>5130</v>
      </c>
      <c r="C5764" s="342" t="str">
        <f>("7640000792")</f>
        <v>7640000792</v>
      </c>
      <c r="D5764" s="340">
        <v>1990</v>
      </c>
      <c r="E5764" s="343"/>
    </row>
    <row r="5765" spans="1:5" s="335" customFormat="1" ht="36">
      <c r="A5765" s="342" t="s">
        <v>5131</v>
      </c>
      <c r="B5765" s="342" t="s">
        <v>5131</v>
      </c>
      <c r="C5765" s="342" t="str">
        <f>("7640000793")</f>
        <v>7640000793</v>
      </c>
      <c r="D5765" s="340">
        <v>3400</v>
      </c>
      <c r="E5765" s="343"/>
    </row>
    <row r="5766" spans="1:5" s="335" customFormat="1" ht="48">
      <c r="A5766" s="342" t="s">
        <v>5132</v>
      </c>
      <c r="B5766" s="342" t="s">
        <v>5132</v>
      </c>
      <c r="C5766" s="342" t="str">
        <f>("7640000794")</f>
        <v>7640000794</v>
      </c>
      <c r="D5766" s="340">
        <v>225</v>
      </c>
      <c r="E5766" s="343"/>
    </row>
    <row r="5767" spans="1:5" s="335" customFormat="1" ht="24">
      <c r="A5767" s="342" t="s">
        <v>5133</v>
      </c>
      <c r="B5767" s="342" t="s">
        <v>5133</v>
      </c>
      <c r="C5767" s="342" t="str">
        <f>("7640000795")</f>
        <v>7640000795</v>
      </c>
      <c r="D5767" s="340">
        <v>2500</v>
      </c>
      <c r="E5767" s="343"/>
    </row>
    <row r="5768" spans="1:5" s="335" customFormat="1" ht="36">
      <c r="A5768" s="342" t="s">
        <v>5134</v>
      </c>
      <c r="B5768" s="342" t="s">
        <v>5134</v>
      </c>
      <c r="C5768" s="342" t="str">
        <f>("7640000796")</f>
        <v>7640000796</v>
      </c>
      <c r="D5768" s="340">
        <v>3500</v>
      </c>
      <c r="E5768" s="343"/>
    </row>
    <row r="5769" spans="1:5" s="335" customFormat="1" ht="24">
      <c r="A5769" s="342" t="s">
        <v>5135</v>
      </c>
      <c r="B5769" s="342" t="s">
        <v>5135</v>
      </c>
      <c r="C5769" s="342" t="str">
        <f>("7640000797")</f>
        <v>7640000797</v>
      </c>
      <c r="D5769" s="340">
        <v>995</v>
      </c>
      <c r="E5769" s="343"/>
    </row>
    <row r="5770" spans="1:5" s="335" customFormat="1" ht="24">
      <c r="A5770" s="342" t="s">
        <v>5136</v>
      </c>
      <c r="B5770" s="342" t="s">
        <v>5136</v>
      </c>
      <c r="C5770" s="342" t="str">
        <f>("7640001335")</f>
        <v>7640001335</v>
      </c>
      <c r="D5770" s="340">
        <v>995</v>
      </c>
      <c r="E5770" s="343"/>
    </row>
    <row r="5771" spans="1:5" s="335" customFormat="1" ht="24">
      <c r="A5771" s="342" t="s">
        <v>5137</v>
      </c>
      <c r="B5771" s="342" t="s">
        <v>5137</v>
      </c>
      <c r="C5771" s="342" t="str">
        <f>("7640001336")</f>
        <v>7640001336</v>
      </c>
      <c r="D5771" s="340">
        <v>2985</v>
      </c>
      <c r="E5771" s="343"/>
    </row>
    <row r="5772" spans="1:5" s="335" customFormat="1" ht="36">
      <c r="A5772" s="342" t="s">
        <v>5138</v>
      </c>
      <c r="B5772" s="342" t="s">
        <v>5138</v>
      </c>
      <c r="C5772" s="342" t="str">
        <f>("7640001337")</f>
        <v>7640001337</v>
      </c>
      <c r="D5772" s="340">
        <v>2750</v>
      </c>
      <c r="E5772" s="343"/>
    </row>
    <row r="5773" spans="1:5" s="335" customFormat="1" ht="36">
      <c r="A5773" s="342" t="s">
        <v>5139</v>
      </c>
      <c r="B5773" s="342" t="s">
        <v>5139</v>
      </c>
      <c r="C5773" s="342" t="str">
        <f>("7640001338")</f>
        <v>7640001338</v>
      </c>
      <c r="D5773" s="340">
        <v>4100</v>
      </c>
      <c r="E5773" s="343"/>
    </row>
    <row r="5774" spans="1:5" s="335" customFormat="1" ht="12.75">
      <c r="A5774" s="344"/>
      <c r="B5774" s="343"/>
      <c r="C5774" s="343"/>
      <c r="D5774" s="395"/>
      <c r="E5774" s="343"/>
    </row>
    <row r="5775" spans="1:5" s="335" customFormat="1" ht="15" customHeight="1">
      <c r="A5775" s="345"/>
      <c r="B5775" s="404" t="s">
        <v>5292</v>
      </c>
      <c r="C5775" s="404"/>
      <c r="D5775" s="404"/>
      <c r="E5775" s="404"/>
    </row>
    <row r="5776" spans="1:5" s="335" customFormat="1" ht="25.5">
      <c r="A5776" s="346" t="s">
        <v>789</v>
      </c>
      <c r="B5776" s="346" t="s">
        <v>409</v>
      </c>
      <c r="C5776" s="346" t="s">
        <v>26</v>
      </c>
      <c r="D5776" s="337" t="s">
        <v>6425</v>
      </c>
      <c r="E5776" s="343"/>
    </row>
    <row r="5777" spans="1:5" s="335" customFormat="1" ht="24">
      <c r="A5777" s="342" t="s">
        <v>5293</v>
      </c>
      <c r="B5777" s="342"/>
      <c r="C5777" s="342" t="str">
        <f>("prism_GroupPoint")</f>
        <v>prism_GroupPoint</v>
      </c>
      <c r="D5777" s="340">
        <v>0</v>
      </c>
      <c r="E5777" s="343"/>
    </row>
    <row r="5778" spans="1:5" s="335" customFormat="1" ht="12.75">
      <c r="A5778" s="403" t="s">
        <v>5294</v>
      </c>
      <c r="B5778" s="403"/>
      <c r="C5778" s="403"/>
      <c r="D5778" s="403"/>
      <c r="E5778" s="343"/>
    </row>
    <row r="5779" spans="1:5" s="335" customFormat="1" ht="24">
      <c r="A5779" s="342" t="s">
        <v>5295</v>
      </c>
      <c r="B5779" s="342" t="s">
        <v>5296</v>
      </c>
      <c r="C5779" s="342" t="str">
        <f>("7640008453")</f>
        <v>7640008453</v>
      </c>
      <c r="D5779" s="340">
        <v>395</v>
      </c>
      <c r="E5779" s="343"/>
    </row>
    <row r="5780" spans="1:5" s="335" customFormat="1" ht="24">
      <c r="A5780" s="342" t="s">
        <v>5297</v>
      </c>
      <c r="B5780" s="342" t="s">
        <v>5298</v>
      </c>
      <c r="C5780" s="342" t="str">
        <f>("7640008454")</f>
        <v>7640008454</v>
      </c>
      <c r="D5780" s="340">
        <v>995</v>
      </c>
      <c r="E5780" s="343"/>
    </row>
    <row r="5781" spans="1:5" s="335" customFormat="1" ht="24">
      <c r="A5781" s="342" t="s">
        <v>5299</v>
      </c>
      <c r="B5781" s="342" t="s">
        <v>5300</v>
      </c>
      <c r="C5781" s="342" t="str">
        <f>("7640008455")</f>
        <v>7640008455</v>
      </c>
      <c r="D5781" s="340">
        <v>1495</v>
      </c>
      <c r="E5781" s="343"/>
    </row>
    <row r="5782" spans="1:5" s="335" customFormat="1" ht="24">
      <c r="A5782" s="342" t="s">
        <v>5301</v>
      </c>
      <c r="B5782" s="342" t="s">
        <v>5302</v>
      </c>
      <c r="C5782" s="342" t="str">
        <f>("7640008456")</f>
        <v>7640008456</v>
      </c>
      <c r="D5782" s="340">
        <v>2895</v>
      </c>
      <c r="E5782" s="343"/>
    </row>
    <row r="5783" spans="1:5" s="335" customFormat="1" ht="24">
      <c r="A5783" s="342" t="s">
        <v>5303</v>
      </c>
      <c r="B5783" s="342" t="s">
        <v>5304</v>
      </c>
      <c r="C5783" s="342" t="str">
        <f>("7640008457")</f>
        <v>7640008457</v>
      </c>
      <c r="D5783" s="340">
        <v>100</v>
      </c>
      <c r="E5783" s="343"/>
    </row>
    <row r="5784" spans="1:5" s="335" customFormat="1" ht="12.75">
      <c r="A5784" s="342" t="s">
        <v>5305</v>
      </c>
      <c r="B5784" s="342" t="s">
        <v>5306</v>
      </c>
      <c r="C5784" s="342" t="str">
        <f>("7640008458")</f>
        <v>7640008458</v>
      </c>
      <c r="D5784" s="340">
        <v>595</v>
      </c>
      <c r="E5784" s="343"/>
    </row>
    <row r="5785" spans="1:5" s="335" customFormat="1" ht="24">
      <c r="A5785" s="342" t="s">
        <v>5307</v>
      </c>
      <c r="B5785" s="342" t="s">
        <v>5308</v>
      </c>
      <c r="C5785" s="342" t="str">
        <f>("7640008459")</f>
        <v>7640008459</v>
      </c>
      <c r="D5785" s="340">
        <v>5.93</v>
      </c>
      <c r="E5785" s="343"/>
    </row>
    <row r="5786" spans="1:5" s="335" customFormat="1" ht="24">
      <c r="A5786" s="342" t="s">
        <v>5309</v>
      </c>
      <c r="B5786" s="342" t="s">
        <v>5310</v>
      </c>
      <c r="C5786" s="342" t="str">
        <f>("7640008460")</f>
        <v>7640008460</v>
      </c>
      <c r="D5786" s="340">
        <v>14.93</v>
      </c>
      <c r="E5786" s="343"/>
    </row>
    <row r="5787" spans="1:5" s="335" customFormat="1" ht="24">
      <c r="A5787" s="342" t="s">
        <v>5311</v>
      </c>
      <c r="B5787" s="342" t="s">
        <v>5312</v>
      </c>
      <c r="C5787" s="342" t="str">
        <f>("7640008461")</f>
        <v>7640008461</v>
      </c>
      <c r="D5787" s="340">
        <v>22.43</v>
      </c>
      <c r="E5787" s="343"/>
    </row>
    <row r="5788" spans="1:5" s="335" customFormat="1" ht="24">
      <c r="A5788" s="342" t="s">
        <v>5313</v>
      </c>
      <c r="B5788" s="342" t="s">
        <v>5314</v>
      </c>
      <c r="C5788" s="342" t="str">
        <f>("7640008462")</f>
        <v>7640008462</v>
      </c>
      <c r="D5788" s="340">
        <v>43.43</v>
      </c>
      <c r="E5788" s="343"/>
    </row>
    <row r="5789" spans="1:5" s="335" customFormat="1" ht="24">
      <c r="A5789" s="342" t="s">
        <v>5315</v>
      </c>
      <c r="B5789" s="342" t="s">
        <v>5316</v>
      </c>
      <c r="C5789" s="342" t="str">
        <f>("7640008463")</f>
        <v>7640008463</v>
      </c>
      <c r="D5789" s="340">
        <v>1.5</v>
      </c>
      <c r="E5789" s="343"/>
    </row>
    <row r="5790" spans="1:5" s="335" customFormat="1" ht="12.75">
      <c r="A5790" s="344"/>
      <c r="B5790" s="343"/>
      <c r="C5790" s="343"/>
      <c r="D5790" s="395"/>
      <c r="E5790" s="343"/>
    </row>
    <row r="5791" spans="1:5" s="335" customFormat="1" ht="15" customHeight="1">
      <c r="A5791" s="345"/>
      <c r="B5791" s="404" t="s">
        <v>5317</v>
      </c>
      <c r="C5791" s="404"/>
      <c r="D5791" s="404"/>
      <c r="E5791" s="404"/>
    </row>
    <row r="5792" spans="1:5" s="335" customFormat="1" ht="25.5">
      <c r="A5792" s="346" t="s">
        <v>789</v>
      </c>
      <c r="B5792" s="346" t="s">
        <v>409</v>
      </c>
      <c r="C5792" s="346" t="s">
        <v>26</v>
      </c>
      <c r="D5792" s="337" t="s">
        <v>6425</v>
      </c>
      <c r="E5792" s="343"/>
    </row>
    <row r="5793" spans="1:5" s="335" customFormat="1" ht="26.25">
      <c r="A5793" s="342" t="s">
        <v>5318</v>
      </c>
      <c r="B5793" s="342" t="s">
        <v>5318</v>
      </c>
      <c r="C5793" s="342" t="s">
        <v>6372</v>
      </c>
      <c r="D5793" s="340">
        <v>0</v>
      </c>
      <c r="E5793" s="343"/>
    </row>
    <row r="5794" spans="1:5" s="335" customFormat="1" ht="12.75">
      <c r="A5794" s="403" t="s">
        <v>792</v>
      </c>
      <c r="B5794" s="403"/>
      <c r="C5794" s="403"/>
      <c r="D5794" s="403"/>
      <c r="E5794" s="343"/>
    </row>
    <row r="5795" spans="1:5" s="335" customFormat="1" ht="48">
      <c r="A5795" s="342" t="s">
        <v>5319</v>
      </c>
      <c r="B5795" s="342" t="s">
        <v>5319</v>
      </c>
      <c r="C5795" s="342" t="str">
        <f>("SP20001")</f>
        <v>SP20001</v>
      </c>
      <c r="D5795" s="340">
        <v>785</v>
      </c>
      <c r="E5795" s="343"/>
    </row>
    <row r="5796" spans="1:5" s="335" customFormat="1" ht="48">
      <c r="A5796" s="342" t="s">
        <v>5320</v>
      </c>
      <c r="B5796" s="342" t="s">
        <v>5320</v>
      </c>
      <c r="C5796" s="342" t="str">
        <f>("SP20005")</f>
        <v>SP20005</v>
      </c>
      <c r="D5796" s="340">
        <v>942</v>
      </c>
      <c r="E5796" s="343"/>
    </row>
    <row r="5797" spans="1:5" s="335" customFormat="1" ht="12.75">
      <c r="A5797" s="403" t="s">
        <v>819</v>
      </c>
      <c r="B5797" s="403"/>
      <c r="C5797" s="403"/>
      <c r="D5797" s="403"/>
      <c r="E5797" s="343"/>
    </row>
    <row r="5798" spans="1:5" s="335" customFormat="1" ht="48">
      <c r="A5798" s="342" t="s">
        <v>5321</v>
      </c>
      <c r="B5798" s="342" t="s">
        <v>5321</v>
      </c>
      <c r="C5798" s="342" t="str">
        <f>("SP20020")</f>
        <v>SP20020</v>
      </c>
      <c r="D5798" s="340">
        <v>325</v>
      </c>
      <c r="E5798" s="343"/>
    </row>
    <row r="5799" spans="1:5" s="335" customFormat="1" ht="60">
      <c r="A5799" s="342" t="s">
        <v>5322</v>
      </c>
      <c r="B5799" s="342" t="s">
        <v>5322</v>
      </c>
      <c r="C5799" s="342" t="str">
        <f>("SP20025")</f>
        <v>SP20025</v>
      </c>
      <c r="D5799" s="340">
        <v>395</v>
      </c>
      <c r="E5799" s="343"/>
    </row>
    <row r="5800" spans="1:5" s="335" customFormat="1" ht="60">
      <c r="A5800" s="342" t="s">
        <v>5323</v>
      </c>
      <c r="B5800" s="342" t="s">
        <v>5324</v>
      </c>
      <c r="C5800" s="342" t="str">
        <f>("SP21001")</f>
        <v>SP21001</v>
      </c>
      <c r="D5800" s="340">
        <v>595</v>
      </c>
      <c r="E5800" s="343"/>
    </row>
    <row r="5801" spans="1:5" s="335" customFormat="1" ht="60">
      <c r="A5801" s="342" t="s">
        <v>5325</v>
      </c>
      <c r="B5801" s="342" t="s">
        <v>5326</v>
      </c>
      <c r="C5801" s="342" t="str">
        <f>("SP21002")</f>
        <v>SP21002</v>
      </c>
      <c r="D5801" s="340">
        <v>595</v>
      </c>
      <c r="E5801" s="343"/>
    </row>
    <row r="5802" spans="1:5" s="335" customFormat="1" ht="72">
      <c r="A5802" s="342" t="s">
        <v>5327</v>
      </c>
      <c r="B5802" s="342" t="s">
        <v>5328</v>
      </c>
      <c r="C5802" s="342" t="str">
        <f>("SP21003")</f>
        <v>SP21003</v>
      </c>
      <c r="D5802" s="340">
        <v>695</v>
      </c>
      <c r="E5802" s="343"/>
    </row>
    <row r="5803" spans="1:5" s="335" customFormat="1" ht="60">
      <c r="A5803" s="342" t="s">
        <v>5329</v>
      </c>
      <c r="B5803" s="342" t="s">
        <v>5330</v>
      </c>
      <c r="C5803" s="342" t="str">
        <f>("SP21004")</f>
        <v>SP21004</v>
      </c>
      <c r="D5803" s="340">
        <v>695</v>
      </c>
      <c r="E5803" s="343"/>
    </row>
    <row r="5804" spans="1:5" s="335" customFormat="1" ht="72">
      <c r="A5804" s="342" t="s">
        <v>5331</v>
      </c>
      <c r="B5804" s="342" t="s">
        <v>5332</v>
      </c>
      <c r="C5804" s="342" t="str">
        <f>("SP21005")</f>
        <v>SP21005</v>
      </c>
      <c r="D5804" s="340">
        <v>695</v>
      </c>
      <c r="E5804" s="343"/>
    </row>
    <row r="5805" spans="1:5" s="335" customFormat="1" ht="72">
      <c r="A5805" s="342" t="s">
        <v>5333</v>
      </c>
      <c r="B5805" s="342" t="s">
        <v>5334</v>
      </c>
      <c r="C5805" s="342" t="str">
        <f>("SP21006")</f>
        <v>SP21006</v>
      </c>
      <c r="D5805" s="340">
        <v>695</v>
      </c>
      <c r="E5805" s="343"/>
    </row>
    <row r="5806" spans="1:5" s="335" customFormat="1" ht="72">
      <c r="A5806" s="342" t="s">
        <v>5335</v>
      </c>
      <c r="B5806" s="342" t="s">
        <v>5336</v>
      </c>
      <c r="C5806" s="342" t="str">
        <f>("SP21008")</f>
        <v>SP21008</v>
      </c>
      <c r="D5806" s="340">
        <v>695</v>
      </c>
      <c r="E5806" s="343"/>
    </row>
    <row r="5807" spans="1:5" s="335" customFormat="1" ht="72">
      <c r="A5807" s="342" t="s">
        <v>5337</v>
      </c>
      <c r="B5807" s="342" t="s">
        <v>5338</v>
      </c>
      <c r="C5807" s="342" t="str">
        <f>("SP21010")</f>
        <v>SP21010</v>
      </c>
      <c r="D5807" s="340">
        <v>695</v>
      </c>
      <c r="E5807" s="343"/>
    </row>
    <row r="5808" spans="1:5" s="335" customFormat="1" ht="108">
      <c r="A5808" s="342" t="s">
        <v>5339</v>
      </c>
      <c r="B5808" s="342" t="s">
        <v>5340</v>
      </c>
      <c r="C5808" s="342" t="str">
        <f>("SP21013")</f>
        <v>SP21013</v>
      </c>
      <c r="D5808" s="340">
        <v>1095</v>
      </c>
      <c r="E5808" s="343"/>
    </row>
    <row r="5809" spans="1:5" s="335" customFormat="1" ht="60">
      <c r="A5809" s="342" t="s">
        <v>5341</v>
      </c>
      <c r="B5809" s="342" t="s">
        <v>5342</v>
      </c>
      <c r="C5809" s="342" t="str">
        <f>("SP22001")</f>
        <v>SP22001</v>
      </c>
      <c r="D5809" s="340">
        <v>695</v>
      </c>
      <c r="E5809" s="343"/>
    </row>
    <row r="5810" spans="1:5" s="335" customFormat="1" ht="60">
      <c r="A5810" s="342" t="s">
        <v>5343</v>
      </c>
      <c r="B5810" s="342" t="s">
        <v>5344</v>
      </c>
      <c r="C5810" s="342" t="str">
        <f>("SP22002")</f>
        <v>SP22002</v>
      </c>
      <c r="D5810" s="340">
        <v>695</v>
      </c>
      <c r="E5810" s="343"/>
    </row>
    <row r="5811" spans="1:5" s="335" customFormat="1" ht="72">
      <c r="A5811" s="342" t="s">
        <v>5345</v>
      </c>
      <c r="B5811" s="342" t="s">
        <v>5346</v>
      </c>
      <c r="C5811" s="342" t="str">
        <f>("SP22003")</f>
        <v>SP22003</v>
      </c>
      <c r="D5811" s="340">
        <v>849</v>
      </c>
      <c r="E5811" s="343"/>
    </row>
    <row r="5812" spans="1:5" s="335" customFormat="1" ht="60">
      <c r="A5812" s="342" t="s">
        <v>5347</v>
      </c>
      <c r="B5812" s="342" t="s">
        <v>5348</v>
      </c>
      <c r="C5812" s="342" t="str">
        <f>("SP22004")</f>
        <v>SP22004</v>
      </c>
      <c r="D5812" s="340">
        <v>849</v>
      </c>
      <c r="E5812" s="343"/>
    </row>
    <row r="5813" spans="1:5" s="335" customFormat="1" ht="72">
      <c r="A5813" s="342" t="s">
        <v>5349</v>
      </c>
      <c r="B5813" s="342" t="s">
        <v>5350</v>
      </c>
      <c r="C5813" s="342" t="str">
        <f>("SP22005")</f>
        <v>SP22005</v>
      </c>
      <c r="D5813" s="340">
        <v>849</v>
      </c>
      <c r="E5813" s="343"/>
    </row>
    <row r="5814" spans="1:5" s="335" customFormat="1" ht="72">
      <c r="A5814" s="342" t="s">
        <v>5351</v>
      </c>
      <c r="B5814" s="342" t="s">
        <v>5352</v>
      </c>
      <c r="C5814" s="342" t="str">
        <f>("SP22006")</f>
        <v>SP22006</v>
      </c>
      <c r="D5814" s="340">
        <v>849</v>
      </c>
      <c r="E5814" s="343"/>
    </row>
    <row r="5815" spans="1:5" s="335" customFormat="1" ht="72">
      <c r="A5815" s="342" t="s">
        <v>5353</v>
      </c>
      <c r="B5815" s="342" t="s">
        <v>5354</v>
      </c>
      <c r="C5815" s="342" t="str">
        <f>("SP22008")</f>
        <v>SP22008</v>
      </c>
      <c r="D5815" s="340">
        <v>849</v>
      </c>
      <c r="E5815" s="343"/>
    </row>
    <row r="5816" spans="1:5" s="335" customFormat="1" ht="72">
      <c r="A5816" s="342" t="s">
        <v>5355</v>
      </c>
      <c r="B5816" s="342" t="s">
        <v>5356</v>
      </c>
      <c r="C5816" s="342" t="str">
        <f>("SP22010")</f>
        <v>SP22010</v>
      </c>
      <c r="D5816" s="340">
        <v>849</v>
      </c>
      <c r="E5816" s="343"/>
    </row>
    <row r="5817" spans="1:5" s="335" customFormat="1" ht="96">
      <c r="A5817" s="342" t="s">
        <v>5357</v>
      </c>
      <c r="B5817" s="342" t="s">
        <v>5358</v>
      </c>
      <c r="C5817" s="342" t="str">
        <f>("SP22013")</f>
        <v>SP22013</v>
      </c>
      <c r="D5817" s="340">
        <v>1395</v>
      </c>
      <c r="E5817" s="343"/>
    </row>
    <row r="5818" spans="1:5" s="335" customFormat="1" ht="72">
      <c r="A5818" s="342" t="s">
        <v>5359</v>
      </c>
      <c r="B5818" s="342" t="s">
        <v>5359</v>
      </c>
      <c r="C5818" s="342" t="str">
        <f>("SP80001")</f>
        <v>SP80001</v>
      </c>
      <c r="D5818" s="340">
        <v>784.7</v>
      </c>
      <c r="E5818" s="343"/>
    </row>
    <row r="5819" spans="1:5" s="335" customFormat="1" ht="12.75">
      <c r="A5819" s="403" t="s">
        <v>3121</v>
      </c>
      <c r="B5819" s="403"/>
      <c r="C5819" s="403"/>
      <c r="D5819" s="403"/>
      <c r="E5819" s="343"/>
    </row>
    <row r="5820" spans="1:5" s="335" customFormat="1" ht="48">
      <c r="A5820" s="342" t="s">
        <v>5360</v>
      </c>
      <c r="B5820" s="342" t="s">
        <v>5360</v>
      </c>
      <c r="C5820" s="342" t="str">
        <f>("7640000790")</f>
        <v>7640000790</v>
      </c>
      <c r="D5820" s="340">
        <v>360</v>
      </c>
      <c r="E5820" s="343"/>
    </row>
    <row r="5821" spans="1:5" s="335" customFormat="1" ht="12.75">
      <c r="A5821" s="403" t="s">
        <v>5061</v>
      </c>
      <c r="B5821" s="403"/>
      <c r="C5821" s="403"/>
      <c r="D5821" s="403"/>
      <c r="E5821" s="343"/>
    </row>
    <row r="5822" spans="1:5" s="335" customFormat="1" ht="24">
      <c r="A5822" s="342" t="s">
        <v>5130</v>
      </c>
      <c r="B5822" s="342" t="s">
        <v>5130</v>
      </c>
      <c r="C5822" s="342" t="str">
        <f>("7640000792")</f>
        <v>7640000792</v>
      </c>
      <c r="D5822" s="340">
        <v>1990</v>
      </c>
      <c r="E5822" s="343"/>
    </row>
    <row r="5823" spans="1:5" s="335" customFormat="1" ht="36">
      <c r="A5823" s="342" t="s">
        <v>5131</v>
      </c>
      <c r="B5823" s="342" t="s">
        <v>5131</v>
      </c>
      <c r="C5823" s="342" t="str">
        <f>("7640000793")</f>
        <v>7640000793</v>
      </c>
      <c r="D5823" s="340">
        <v>3400</v>
      </c>
      <c r="E5823" s="343"/>
    </row>
    <row r="5824" spans="1:5" s="335" customFormat="1" ht="48">
      <c r="A5824" s="342" t="s">
        <v>5132</v>
      </c>
      <c r="B5824" s="342" t="s">
        <v>5132</v>
      </c>
      <c r="C5824" s="342" t="str">
        <f>("7640000794")</f>
        <v>7640000794</v>
      </c>
      <c r="D5824" s="340">
        <v>225</v>
      </c>
      <c r="E5824" s="343"/>
    </row>
    <row r="5825" spans="1:5" s="335" customFormat="1" ht="24">
      <c r="A5825" s="342" t="s">
        <v>5133</v>
      </c>
      <c r="B5825" s="342" t="s">
        <v>5133</v>
      </c>
      <c r="C5825" s="342" t="str">
        <f>("7640000795")</f>
        <v>7640000795</v>
      </c>
      <c r="D5825" s="340">
        <v>2500</v>
      </c>
      <c r="E5825" s="343"/>
    </row>
    <row r="5826" spans="1:5" s="335" customFormat="1" ht="36">
      <c r="A5826" s="342" t="s">
        <v>5134</v>
      </c>
      <c r="B5826" s="342" t="s">
        <v>5134</v>
      </c>
      <c r="C5826" s="342" t="str">
        <f>("7640000796")</f>
        <v>7640000796</v>
      </c>
      <c r="D5826" s="340">
        <v>3500</v>
      </c>
      <c r="E5826" s="343"/>
    </row>
    <row r="5827" spans="1:5" s="335" customFormat="1" ht="24">
      <c r="A5827" s="342" t="s">
        <v>5135</v>
      </c>
      <c r="B5827" s="342" t="s">
        <v>5135</v>
      </c>
      <c r="C5827" s="342" t="str">
        <f>("7640000797")</f>
        <v>7640000797</v>
      </c>
      <c r="D5827" s="340">
        <v>995</v>
      </c>
      <c r="E5827" s="343"/>
    </row>
    <row r="5828" spans="1:5" s="335" customFormat="1" ht="24">
      <c r="A5828" s="342" t="s">
        <v>5136</v>
      </c>
      <c r="B5828" s="342" t="s">
        <v>5136</v>
      </c>
      <c r="C5828" s="342" t="str">
        <f>("7640001335")</f>
        <v>7640001335</v>
      </c>
      <c r="D5828" s="340">
        <v>995</v>
      </c>
      <c r="E5828" s="343"/>
    </row>
    <row r="5829" spans="1:5" s="335" customFormat="1" ht="24">
      <c r="A5829" s="342" t="s">
        <v>5137</v>
      </c>
      <c r="B5829" s="342" t="s">
        <v>5137</v>
      </c>
      <c r="C5829" s="342" t="str">
        <f>("7640001336")</f>
        <v>7640001336</v>
      </c>
      <c r="D5829" s="340">
        <v>2985</v>
      </c>
      <c r="E5829" s="343"/>
    </row>
    <row r="5830" spans="1:5" s="335" customFormat="1" ht="36">
      <c r="A5830" s="342" t="s">
        <v>5138</v>
      </c>
      <c r="B5830" s="342" t="s">
        <v>5138</v>
      </c>
      <c r="C5830" s="342" t="str">
        <f>("7640001337")</f>
        <v>7640001337</v>
      </c>
      <c r="D5830" s="340">
        <v>2750</v>
      </c>
      <c r="E5830" s="343"/>
    </row>
    <row r="5831" spans="1:5" s="335" customFormat="1" ht="36">
      <c r="A5831" s="342" t="s">
        <v>5139</v>
      </c>
      <c r="B5831" s="342" t="s">
        <v>5139</v>
      </c>
      <c r="C5831" s="342" t="str">
        <f>("7640001338")</f>
        <v>7640001338</v>
      </c>
      <c r="D5831" s="340">
        <v>4100</v>
      </c>
      <c r="E5831" s="343"/>
    </row>
    <row r="5832" spans="1:5" s="335" customFormat="1" ht="48">
      <c r="A5832" s="342" t="s">
        <v>5361</v>
      </c>
      <c r="B5832" s="342" t="s">
        <v>5362</v>
      </c>
      <c r="C5832" s="342" t="str">
        <f>("SP50001")</f>
        <v>SP50001</v>
      </c>
      <c r="D5832" s="340">
        <v>550</v>
      </c>
      <c r="E5832" s="343"/>
    </row>
    <row r="5833" spans="1:5" s="335" customFormat="1" ht="72">
      <c r="A5833" s="342" t="s">
        <v>5363</v>
      </c>
      <c r="B5833" s="342" t="s">
        <v>5364</v>
      </c>
      <c r="C5833" s="342" t="str">
        <f>("SP50005")</f>
        <v>SP50005</v>
      </c>
      <c r="D5833" s="340">
        <v>150</v>
      </c>
      <c r="E5833" s="343"/>
    </row>
    <row r="5834" spans="1:5" s="335" customFormat="1" ht="12.75">
      <c r="A5834" s="403" t="s">
        <v>2586</v>
      </c>
      <c r="B5834" s="403"/>
      <c r="C5834" s="403"/>
      <c r="D5834" s="403"/>
      <c r="E5834" s="343"/>
    </row>
    <row r="5835" spans="1:5" s="335" customFormat="1" ht="48">
      <c r="A5835" s="342" t="s">
        <v>5365</v>
      </c>
      <c r="B5835" s="342" t="s">
        <v>5365</v>
      </c>
      <c r="C5835" s="342" t="str">
        <f>("SP20001M")</f>
        <v>SP20001M</v>
      </c>
      <c r="D5835" s="340">
        <v>141.30000000000001</v>
      </c>
      <c r="E5835" s="343"/>
    </row>
    <row r="5836" spans="1:5" s="335" customFormat="1" ht="48">
      <c r="A5836" s="342" t="s">
        <v>5366</v>
      </c>
      <c r="B5836" s="342" t="s">
        <v>5366</v>
      </c>
      <c r="C5836" s="342" t="str">
        <f>("SP20001M5")</f>
        <v>SP20001M5</v>
      </c>
      <c r="D5836" s="340">
        <v>489.84</v>
      </c>
      <c r="E5836" s="343"/>
    </row>
    <row r="5837" spans="1:5" s="335" customFormat="1" ht="48">
      <c r="A5837" s="342" t="s">
        <v>5367</v>
      </c>
      <c r="B5837" s="342" t="s">
        <v>5367</v>
      </c>
      <c r="C5837" s="342" t="str">
        <f>("SP20020M")</f>
        <v>SP20020M</v>
      </c>
      <c r="D5837" s="340">
        <v>58.5</v>
      </c>
      <c r="E5837" s="343"/>
    </row>
    <row r="5838" spans="1:5" s="335" customFormat="1" ht="48">
      <c r="A5838" s="342" t="s">
        <v>5368</v>
      </c>
      <c r="B5838" s="342" t="s">
        <v>5368</v>
      </c>
      <c r="C5838" s="342" t="str">
        <f>("SP20020M5")</f>
        <v>SP20020M5</v>
      </c>
      <c r="D5838" s="340">
        <v>205.4</v>
      </c>
      <c r="E5838" s="343"/>
    </row>
    <row r="5839" spans="1:5" s="335" customFormat="1" ht="48">
      <c r="A5839" s="342" t="s">
        <v>5369</v>
      </c>
      <c r="B5839" s="342" t="s">
        <v>5369</v>
      </c>
      <c r="C5839" s="342" t="str">
        <f>("SP21001M")</f>
        <v>SP21001M</v>
      </c>
      <c r="D5839" s="340">
        <v>107.1</v>
      </c>
      <c r="E5839" s="343"/>
    </row>
    <row r="5840" spans="1:5" s="335" customFormat="1" ht="48">
      <c r="A5840" s="342" t="s">
        <v>5370</v>
      </c>
      <c r="B5840" s="342" t="s">
        <v>5370</v>
      </c>
      <c r="C5840" s="342" t="str">
        <f>("SP21001M5")</f>
        <v>SP21001M5</v>
      </c>
      <c r="D5840" s="340">
        <v>361.4</v>
      </c>
      <c r="E5840" s="343"/>
    </row>
    <row r="5841" spans="1:5" s="335" customFormat="1" ht="48">
      <c r="A5841" s="342" t="s">
        <v>5371</v>
      </c>
      <c r="B5841" s="342" t="s">
        <v>5371</v>
      </c>
      <c r="C5841" s="342" t="str">
        <f>("SP21002M")</f>
        <v>SP21002M</v>
      </c>
      <c r="D5841" s="340">
        <v>107.1</v>
      </c>
      <c r="E5841" s="343"/>
    </row>
    <row r="5842" spans="1:5" s="335" customFormat="1" ht="48">
      <c r="A5842" s="342" t="s">
        <v>5372</v>
      </c>
      <c r="B5842" s="342" t="s">
        <v>5372</v>
      </c>
      <c r="C5842" s="342" t="str">
        <f>("SP21002M5")</f>
        <v>SP21002M5</v>
      </c>
      <c r="D5842" s="340">
        <v>361.4</v>
      </c>
      <c r="E5842" s="343"/>
    </row>
    <row r="5843" spans="1:5" s="335" customFormat="1" ht="48">
      <c r="A5843" s="342" t="s">
        <v>5373</v>
      </c>
      <c r="B5843" s="342" t="s">
        <v>5373</v>
      </c>
      <c r="C5843" s="342" t="str">
        <f>("SP21003M")</f>
        <v>SP21003M</v>
      </c>
      <c r="D5843" s="340">
        <v>125.1</v>
      </c>
      <c r="E5843" s="343"/>
    </row>
    <row r="5844" spans="1:5" s="335" customFormat="1" ht="48">
      <c r="A5844" s="342" t="s">
        <v>5374</v>
      </c>
      <c r="B5844" s="342" t="s">
        <v>5374</v>
      </c>
      <c r="C5844" s="342" t="str">
        <f>("SP21003M5")</f>
        <v>SP21003M5</v>
      </c>
      <c r="D5844" s="340">
        <v>441.48</v>
      </c>
      <c r="E5844" s="343"/>
    </row>
    <row r="5845" spans="1:5" s="335" customFormat="1" ht="48">
      <c r="A5845" s="342" t="s">
        <v>5375</v>
      </c>
      <c r="B5845" s="342" t="s">
        <v>5375</v>
      </c>
      <c r="C5845" s="342" t="str">
        <f>("SP21004M")</f>
        <v>SP21004M</v>
      </c>
      <c r="D5845" s="340">
        <v>125.1</v>
      </c>
      <c r="E5845" s="343"/>
    </row>
    <row r="5846" spans="1:5" s="335" customFormat="1" ht="48">
      <c r="A5846" s="342" t="s">
        <v>5376</v>
      </c>
      <c r="B5846" s="342" t="s">
        <v>5376</v>
      </c>
      <c r="C5846" s="342" t="str">
        <f>("SP21004M5")</f>
        <v>SP21004M5</v>
      </c>
      <c r="D5846" s="340">
        <v>441.48</v>
      </c>
      <c r="E5846" s="343"/>
    </row>
    <row r="5847" spans="1:5" s="335" customFormat="1" ht="48">
      <c r="A5847" s="342" t="s">
        <v>5377</v>
      </c>
      <c r="B5847" s="342" t="s">
        <v>5377</v>
      </c>
      <c r="C5847" s="342" t="str">
        <f>("SP21005M")</f>
        <v>SP21005M</v>
      </c>
      <c r="D5847" s="340">
        <v>125.1</v>
      </c>
      <c r="E5847" s="343"/>
    </row>
    <row r="5848" spans="1:5" s="335" customFormat="1" ht="48">
      <c r="A5848" s="342" t="s">
        <v>5378</v>
      </c>
      <c r="B5848" s="342" t="s">
        <v>5378</v>
      </c>
      <c r="C5848" s="342" t="str">
        <f>("SP21005M5")</f>
        <v>SP21005M5</v>
      </c>
      <c r="D5848" s="340">
        <v>441.48</v>
      </c>
      <c r="E5848" s="343"/>
    </row>
    <row r="5849" spans="1:5" s="335" customFormat="1" ht="48">
      <c r="A5849" s="342" t="s">
        <v>5379</v>
      </c>
      <c r="B5849" s="342" t="s">
        <v>5379</v>
      </c>
      <c r="C5849" s="342" t="str">
        <f>("SP21006M")</f>
        <v>SP21006M</v>
      </c>
      <c r="D5849" s="340">
        <v>125.1</v>
      </c>
      <c r="E5849" s="343"/>
    </row>
    <row r="5850" spans="1:5" s="335" customFormat="1" ht="48">
      <c r="A5850" s="342" t="s">
        <v>5380</v>
      </c>
      <c r="B5850" s="342" t="s">
        <v>5380</v>
      </c>
      <c r="C5850" s="342" t="str">
        <f>("SP21006M5")</f>
        <v>SP21006M5</v>
      </c>
      <c r="D5850" s="340">
        <v>441.48</v>
      </c>
      <c r="E5850" s="343"/>
    </row>
    <row r="5851" spans="1:5" s="335" customFormat="1" ht="48">
      <c r="A5851" s="342" t="s">
        <v>5381</v>
      </c>
      <c r="B5851" s="342" t="s">
        <v>5381</v>
      </c>
      <c r="C5851" s="342" t="str">
        <f>("SP21008M")</f>
        <v>SP21008M</v>
      </c>
      <c r="D5851" s="340">
        <v>125.1</v>
      </c>
      <c r="E5851" s="343"/>
    </row>
    <row r="5852" spans="1:5" s="335" customFormat="1" ht="48">
      <c r="A5852" s="342" t="s">
        <v>5382</v>
      </c>
      <c r="B5852" s="342" t="s">
        <v>5382</v>
      </c>
      <c r="C5852" s="342" t="str">
        <f>("SP21008M5")</f>
        <v>SP21008M5</v>
      </c>
      <c r="D5852" s="340">
        <v>441.48</v>
      </c>
      <c r="E5852" s="343"/>
    </row>
    <row r="5853" spans="1:5" s="335" customFormat="1" ht="48">
      <c r="A5853" s="342" t="s">
        <v>5383</v>
      </c>
      <c r="B5853" s="342" t="s">
        <v>5383</v>
      </c>
      <c r="C5853" s="342" t="str">
        <f>("SP21010M")</f>
        <v>SP21010M</v>
      </c>
      <c r="D5853" s="340">
        <v>125.1</v>
      </c>
      <c r="E5853" s="343"/>
    </row>
    <row r="5854" spans="1:5" s="335" customFormat="1" ht="48">
      <c r="A5854" s="342" t="s">
        <v>5384</v>
      </c>
      <c r="B5854" s="342" t="s">
        <v>5384</v>
      </c>
      <c r="C5854" s="342" t="str">
        <f>("SP21010M5")</f>
        <v>SP21010M5</v>
      </c>
      <c r="D5854" s="340">
        <v>441.48</v>
      </c>
      <c r="E5854" s="343"/>
    </row>
    <row r="5855" spans="1:5" s="335" customFormat="1" ht="48">
      <c r="A5855" s="342" t="s">
        <v>5385</v>
      </c>
      <c r="B5855" s="342" t="s">
        <v>5385</v>
      </c>
      <c r="C5855" s="342" t="str">
        <f>("SP21013M")</f>
        <v>SP21013M</v>
      </c>
      <c r="D5855" s="340">
        <v>197.1</v>
      </c>
      <c r="E5855" s="343"/>
    </row>
    <row r="5856" spans="1:5" s="335" customFormat="1" ht="48">
      <c r="A5856" s="342" t="s">
        <v>5386</v>
      </c>
      <c r="B5856" s="342" t="s">
        <v>5386</v>
      </c>
      <c r="C5856" s="342" t="str">
        <f>("SP21013M5")</f>
        <v>SP21013M5</v>
      </c>
      <c r="D5856" s="340">
        <v>725.4</v>
      </c>
      <c r="E5856" s="343"/>
    </row>
    <row r="5857" spans="1:5" s="335" customFormat="1" ht="12.75">
      <c r="A5857" s="344"/>
      <c r="B5857" s="343"/>
      <c r="C5857" s="343"/>
      <c r="D5857" s="395"/>
      <c r="E5857" s="343"/>
    </row>
    <row r="5858" spans="1:5" s="335" customFormat="1" ht="15" customHeight="1">
      <c r="A5858" s="345"/>
      <c r="B5858" s="404" t="s">
        <v>5387</v>
      </c>
      <c r="C5858" s="404"/>
      <c r="D5858" s="404"/>
      <c r="E5858" s="404"/>
    </row>
    <row r="5859" spans="1:5" s="335" customFormat="1" ht="25.5">
      <c r="A5859" s="346" t="s">
        <v>789</v>
      </c>
      <c r="B5859" s="346" t="s">
        <v>409</v>
      </c>
      <c r="C5859" s="346" t="s">
        <v>26</v>
      </c>
      <c r="D5859" s="337" t="s">
        <v>6425</v>
      </c>
      <c r="E5859" s="343"/>
    </row>
    <row r="5860" spans="1:5" s="335" customFormat="1" ht="26.25">
      <c r="A5860" s="342" t="s">
        <v>5388</v>
      </c>
      <c r="B5860" s="342"/>
      <c r="C5860" s="342" t="s">
        <v>6373</v>
      </c>
      <c r="D5860" s="340">
        <v>0</v>
      </c>
      <c r="E5860" s="343"/>
    </row>
    <row r="5861" spans="1:5" s="335" customFormat="1" ht="12.75">
      <c r="A5861" s="403" t="s">
        <v>4386</v>
      </c>
      <c r="B5861" s="403"/>
      <c r="C5861" s="403"/>
      <c r="D5861" s="403"/>
      <c r="E5861" s="343"/>
    </row>
    <row r="5862" spans="1:5" s="335" customFormat="1" ht="24">
      <c r="A5862" s="342" t="s">
        <v>5033</v>
      </c>
      <c r="B5862" s="342" t="s">
        <v>5033</v>
      </c>
      <c r="C5862" s="342" t="str">
        <f>("7640014143")</f>
        <v>7640014143</v>
      </c>
      <c r="D5862" s="340">
        <v>250</v>
      </c>
      <c r="E5862" s="343"/>
    </row>
    <row r="5863" spans="1:5" s="335" customFormat="1" ht="24">
      <c r="A5863" s="342" t="s">
        <v>5389</v>
      </c>
      <c r="B5863" s="342" t="s">
        <v>5389</v>
      </c>
      <c r="C5863" s="342" t="s">
        <v>6374</v>
      </c>
      <c r="D5863" s="340">
        <v>6523.73</v>
      </c>
      <c r="E5863" s="343"/>
    </row>
    <row r="5864" spans="1:5" s="335" customFormat="1" ht="24">
      <c r="A5864" s="342" t="s">
        <v>5390</v>
      </c>
      <c r="B5864" s="342" t="s">
        <v>5390</v>
      </c>
      <c r="C5864" s="342" t="str">
        <f>("7640015851")</f>
        <v>7640015851</v>
      </c>
      <c r="D5864" s="340">
        <v>8427.9699999999993</v>
      </c>
      <c r="E5864" s="343"/>
    </row>
    <row r="5865" spans="1:5" s="335" customFormat="1" ht="24">
      <c r="A5865" s="342" t="s">
        <v>5391</v>
      </c>
      <c r="B5865" s="342" t="s">
        <v>5391</v>
      </c>
      <c r="C5865" s="342" t="str">
        <f>("7640015853")</f>
        <v>7640015853</v>
      </c>
      <c r="D5865" s="340">
        <v>13347.46</v>
      </c>
      <c r="E5865" s="343"/>
    </row>
    <row r="5866" spans="1:5" s="335" customFormat="1" ht="48">
      <c r="A5866" s="342" t="s">
        <v>5392</v>
      </c>
      <c r="B5866" s="342" t="s">
        <v>5392</v>
      </c>
      <c r="C5866" s="342" t="str">
        <f>("7640015855")</f>
        <v>7640015855</v>
      </c>
      <c r="D5866" s="340">
        <v>550</v>
      </c>
      <c r="E5866" s="343"/>
    </row>
    <row r="5867" spans="1:5" s="335" customFormat="1" ht="36">
      <c r="A5867" s="342" t="s">
        <v>5393</v>
      </c>
      <c r="B5867" s="342" t="s">
        <v>5393</v>
      </c>
      <c r="C5867" s="342" t="str">
        <f>("7640015857")</f>
        <v>7640015857</v>
      </c>
      <c r="D5867" s="340">
        <v>4900</v>
      </c>
      <c r="E5867" s="343"/>
    </row>
    <row r="5868" spans="1:5" s="335" customFormat="1" ht="24">
      <c r="A5868" s="342" t="s">
        <v>5394</v>
      </c>
      <c r="B5868" s="342" t="s">
        <v>5394</v>
      </c>
      <c r="C5868" s="342" t="str">
        <f>("7640015860")</f>
        <v>7640015860</v>
      </c>
      <c r="D5868" s="340">
        <v>550</v>
      </c>
      <c r="E5868" s="343"/>
    </row>
    <row r="5869" spans="1:5" s="335" customFormat="1" ht="24">
      <c r="A5869" s="342" t="s">
        <v>5395</v>
      </c>
      <c r="B5869" s="342" t="s">
        <v>5395</v>
      </c>
      <c r="C5869" s="342" t="str">
        <f>("7640015862")</f>
        <v>7640015862</v>
      </c>
      <c r="D5869" s="340">
        <v>850</v>
      </c>
      <c r="E5869" s="343"/>
    </row>
    <row r="5870" spans="1:5" s="335" customFormat="1" ht="24">
      <c r="A5870" s="342" t="s">
        <v>5396</v>
      </c>
      <c r="B5870" s="342" t="s">
        <v>5396</v>
      </c>
      <c r="C5870" s="342" t="str">
        <f>("7640015864")</f>
        <v>7640015864</v>
      </c>
      <c r="D5870" s="340">
        <v>6523.73</v>
      </c>
      <c r="E5870" s="343"/>
    </row>
    <row r="5871" spans="1:5" s="335" customFormat="1" ht="24">
      <c r="A5871" s="342" t="s">
        <v>5397</v>
      </c>
      <c r="B5871" s="342" t="s">
        <v>5397</v>
      </c>
      <c r="C5871" s="342" t="str">
        <f>("7640015866")</f>
        <v>7640015866</v>
      </c>
      <c r="D5871" s="340">
        <v>8427.9699999999993</v>
      </c>
      <c r="E5871" s="343"/>
    </row>
    <row r="5872" spans="1:5" s="335" customFormat="1" ht="24">
      <c r="A5872" s="342" t="s">
        <v>5398</v>
      </c>
      <c r="B5872" s="342" t="s">
        <v>5398</v>
      </c>
      <c r="C5872" s="342" t="str">
        <f>("7640015868")</f>
        <v>7640015868</v>
      </c>
      <c r="D5872" s="340">
        <v>13347.46</v>
      </c>
      <c r="E5872" s="343"/>
    </row>
    <row r="5873" spans="1:5" s="335" customFormat="1" ht="24">
      <c r="A5873" s="342" t="s">
        <v>5399</v>
      </c>
      <c r="B5873" s="342" t="s">
        <v>5399</v>
      </c>
      <c r="C5873" s="342" t="str">
        <f>("7640015870")</f>
        <v>7640015870</v>
      </c>
      <c r="D5873" s="340">
        <v>6523.73</v>
      </c>
      <c r="E5873" s="343"/>
    </row>
    <row r="5874" spans="1:5" s="335" customFormat="1" ht="24">
      <c r="A5874" s="342" t="s">
        <v>5400</v>
      </c>
      <c r="B5874" s="342" t="s">
        <v>5400</v>
      </c>
      <c r="C5874" s="342" t="str">
        <f>("7640015872")</f>
        <v>7640015872</v>
      </c>
      <c r="D5874" s="340">
        <v>8427.9699999999993</v>
      </c>
      <c r="E5874" s="343"/>
    </row>
    <row r="5875" spans="1:5" s="335" customFormat="1" ht="24">
      <c r="A5875" s="342" t="s">
        <v>5401</v>
      </c>
      <c r="B5875" s="342" t="s">
        <v>5401</v>
      </c>
      <c r="C5875" s="342" t="str">
        <f>("7640015874")</f>
        <v>7640015874</v>
      </c>
      <c r="D5875" s="340">
        <v>13347.46</v>
      </c>
      <c r="E5875" s="343"/>
    </row>
    <row r="5876" spans="1:5" s="335" customFormat="1" ht="24">
      <c r="A5876" s="342" t="s">
        <v>5402</v>
      </c>
      <c r="B5876" s="342" t="s">
        <v>5402</v>
      </c>
      <c r="C5876" s="342" t="str">
        <f>("7640015876")</f>
        <v>7640015876</v>
      </c>
      <c r="D5876" s="340">
        <v>6523.73</v>
      </c>
      <c r="E5876" s="343"/>
    </row>
    <row r="5877" spans="1:5" s="335" customFormat="1" ht="24">
      <c r="A5877" s="342" t="s">
        <v>5403</v>
      </c>
      <c r="B5877" s="342" t="s">
        <v>5403</v>
      </c>
      <c r="C5877" s="342" t="str">
        <f>("7640015878")</f>
        <v>7640015878</v>
      </c>
      <c r="D5877" s="340">
        <v>8427.9699999999993</v>
      </c>
      <c r="E5877" s="343"/>
    </row>
    <row r="5878" spans="1:5" s="335" customFormat="1" ht="12.75">
      <c r="A5878" s="403" t="s">
        <v>3473</v>
      </c>
      <c r="B5878" s="403"/>
      <c r="C5878" s="403"/>
      <c r="D5878" s="403"/>
      <c r="E5878" s="343"/>
    </row>
    <row r="5879" spans="1:5" s="335" customFormat="1" ht="36">
      <c r="A5879" s="342" t="s">
        <v>5404</v>
      </c>
      <c r="B5879" s="342" t="s">
        <v>5405</v>
      </c>
      <c r="C5879" s="342" t="s">
        <v>6375</v>
      </c>
      <c r="D5879" s="340">
        <v>1174.27</v>
      </c>
      <c r="E5879" s="343"/>
    </row>
    <row r="5880" spans="1:5" s="335" customFormat="1" ht="36">
      <c r="A5880" s="342" t="s">
        <v>5406</v>
      </c>
      <c r="B5880" s="342" t="s">
        <v>5407</v>
      </c>
      <c r="C5880" s="342" t="str">
        <f>("7640015852")</f>
        <v>7640015852</v>
      </c>
      <c r="D5880" s="340">
        <v>1517.03</v>
      </c>
      <c r="E5880" s="343"/>
    </row>
    <row r="5881" spans="1:5" s="335" customFormat="1" ht="36">
      <c r="A5881" s="342" t="s">
        <v>5408</v>
      </c>
      <c r="B5881" s="342" t="s">
        <v>5409</v>
      </c>
      <c r="C5881" s="342" t="str">
        <f>("7640015854")</f>
        <v>7640015854</v>
      </c>
      <c r="D5881" s="340">
        <v>2402.54</v>
      </c>
      <c r="E5881" s="343"/>
    </row>
    <row r="5882" spans="1:5" s="335" customFormat="1" ht="60">
      <c r="A5882" s="342" t="s">
        <v>5410</v>
      </c>
      <c r="B5882" s="342" t="s">
        <v>5411</v>
      </c>
      <c r="C5882" s="342" t="str">
        <f>("7640015856")</f>
        <v>7640015856</v>
      </c>
      <c r="D5882" s="340">
        <v>99</v>
      </c>
      <c r="E5882" s="343"/>
    </row>
    <row r="5883" spans="1:5" s="335" customFormat="1" ht="48">
      <c r="A5883" s="342" t="s">
        <v>5412</v>
      </c>
      <c r="B5883" s="342" t="s">
        <v>5413</v>
      </c>
      <c r="C5883" s="342" t="str">
        <f>("7640015858")</f>
        <v>7640015858</v>
      </c>
      <c r="D5883" s="340">
        <v>882</v>
      </c>
      <c r="E5883" s="343"/>
    </row>
    <row r="5884" spans="1:5" s="335" customFormat="1" ht="48">
      <c r="A5884" s="342" t="s">
        <v>5414</v>
      </c>
      <c r="B5884" s="342" t="s">
        <v>5415</v>
      </c>
      <c r="C5884" s="342" t="str">
        <f>("7640015859")</f>
        <v>7640015859</v>
      </c>
      <c r="D5884" s="340">
        <v>45</v>
      </c>
      <c r="E5884" s="343"/>
    </row>
    <row r="5885" spans="1:5" s="335" customFormat="1" ht="48">
      <c r="A5885" s="342" t="s">
        <v>5416</v>
      </c>
      <c r="B5885" s="342" t="s">
        <v>5417</v>
      </c>
      <c r="C5885" s="342" t="str">
        <f>("7640015861")</f>
        <v>7640015861</v>
      </c>
      <c r="D5885" s="340">
        <v>99</v>
      </c>
      <c r="E5885" s="343"/>
    </row>
    <row r="5886" spans="1:5" s="335" customFormat="1" ht="48">
      <c r="A5886" s="342" t="s">
        <v>5418</v>
      </c>
      <c r="B5886" s="342" t="s">
        <v>5419</v>
      </c>
      <c r="C5886" s="342" t="str">
        <f>("7640015863")</f>
        <v>7640015863</v>
      </c>
      <c r="D5886" s="340">
        <v>153</v>
      </c>
      <c r="E5886" s="343"/>
    </row>
    <row r="5887" spans="1:5" s="335" customFormat="1" ht="36">
      <c r="A5887" s="342" t="s">
        <v>5420</v>
      </c>
      <c r="B5887" s="342" t="s">
        <v>5421</v>
      </c>
      <c r="C5887" s="342" t="str">
        <f>("7640015865")</f>
        <v>7640015865</v>
      </c>
      <c r="D5887" s="340">
        <v>1174.27</v>
      </c>
      <c r="E5887" s="343"/>
    </row>
    <row r="5888" spans="1:5" s="335" customFormat="1" ht="36">
      <c r="A5888" s="342" t="s">
        <v>5422</v>
      </c>
      <c r="B5888" s="342" t="s">
        <v>5422</v>
      </c>
      <c r="C5888" s="342" t="str">
        <f>("7640015867")</f>
        <v>7640015867</v>
      </c>
      <c r="D5888" s="340">
        <v>1517.03</v>
      </c>
      <c r="E5888" s="343"/>
    </row>
    <row r="5889" spans="1:5" s="335" customFormat="1" ht="36">
      <c r="A5889" s="342" t="s">
        <v>5423</v>
      </c>
      <c r="B5889" s="342" t="s">
        <v>5424</v>
      </c>
      <c r="C5889" s="342" t="str">
        <f>("7640015869")</f>
        <v>7640015869</v>
      </c>
      <c r="D5889" s="340">
        <v>2402.54</v>
      </c>
      <c r="E5889" s="343"/>
    </row>
    <row r="5890" spans="1:5" s="335" customFormat="1" ht="48">
      <c r="A5890" s="342" t="s">
        <v>5425</v>
      </c>
      <c r="B5890" s="342" t="s">
        <v>5426</v>
      </c>
      <c r="C5890" s="342" t="str">
        <f>("7640015871")</f>
        <v>7640015871</v>
      </c>
      <c r="D5890" s="340">
        <v>1174.27</v>
      </c>
      <c r="E5890" s="343"/>
    </row>
    <row r="5891" spans="1:5" s="335" customFormat="1" ht="36">
      <c r="A5891" s="342" t="s">
        <v>5427</v>
      </c>
      <c r="B5891" s="342" t="s">
        <v>5428</v>
      </c>
      <c r="C5891" s="342" t="str">
        <f>("7640015875")</f>
        <v>7640015875</v>
      </c>
      <c r="D5891" s="340">
        <v>2402.54</v>
      </c>
      <c r="E5891" s="343"/>
    </row>
    <row r="5892" spans="1:5" s="335" customFormat="1" ht="24">
      <c r="A5892" s="342" t="s">
        <v>5429</v>
      </c>
      <c r="B5892" s="342" t="s">
        <v>5430</v>
      </c>
      <c r="C5892" s="342" t="str">
        <f>("7640015877")</f>
        <v>7640015877</v>
      </c>
      <c r="D5892" s="340">
        <v>1174.27</v>
      </c>
      <c r="E5892" s="343"/>
    </row>
    <row r="5893" spans="1:5" s="335" customFormat="1" ht="36">
      <c r="A5893" s="342" t="s">
        <v>5431</v>
      </c>
      <c r="B5893" s="342" t="s">
        <v>5432</v>
      </c>
      <c r="C5893" s="342" t="str">
        <f>("7640015879")</f>
        <v>7640015879</v>
      </c>
      <c r="D5893" s="340">
        <v>1517.03</v>
      </c>
      <c r="E5893" s="343"/>
    </row>
    <row r="5894" spans="1:5" s="335" customFormat="1" ht="36">
      <c r="A5894" s="342" t="s">
        <v>5433</v>
      </c>
      <c r="B5894" s="342" t="s">
        <v>5434</v>
      </c>
      <c r="C5894" s="342" t="str">
        <f>("7640015881")</f>
        <v>7640015881</v>
      </c>
      <c r="D5894" s="340">
        <v>2402.54</v>
      </c>
      <c r="E5894" s="343"/>
    </row>
    <row r="5895" spans="1:5" s="335" customFormat="1" ht="12.75">
      <c r="A5895" s="403" t="s">
        <v>5061</v>
      </c>
      <c r="B5895" s="403"/>
      <c r="C5895" s="403"/>
      <c r="D5895" s="403"/>
      <c r="E5895" s="343"/>
    </row>
    <row r="5896" spans="1:5" s="335" customFormat="1" ht="24">
      <c r="A5896" s="342" t="s">
        <v>5130</v>
      </c>
      <c r="B5896" s="342" t="s">
        <v>5130</v>
      </c>
      <c r="C5896" s="342" t="str">
        <f>("7640000792")</f>
        <v>7640000792</v>
      </c>
      <c r="D5896" s="340">
        <v>1990</v>
      </c>
      <c r="E5896" s="343"/>
    </row>
    <row r="5897" spans="1:5" s="335" customFormat="1" ht="36">
      <c r="A5897" s="342" t="s">
        <v>5131</v>
      </c>
      <c r="B5897" s="342" t="s">
        <v>5131</v>
      </c>
      <c r="C5897" s="342" t="str">
        <f>("7640000793")</f>
        <v>7640000793</v>
      </c>
      <c r="D5897" s="340">
        <v>3400</v>
      </c>
      <c r="E5897" s="343"/>
    </row>
    <row r="5898" spans="1:5" s="335" customFormat="1" ht="48">
      <c r="A5898" s="342" t="s">
        <v>5132</v>
      </c>
      <c r="B5898" s="342" t="s">
        <v>5132</v>
      </c>
      <c r="C5898" s="342" t="str">
        <f>("7640000794")</f>
        <v>7640000794</v>
      </c>
      <c r="D5898" s="340">
        <v>225</v>
      </c>
      <c r="E5898" s="343"/>
    </row>
    <row r="5899" spans="1:5" s="335" customFormat="1" ht="24">
      <c r="A5899" s="342" t="s">
        <v>5133</v>
      </c>
      <c r="B5899" s="342" t="s">
        <v>5133</v>
      </c>
      <c r="C5899" s="342" t="str">
        <f>("7640000795")</f>
        <v>7640000795</v>
      </c>
      <c r="D5899" s="340">
        <v>2500</v>
      </c>
      <c r="E5899" s="343"/>
    </row>
    <row r="5900" spans="1:5" s="335" customFormat="1" ht="36">
      <c r="A5900" s="342" t="s">
        <v>5134</v>
      </c>
      <c r="B5900" s="342" t="s">
        <v>5134</v>
      </c>
      <c r="C5900" s="342" t="str">
        <f>("7640000796")</f>
        <v>7640000796</v>
      </c>
      <c r="D5900" s="340">
        <v>3500</v>
      </c>
      <c r="E5900" s="343"/>
    </row>
    <row r="5901" spans="1:5" s="335" customFormat="1" ht="24">
      <c r="A5901" s="342" t="s">
        <v>5135</v>
      </c>
      <c r="B5901" s="342" t="s">
        <v>5135</v>
      </c>
      <c r="C5901" s="342" t="str">
        <f>("7640000797")</f>
        <v>7640000797</v>
      </c>
      <c r="D5901" s="340">
        <v>995</v>
      </c>
      <c r="E5901" s="343"/>
    </row>
    <row r="5902" spans="1:5" s="335" customFormat="1" ht="24">
      <c r="A5902" s="342" t="s">
        <v>5136</v>
      </c>
      <c r="B5902" s="342" t="s">
        <v>5136</v>
      </c>
      <c r="C5902" s="342" t="str">
        <f>("7640001335")</f>
        <v>7640001335</v>
      </c>
      <c r="D5902" s="340">
        <v>995</v>
      </c>
      <c r="E5902" s="343"/>
    </row>
    <row r="5903" spans="1:5" s="335" customFormat="1" ht="24">
      <c r="A5903" s="342" t="s">
        <v>5137</v>
      </c>
      <c r="B5903" s="342" t="s">
        <v>5137</v>
      </c>
      <c r="C5903" s="342" t="str">
        <f>("7640001336")</f>
        <v>7640001336</v>
      </c>
      <c r="D5903" s="340">
        <v>2985</v>
      </c>
      <c r="E5903" s="343"/>
    </row>
    <row r="5904" spans="1:5" s="335" customFormat="1" ht="36">
      <c r="A5904" s="342" t="s">
        <v>5138</v>
      </c>
      <c r="B5904" s="342" t="s">
        <v>5138</v>
      </c>
      <c r="C5904" s="342" t="str">
        <f>("7640001337")</f>
        <v>7640001337</v>
      </c>
      <c r="D5904" s="340">
        <v>2750</v>
      </c>
      <c r="E5904" s="343"/>
    </row>
    <row r="5905" spans="1:5" s="335" customFormat="1" ht="36">
      <c r="A5905" s="342" t="s">
        <v>5139</v>
      </c>
      <c r="B5905" s="342" t="s">
        <v>5139</v>
      </c>
      <c r="C5905" s="342" t="str">
        <f>("7640001338")</f>
        <v>7640001338</v>
      </c>
      <c r="D5905" s="340">
        <v>4100</v>
      </c>
      <c r="E5905" s="343"/>
    </row>
    <row r="5906" spans="1:5" s="335" customFormat="1" ht="12.75">
      <c r="A5906" s="344"/>
      <c r="B5906" s="343"/>
      <c r="C5906" s="343"/>
      <c r="D5906" s="395"/>
      <c r="E5906" s="343"/>
    </row>
    <row r="5907" spans="1:5" s="335" customFormat="1" ht="15" customHeight="1">
      <c r="A5907" s="345"/>
      <c r="B5907" s="404" t="s">
        <v>5435</v>
      </c>
      <c r="C5907" s="404"/>
      <c r="D5907" s="404"/>
      <c r="E5907" s="404"/>
    </row>
    <row r="5908" spans="1:5" s="335" customFormat="1" ht="15" customHeight="1">
      <c r="A5908" s="345"/>
      <c r="B5908" s="404" t="s">
        <v>5436</v>
      </c>
      <c r="C5908" s="404"/>
      <c r="D5908" s="404"/>
      <c r="E5908" s="404"/>
    </row>
    <row r="5909" spans="1:5" s="335" customFormat="1" ht="25.5">
      <c r="A5909" s="346" t="s">
        <v>789</v>
      </c>
      <c r="B5909" s="346" t="s">
        <v>409</v>
      </c>
      <c r="C5909" s="346" t="s">
        <v>26</v>
      </c>
      <c r="D5909" s="337" t="s">
        <v>6425</v>
      </c>
      <c r="E5909" s="343"/>
    </row>
    <row r="5910" spans="1:5" s="335" customFormat="1" ht="12.75">
      <c r="A5910" s="342" t="s">
        <v>5437</v>
      </c>
      <c r="B5910" s="342" t="s">
        <v>5438</v>
      </c>
      <c r="C5910" s="342" t="str">
        <f>("7640001039")</f>
        <v>7640001039</v>
      </c>
      <c r="D5910" s="340">
        <v>899</v>
      </c>
      <c r="E5910" s="343"/>
    </row>
    <row r="5911" spans="1:5" s="335" customFormat="1" ht="12.75">
      <c r="A5911" s="403" t="s">
        <v>4386</v>
      </c>
      <c r="B5911" s="403"/>
      <c r="C5911" s="403"/>
      <c r="D5911" s="403"/>
      <c r="E5911" s="343"/>
    </row>
    <row r="5912" spans="1:5" s="335" customFormat="1" ht="36">
      <c r="A5912" s="342" t="s">
        <v>5439</v>
      </c>
      <c r="B5912" s="342" t="s">
        <v>5440</v>
      </c>
      <c r="C5912" s="342" t="str">
        <f>("7640001341")</f>
        <v>7640001341</v>
      </c>
      <c r="D5912" s="340">
        <v>4045</v>
      </c>
      <c r="E5912" s="343"/>
    </row>
    <row r="5913" spans="1:5" s="335" customFormat="1" ht="36">
      <c r="A5913" s="342" t="s">
        <v>5441</v>
      </c>
      <c r="B5913" s="342" t="s">
        <v>5442</v>
      </c>
      <c r="C5913" s="342" t="str">
        <f>("7640001342")</f>
        <v>7640001342</v>
      </c>
      <c r="D5913" s="340">
        <v>7640</v>
      </c>
      <c r="E5913" s="343"/>
    </row>
    <row r="5914" spans="1:5" s="335" customFormat="1" ht="36">
      <c r="A5914" s="342" t="s">
        <v>5443</v>
      </c>
      <c r="B5914" s="342" t="s">
        <v>5444</v>
      </c>
      <c r="C5914" s="342" t="str">
        <f>("7640001343")</f>
        <v>7640001343</v>
      </c>
      <c r="D5914" s="340">
        <v>17980</v>
      </c>
      <c r="E5914" s="343"/>
    </row>
    <row r="5915" spans="1:5" s="335" customFormat="1" ht="12.75">
      <c r="A5915" s="403" t="s">
        <v>5445</v>
      </c>
      <c r="B5915" s="403"/>
      <c r="C5915" s="403"/>
      <c r="D5915" s="403"/>
      <c r="E5915" s="343"/>
    </row>
    <row r="5916" spans="1:5" s="335" customFormat="1" ht="24">
      <c r="A5916" s="342" t="s">
        <v>5446</v>
      </c>
      <c r="B5916" s="342" t="s">
        <v>5447</v>
      </c>
      <c r="C5916" s="342" t="str">
        <f>("7640002095")</f>
        <v>7640002095</v>
      </c>
      <c r="D5916" s="340">
        <v>350</v>
      </c>
      <c r="E5916" s="343"/>
    </row>
    <row r="5917" spans="1:5" s="335" customFormat="1" ht="12.75">
      <c r="A5917" s="344"/>
      <c r="B5917" s="343"/>
      <c r="C5917" s="343"/>
      <c r="D5917" s="395"/>
      <c r="E5917" s="343"/>
    </row>
    <row r="5918" spans="1:5" s="335" customFormat="1" ht="15" customHeight="1">
      <c r="A5918" s="345"/>
      <c r="B5918" s="404" t="s">
        <v>5448</v>
      </c>
      <c r="C5918" s="404"/>
      <c r="D5918" s="404"/>
      <c r="E5918" s="404"/>
    </row>
    <row r="5919" spans="1:5" s="335" customFormat="1" ht="25.5">
      <c r="A5919" s="346" t="s">
        <v>789</v>
      </c>
      <c r="B5919" s="346" t="s">
        <v>409</v>
      </c>
      <c r="C5919" s="346" t="s">
        <v>26</v>
      </c>
      <c r="D5919" s="337" t="s">
        <v>6425</v>
      </c>
      <c r="E5919" s="343"/>
    </row>
    <row r="5920" spans="1:5" s="335" customFormat="1" ht="24">
      <c r="A5920" s="342" t="s">
        <v>5449</v>
      </c>
      <c r="B5920" s="342"/>
      <c r="C5920" s="342" t="s">
        <v>6376</v>
      </c>
      <c r="D5920" s="340">
        <v>0</v>
      </c>
      <c r="E5920" s="343"/>
    </row>
    <row r="5921" spans="1:5" s="335" customFormat="1" ht="12.75">
      <c r="A5921" s="403" t="s">
        <v>1545</v>
      </c>
      <c r="B5921" s="403"/>
      <c r="C5921" s="403"/>
      <c r="D5921" s="403"/>
      <c r="E5921" s="343"/>
    </row>
    <row r="5922" spans="1:5" s="335" customFormat="1" ht="36">
      <c r="A5922" s="342" t="s">
        <v>5450</v>
      </c>
      <c r="B5922" s="342" t="s">
        <v>5451</v>
      </c>
      <c r="C5922" s="342" t="s">
        <v>6377</v>
      </c>
      <c r="D5922" s="340">
        <v>2500</v>
      </c>
      <c r="E5922" s="343"/>
    </row>
    <row r="5923" spans="1:5" s="335" customFormat="1" ht="12.75">
      <c r="A5923" s="403" t="s">
        <v>3473</v>
      </c>
      <c r="B5923" s="403"/>
      <c r="C5923" s="403"/>
      <c r="D5923" s="403"/>
      <c r="E5923" s="343"/>
    </row>
    <row r="5924" spans="1:5" s="335" customFormat="1" ht="24">
      <c r="A5924" s="342" t="s">
        <v>5452</v>
      </c>
      <c r="B5924" s="342" t="s">
        <v>5453</v>
      </c>
      <c r="C5924" s="342" t="s">
        <v>6378</v>
      </c>
      <c r="D5924" s="340">
        <v>42</v>
      </c>
      <c r="E5924" s="343"/>
    </row>
    <row r="5925" spans="1:5" s="335" customFormat="1" ht="12.75">
      <c r="A5925" s="344"/>
      <c r="B5925" s="343"/>
      <c r="C5925" s="343"/>
      <c r="D5925" s="395"/>
      <c r="E5925" s="343"/>
    </row>
    <row r="5926" spans="1:5" s="335" customFormat="1" ht="15" customHeight="1">
      <c r="A5926" s="345"/>
      <c r="B5926" s="404" t="s">
        <v>5454</v>
      </c>
      <c r="C5926" s="404"/>
      <c r="D5926" s="404"/>
      <c r="E5926" s="404"/>
    </row>
    <row r="5927" spans="1:5" s="335" customFormat="1" ht="25.5">
      <c r="A5927" s="346" t="s">
        <v>789</v>
      </c>
      <c r="B5927" s="346" t="s">
        <v>409</v>
      </c>
      <c r="C5927" s="346" t="s">
        <v>26</v>
      </c>
      <c r="D5927" s="337" t="s">
        <v>6425</v>
      </c>
      <c r="E5927" s="343"/>
    </row>
    <row r="5928" spans="1:5" s="335" customFormat="1" ht="14.25">
      <c r="A5928" s="342" t="s">
        <v>5455</v>
      </c>
      <c r="B5928" s="342"/>
      <c r="C5928" s="342" t="s">
        <v>6379</v>
      </c>
      <c r="D5928" s="340">
        <v>0</v>
      </c>
      <c r="E5928" s="343"/>
    </row>
    <row r="5929" spans="1:5" s="335" customFormat="1" ht="12.75">
      <c r="A5929" s="403" t="s">
        <v>5456</v>
      </c>
      <c r="B5929" s="403"/>
      <c r="C5929" s="403"/>
      <c r="D5929" s="403"/>
      <c r="E5929" s="343"/>
    </row>
    <row r="5930" spans="1:5" s="335" customFormat="1" ht="24">
      <c r="A5930" s="342" t="s">
        <v>5457</v>
      </c>
      <c r="B5930" s="342" t="s">
        <v>5458</v>
      </c>
      <c r="C5930" s="342" t="s">
        <v>6380</v>
      </c>
      <c r="D5930" s="340">
        <v>2995</v>
      </c>
      <c r="E5930" s="343"/>
    </row>
    <row r="5931" spans="1:5" s="335" customFormat="1" ht="24">
      <c r="A5931" s="342" t="s">
        <v>5459</v>
      </c>
      <c r="B5931" s="342" t="s">
        <v>5460</v>
      </c>
      <c r="C5931" s="342" t="str">
        <f>("7640004735")</f>
        <v>7640004735</v>
      </c>
      <c r="D5931" s="340">
        <v>599</v>
      </c>
      <c r="E5931" s="343"/>
    </row>
    <row r="5932" spans="1:5" s="335" customFormat="1" ht="24">
      <c r="A5932" s="342" t="s">
        <v>5461</v>
      </c>
      <c r="B5932" s="342" t="s">
        <v>5462</v>
      </c>
      <c r="C5932" s="342" t="str">
        <f>("7640004736")</f>
        <v>7640004736</v>
      </c>
      <c r="D5932" s="340">
        <v>899</v>
      </c>
      <c r="E5932" s="343"/>
    </row>
    <row r="5933" spans="1:5" s="335" customFormat="1" ht="24">
      <c r="A5933" s="342" t="s">
        <v>5463</v>
      </c>
      <c r="B5933" s="342" t="s">
        <v>5464</v>
      </c>
      <c r="C5933" s="342" t="s">
        <v>6381</v>
      </c>
      <c r="D5933" s="340">
        <v>2995</v>
      </c>
      <c r="E5933" s="343"/>
    </row>
    <row r="5934" spans="1:5" s="335" customFormat="1" ht="24">
      <c r="A5934" s="342" t="s">
        <v>5465</v>
      </c>
      <c r="B5934" s="342" t="s">
        <v>5466</v>
      </c>
      <c r="C5934" s="342" t="str">
        <f>("7640004738")</f>
        <v>7640004738</v>
      </c>
      <c r="D5934" s="340">
        <v>599</v>
      </c>
      <c r="E5934" s="343"/>
    </row>
    <row r="5935" spans="1:5" s="335" customFormat="1" ht="24">
      <c r="A5935" s="342" t="s">
        <v>5467</v>
      </c>
      <c r="B5935" s="342" t="s">
        <v>5468</v>
      </c>
      <c r="C5935" s="342" t="str">
        <f>("7640004739")</f>
        <v>7640004739</v>
      </c>
      <c r="D5935" s="340">
        <v>899</v>
      </c>
      <c r="E5935" s="343"/>
    </row>
    <row r="5936" spans="1:5" s="335" customFormat="1" ht="36">
      <c r="A5936" s="342" t="s">
        <v>5469</v>
      </c>
      <c r="B5936" s="342" t="s">
        <v>5470</v>
      </c>
      <c r="C5936" s="342" t="s">
        <v>6382</v>
      </c>
      <c r="D5936" s="340">
        <v>4995</v>
      </c>
      <c r="E5936" s="343"/>
    </row>
    <row r="5937" spans="1:5" s="335" customFormat="1" ht="24">
      <c r="A5937" s="342" t="s">
        <v>5471</v>
      </c>
      <c r="B5937" s="342" t="s">
        <v>5472</v>
      </c>
      <c r="C5937" s="342" t="str">
        <f>("7640004741")</f>
        <v>7640004741</v>
      </c>
      <c r="D5937" s="340">
        <v>999</v>
      </c>
      <c r="E5937" s="343"/>
    </row>
    <row r="5938" spans="1:5" s="335" customFormat="1" ht="24">
      <c r="A5938" s="342" t="s">
        <v>5473</v>
      </c>
      <c r="B5938" s="342" t="s">
        <v>5474</v>
      </c>
      <c r="C5938" s="342" t="str">
        <f>("7640004742")</f>
        <v>7640004742</v>
      </c>
      <c r="D5938" s="340">
        <v>1499</v>
      </c>
      <c r="E5938" s="343"/>
    </row>
    <row r="5939" spans="1:5" s="335" customFormat="1" ht="24">
      <c r="A5939" s="342" t="s">
        <v>5475</v>
      </c>
      <c r="B5939" s="342" t="s">
        <v>5476</v>
      </c>
      <c r="C5939" s="342" t="s">
        <v>6383</v>
      </c>
      <c r="D5939" s="340">
        <v>8795</v>
      </c>
      <c r="E5939" s="343"/>
    </row>
    <row r="5940" spans="1:5" s="335" customFormat="1" ht="24">
      <c r="A5940" s="342" t="s">
        <v>5477</v>
      </c>
      <c r="B5940" s="342" t="s">
        <v>5478</v>
      </c>
      <c r="C5940" s="342" t="str">
        <f>("7640004744")</f>
        <v>7640004744</v>
      </c>
      <c r="D5940" s="340">
        <v>1759</v>
      </c>
      <c r="E5940" s="343"/>
    </row>
    <row r="5941" spans="1:5" s="335" customFormat="1" ht="24">
      <c r="A5941" s="342" t="s">
        <v>5479</v>
      </c>
      <c r="B5941" s="342" t="s">
        <v>5480</v>
      </c>
      <c r="C5941" s="342" t="str">
        <f>("7640004745")</f>
        <v>7640004745</v>
      </c>
      <c r="D5941" s="340">
        <v>2639</v>
      </c>
      <c r="E5941" s="343"/>
    </row>
    <row r="5942" spans="1:5" s="335" customFormat="1" ht="36">
      <c r="A5942" s="342" t="s">
        <v>5481</v>
      </c>
      <c r="B5942" s="342" t="s">
        <v>5482</v>
      </c>
      <c r="C5942" s="342" t="s">
        <v>6384</v>
      </c>
      <c r="D5942" s="340">
        <v>4995</v>
      </c>
      <c r="E5942" s="343"/>
    </row>
    <row r="5943" spans="1:5" s="335" customFormat="1" ht="36">
      <c r="A5943" s="342" t="s">
        <v>5483</v>
      </c>
      <c r="B5943" s="342" t="s">
        <v>5484</v>
      </c>
      <c r="C5943" s="342" t="str">
        <f>("7640005046")</f>
        <v>7640005046</v>
      </c>
      <c r="D5943" s="340">
        <v>999</v>
      </c>
      <c r="E5943" s="343"/>
    </row>
    <row r="5944" spans="1:5" s="335" customFormat="1" ht="36">
      <c r="A5944" s="342" t="s">
        <v>5485</v>
      </c>
      <c r="B5944" s="342" t="s">
        <v>5486</v>
      </c>
      <c r="C5944" s="342" t="str">
        <f>("7640005047")</f>
        <v>7640005047</v>
      </c>
      <c r="D5944" s="340">
        <v>1748</v>
      </c>
      <c r="E5944" s="343"/>
    </row>
    <row r="5945" spans="1:5" s="335" customFormat="1" ht="12.75">
      <c r="A5945" s="344"/>
      <c r="B5945" s="343"/>
      <c r="C5945" s="343"/>
      <c r="D5945" s="395"/>
      <c r="E5945" s="343"/>
    </row>
    <row r="5946" spans="1:5" s="335" customFormat="1" ht="12.75">
      <c r="A5946" s="403" t="s">
        <v>5487</v>
      </c>
      <c r="B5946" s="403"/>
      <c r="C5946" s="403"/>
      <c r="D5946" s="403"/>
      <c r="E5946" s="343"/>
    </row>
    <row r="5947" spans="1:5" s="335" customFormat="1" ht="24">
      <c r="A5947" s="342" t="s">
        <v>5488</v>
      </c>
      <c r="B5947" s="342" t="s">
        <v>5489</v>
      </c>
      <c r="C5947" s="342" t="str">
        <f>("7640004718")</f>
        <v>7640004718</v>
      </c>
      <c r="D5947" s="340">
        <v>300</v>
      </c>
      <c r="E5947" s="343"/>
    </row>
    <row r="5948" spans="1:5" s="335" customFormat="1" ht="12.75">
      <c r="A5948" s="403" t="s">
        <v>5490</v>
      </c>
      <c r="B5948" s="403"/>
      <c r="C5948" s="403"/>
      <c r="D5948" s="403"/>
      <c r="E5948" s="343"/>
    </row>
    <row r="5949" spans="1:5" s="335" customFormat="1" ht="36">
      <c r="A5949" s="342" t="s">
        <v>5491</v>
      </c>
      <c r="B5949" s="342" t="s">
        <v>5492</v>
      </c>
      <c r="C5949" s="342" t="s">
        <v>6385</v>
      </c>
      <c r="D5949" s="340">
        <v>15000</v>
      </c>
      <c r="E5949" s="343"/>
    </row>
    <row r="5950" spans="1:5" s="335" customFormat="1" ht="24">
      <c r="A5950" s="342" t="s">
        <v>5493</v>
      </c>
      <c r="B5950" s="342" t="s">
        <v>5494</v>
      </c>
      <c r="C5950" s="342" t="str">
        <f>("7640004806")</f>
        <v>7640004806</v>
      </c>
      <c r="D5950" s="340">
        <v>3000</v>
      </c>
      <c r="E5950" s="343"/>
    </row>
    <row r="5951" spans="1:5" s="335" customFormat="1" ht="24">
      <c r="A5951" s="342" t="s">
        <v>5495</v>
      </c>
      <c r="B5951" s="342" t="s">
        <v>5496</v>
      </c>
      <c r="C5951" s="342" t="str">
        <f>("7640004807")</f>
        <v>7640004807</v>
      </c>
      <c r="D5951" s="340">
        <v>4500</v>
      </c>
      <c r="E5951" s="343"/>
    </row>
    <row r="5952" spans="1:5" s="335" customFormat="1" ht="12.75">
      <c r="A5952" s="403" t="s">
        <v>5497</v>
      </c>
      <c r="B5952" s="403"/>
      <c r="C5952" s="403"/>
      <c r="D5952" s="403"/>
      <c r="E5952" s="343"/>
    </row>
    <row r="5953" spans="1:5" s="335" customFormat="1" ht="24">
      <c r="A5953" s="342" t="s">
        <v>5498</v>
      </c>
      <c r="B5953" s="342" t="s">
        <v>5499</v>
      </c>
      <c r="C5953" s="342" t="str">
        <f>("7640004808")</f>
        <v>7640004808</v>
      </c>
      <c r="D5953" s="340">
        <v>3500</v>
      </c>
      <c r="E5953" s="343"/>
    </row>
    <row r="5954" spans="1:5" s="335" customFormat="1" ht="24">
      <c r="A5954" s="342" t="s">
        <v>5500</v>
      </c>
      <c r="B5954" s="342" t="s">
        <v>5501</v>
      </c>
      <c r="C5954" s="342" t="str">
        <f>("7640004809")</f>
        <v>7640004809</v>
      </c>
      <c r="D5954" s="340">
        <v>700</v>
      </c>
      <c r="E5954" s="343"/>
    </row>
    <row r="5955" spans="1:5" s="335" customFormat="1" ht="24">
      <c r="A5955" s="342" t="s">
        <v>5502</v>
      </c>
      <c r="B5955" s="342" t="s">
        <v>5503</v>
      </c>
      <c r="C5955" s="342" t="str">
        <f>("7640004810")</f>
        <v>7640004810</v>
      </c>
      <c r="D5955" s="340">
        <v>1050</v>
      </c>
      <c r="E5955" s="343"/>
    </row>
    <row r="5956" spans="1:5" s="335" customFormat="1" ht="24">
      <c r="A5956" s="342" t="s">
        <v>5504</v>
      </c>
      <c r="B5956" s="342" t="s">
        <v>5505</v>
      </c>
      <c r="C5956" s="342" t="str">
        <f>("7640004811")</f>
        <v>7640004811</v>
      </c>
      <c r="D5956" s="340">
        <v>3500</v>
      </c>
      <c r="E5956" s="343"/>
    </row>
    <row r="5957" spans="1:5" s="335" customFormat="1" ht="24">
      <c r="A5957" s="342" t="s">
        <v>5506</v>
      </c>
      <c r="B5957" s="342" t="s">
        <v>5507</v>
      </c>
      <c r="C5957" s="342" t="str">
        <f>("7640004812")</f>
        <v>7640004812</v>
      </c>
      <c r="D5957" s="340">
        <v>700</v>
      </c>
      <c r="E5957" s="343"/>
    </row>
    <row r="5958" spans="1:5" s="335" customFormat="1" ht="24">
      <c r="A5958" s="342" t="s">
        <v>5508</v>
      </c>
      <c r="B5958" s="342" t="s">
        <v>5509</v>
      </c>
      <c r="C5958" s="342" t="str">
        <f>("7640004813")</f>
        <v>7640004813</v>
      </c>
      <c r="D5958" s="340">
        <v>1050</v>
      </c>
      <c r="E5958" s="343"/>
    </row>
    <row r="5959" spans="1:5" s="335" customFormat="1" ht="24">
      <c r="A5959" s="342" t="s">
        <v>5510</v>
      </c>
      <c r="B5959" s="342" t="s">
        <v>5511</v>
      </c>
      <c r="C5959" s="342" t="str">
        <f>("7640004817")</f>
        <v>7640004817</v>
      </c>
      <c r="D5959" s="340">
        <v>6500</v>
      </c>
      <c r="E5959" s="343"/>
    </row>
    <row r="5960" spans="1:5" s="335" customFormat="1" ht="24">
      <c r="A5960" s="342" t="s">
        <v>5512</v>
      </c>
      <c r="B5960" s="342" t="s">
        <v>5513</v>
      </c>
      <c r="C5960" s="342" t="str">
        <f>("7640004818")</f>
        <v>7640004818</v>
      </c>
      <c r="D5960" s="340">
        <v>1300</v>
      </c>
      <c r="E5960" s="343"/>
    </row>
    <row r="5961" spans="1:5" s="335" customFormat="1" ht="24">
      <c r="A5961" s="342" t="s">
        <v>5514</v>
      </c>
      <c r="B5961" s="342" t="s">
        <v>5515</v>
      </c>
      <c r="C5961" s="342" t="str">
        <f>("7640004819")</f>
        <v>7640004819</v>
      </c>
      <c r="D5961" s="340">
        <v>1950</v>
      </c>
      <c r="E5961" s="343"/>
    </row>
    <row r="5962" spans="1:5" s="335" customFormat="1" ht="24">
      <c r="A5962" s="342" t="s">
        <v>5516</v>
      </c>
      <c r="B5962" s="342" t="s">
        <v>5517</v>
      </c>
      <c r="C5962" s="342" t="str">
        <f>("7640004820")</f>
        <v>7640004820</v>
      </c>
      <c r="D5962" s="340">
        <v>3500</v>
      </c>
      <c r="E5962" s="343"/>
    </row>
    <row r="5963" spans="1:5" s="335" customFormat="1" ht="24">
      <c r="A5963" s="342" t="s">
        <v>5518</v>
      </c>
      <c r="B5963" s="342" t="s">
        <v>5519</v>
      </c>
      <c r="C5963" s="342" t="str">
        <f>("7640004821")</f>
        <v>7640004821</v>
      </c>
      <c r="D5963" s="340">
        <v>700</v>
      </c>
      <c r="E5963" s="343"/>
    </row>
    <row r="5964" spans="1:5" s="335" customFormat="1" ht="24">
      <c r="A5964" s="342" t="s">
        <v>5520</v>
      </c>
      <c r="B5964" s="342" t="s">
        <v>5521</v>
      </c>
      <c r="C5964" s="342" t="str">
        <f>("7640004822")</f>
        <v>7640004822</v>
      </c>
      <c r="D5964" s="340">
        <v>1050</v>
      </c>
      <c r="E5964" s="343"/>
    </row>
    <row r="5965" spans="1:5" s="335" customFormat="1" ht="24">
      <c r="A5965" s="342" t="s">
        <v>5522</v>
      </c>
      <c r="B5965" s="342" t="s">
        <v>5523</v>
      </c>
      <c r="C5965" s="342" t="str">
        <f>("7640004832")</f>
        <v>7640004832</v>
      </c>
      <c r="D5965" s="340">
        <v>6500</v>
      </c>
      <c r="E5965" s="343"/>
    </row>
    <row r="5966" spans="1:5" s="335" customFormat="1" ht="24">
      <c r="A5966" s="342" t="s">
        <v>5524</v>
      </c>
      <c r="B5966" s="342" t="s">
        <v>5525</v>
      </c>
      <c r="C5966" s="342" t="str">
        <f>("7640004833")</f>
        <v>7640004833</v>
      </c>
      <c r="D5966" s="340">
        <v>1300</v>
      </c>
      <c r="E5966" s="343"/>
    </row>
    <row r="5967" spans="1:5" s="335" customFormat="1" ht="24">
      <c r="A5967" s="342" t="s">
        <v>5526</v>
      </c>
      <c r="B5967" s="342" t="s">
        <v>5527</v>
      </c>
      <c r="C5967" s="342" t="str">
        <f>("7640004834")</f>
        <v>7640004834</v>
      </c>
      <c r="D5967" s="340">
        <v>1950</v>
      </c>
      <c r="E5967" s="343"/>
    </row>
    <row r="5968" spans="1:5" s="335" customFormat="1" ht="24">
      <c r="A5968" s="342" t="s">
        <v>5528</v>
      </c>
      <c r="B5968" s="342" t="s">
        <v>5529</v>
      </c>
      <c r="C5968" s="342" t="str">
        <f>("7640004835")</f>
        <v>7640004835</v>
      </c>
      <c r="D5968" s="340">
        <v>3500</v>
      </c>
      <c r="E5968" s="343"/>
    </row>
    <row r="5969" spans="1:5" s="335" customFormat="1" ht="24">
      <c r="A5969" s="342" t="s">
        <v>5530</v>
      </c>
      <c r="B5969" s="342" t="s">
        <v>5531</v>
      </c>
      <c r="C5969" s="342" t="str">
        <f>("7640004836")</f>
        <v>7640004836</v>
      </c>
      <c r="D5969" s="340">
        <v>700</v>
      </c>
      <c r="E5969" s="343"/>
    </row>
    <row r="5970" spans="1:5" s="335" customFormat="1" ht="24">
      <c r="A5970" s="342" t="s">
        <v>5532</v>
      </c>
      <c r="B5970" s="342" t="s">
        <v>5533</v>
      </c>
      <c r="C5970" s="342" t="str">
        <f>("7640004837")</f>
        <v>7640004837</v>
      </c>
      <c r="D5970" s="340">
        <v>1050</v>
      </c>
      <c r="E5970" s="343"/>
    </row>
    <row r="5971" spans="1:5" s="335" customFormat="1" ht="24">
      <c r="A5971" s="342" t="s">
        <v>5534</v>
      </c>
      <c r="B5971" s="342" t="s">
        <v>5535</v>
      </c>
      <c r="C5971" s="342" t="str">
        <f>("7640004838")</f>
        <v>7640004838</v>
      </c>
      <c r="D5971" s="340">
        <v>3000</v>
      </c>
      <c r="E5971" s="343"/>
    </row>
    <row r="5972" spans="1:5" s="335" customFormat="1" ht="24">
      <c r="A5972" s="342" t="s">
        <v>5536</v>
      </c>
      <c r="B5972" s="342" t="s">
        <v>5537</v>
      </c>
      <c r="C5972" s="342" t="str">
        <f>("7640004839")</f>
        <v>7640004839</v>
      </c>
      <c r="D5972" s="340">
        <v>600</v>
      </c>
      <c r="E5972" s="343"/>
    </row>
    <row r="5973" spans="1:5" s="335" customFormat="1" ht="24">
      <c r="A5973" s="342" t="s">
        <v>5538</v>
      </c>
      <c r="B5973" s="342" t="s">
        <v>5539</v>
      </c>
      <c r="C5973" s="342" t="str">
        <f>("7640004840")</f>
        <v>7640004840</v>
      </c>
      <c r="D5973" s="340">
        <v>900</v>
      </c>
      <c r="E5973" s="343"/>
    </row>
    <row r="5974" spans="1:5" s="335" customFormat="1" ht="24">
      <c r="A5974" s="342" t="s">
        <v>5540</v>
      </c>
      <c r="B5974" s="342" t="s">
        <v>5541</v>
      </c>
      <c r="C5974" s="342" t="str">
        <f>("7640004844")</f>
        <v>7640004844</v>
      </c>
      <c r="D5974" s="340">
        <v>1000</v>
      </c>
      <c r="E5974" s="343"/>
    </row>
    <row r="5975" spans="1:5" s="335" customFormat="1" ht="24">
      <c r="A5975" s="342" t="s">
        <v>5542</v>
      </c>
      <c r="B5975" s="342" t="s">
        <v>5543</v>
      </c>
      <c r="C5975" s="342" t="str">
        <f>("7640004845")</f>
        <v>7640004845</v>
      </c>
      <c r="D5975" s="340">
        <v>200</v>
      </c>
      <c r="E5975" s="343"/>
    </row>
    <row r="5976" spans="1:5" s="335" customFormat="1" ht="24">
      <c r="A5976" s="342" t="s">
        <v>5544</v>
      </c>
      <c r="B5976" s="342" t="s">
        <v>5545</v>
      </c>
      <c r="C5976" s="342" t="str">
        <f>("7640004846")</f>
        <v>7640004846</v>
      </c>
      <c r="D5976" s="340">
        <v>300</v>
      </c>
      <c r="E5976" s="343"/>
    </row>
    <row r="5977" spans="1:5" s="335" customFormat="1" ht="36">
      <c r="A5977" s="342" t="s">
        <v>5546</v>
      </c>
      <c r="B5977" s="342" t="s">
        <v>5547</v>
      </c>
      <c r="C5977" s="342" t="str">
        <f>("7640004868")</f>
        <v>7640004868</v>
      </c>
      <c r="D5977" s="340">
        <v>5000</v>
      </c>
      <c r="E5977" s="343"/>
    </row>
    <row r="5978" spans="1:5" s="335" customFormat="1" ht="36">
      <c r="A5978" s="342" t="s">
        <v>5548</v>
      </c>
      <c r="B5978" s="342" t="s">
        <v>5549</v>
      </c>
      <c r="C5978" s="342" t="str">
        <f>("7640004869")</f>
        <v>7640004869</v>
      </c>
      <c r="D5978" s="340">
        <v>1000</v>
      </c>
      <c r="E5978" s="343"/>
    </row>
    <row r="5979" spans="1:5" s="335" customFormat="1" ht="36">
      <c r="A5979" s="342" t="s">
        <v>5550</v>
      </c>
      <c r="B5979" s="342" t="s">
        <v>5551</v>
      </c>
      <c r="C5979" s="342" t="str">
        <f>("7640004870")</f>
        <v>7640004870</v>
      </c>
      <c r="D5979" s="340">
        <v>1500</v>
      </c>
      <c r="E5979" s="343"/>
    </row>
    <row r="5980" spans="1:5" s="335" customFormat="1" ht="24">
      <c r="A5980" s="342" t="s">
        <v>5552</v>
      </c>
      <c r="B5980" s="342" t="s">
        <v>5553</v>
      </c>
      <c r="C5980" s="342" t="str">
        <f>("7640004871")</f>
        <v>7640004871</v>
      </c>
      <c r="D5980" s="340">
        <v>7500</v>
      </c>
      <c r="E5980" s="343"/>
    </row>
    <row r="5981" spans="1:5" s="335" customFormat="1" ht="24">
      <c r="A5981" s="342" t="s">
        <v>5554</v>
      </c>
      <c r="B5981" s="342" t="s">
        <v>5555</v>
      </c>
      <c r="C5981" s="342" t="str">
        <f>("7640004872")</f>
        <v>7640004872</v>
      </c>
      <c r="D5981" s="340">
        <v>1500</v>
      </c>
      <c r="E5981" s="343"/>
    </row>
    <row r="5982" spans="1:5" s="335" customFormat="1" ht="24">
      <c r="A5982" s="342" t="s">
        <v>5556</v>
      </c>
      <c r="B5982" s="342" t="s">
        <v>5557</v>
      </c>
      <c r="C5982" s="342" t="str">
        <f>("7640004873")</f>
        <v>7640004873</v>
      </c>
      <c r="D5982" s="340">
        <v>2250</v>
      </c>
      <c r="E5982" s="343"/>
    </row>
    <row r="5983" spans="1:5" s="335" customFormat="1" ht="24">
      <c r="A5983" s="342" t="s">
        <v>5558</v>
      </c>
      <c r="B5983" s="342" t="s">
        <v>5559</v>
      </c>
      <c r="C5983" s="342" t="str">
        <f>("7640004874")</f>
        <v>7640004874</v>
      </c>
      <c r="D5983" s="340">
        <v>5000</v>
      </c>
      <c r="E5983" s="343"/>
    </row>
    <row r="5984" spans="1:5" s="335" customFormat="1" ht="24">
      <c r="A5984" s="342" t="s">
        <v>5560</v>
      </c>
      <c r="B5984" s="342" t="s">
        <v>5561</v>
      </c>
      <c r="C5984" s="342" t="str">
        <f>("7640004875")</f>
        <v>7640004875</v>
      </c>
      <c r="D5984" s="340">
        <v>1000</v>
      </c>
      <c r="E5984" s="343"/>
    </row>
    <row r="5985" spans="1:5" s="335" customFormat="1" ht="24">
      <c r="A5985" s="342" t="s">
        <v>5562</v>
      </c>
      <c r="B5985" s="342" t="s">
        <v>5563</v>
      </c>
      <c r="C5985" s="342" t="str">
        <f>("7640004876")</f>
        <v>7640004876</v>
      </c>
      <c r="D5985" s="340">
        <v>1500</v>
      </c>
      <c r="E5985" s="343"/>
    </row>
    <row r="5986" spans="1:5" s="335" customFormat="1" ht="24">
      <c r="A5986" s="342" t="s">
        <v>5564</v>
      </c>
      <c r="B5986" s="342" t="s">
        <v>5565</v>
      </c>
      <c r="C5986" s="342" t="str">
        <f>("7640007605")</f>
        <v>7640007605</v>
      </c>
      <c r="D5986" s="340">
        <v>3000</v>
      </c>
      <c r="E5986" s="343"/>
    </row>
    <row r="5987" spans="1:5" s="335" customFormat="1" ht="36">
      <c r="A5987" s="342" t="s">
        <v>5566</v>
      </c>
      <c r="B5987" s="342" t="s">
        <v>5567</v>
      </c>
      <c r="C5987" s="342" t="str">
        <f>("7640007606")</f>
        <v>7640007606</v>
      </c>
      <c r="D5987" s="340">
        <v>600</v>
      </c>
      <c r="E5987" s="343"/>
    </row>
    <row r="5988" spans="1:5" s="335" customFormat="1" ht="36">
      <c r="A5988" s="342" t="s">
        <v>5568</v>
      </c>
      <c r="B5988" s="342" t="s">
        <v>5569</v>
      </c>
      <c r="C5988" s="342" t="str">
        <f>("7640007607")</f>
        <v>7640007607</v>
      </c>
      <c r="D5988" s="340">
        <v>900</v>
      </c>
      <c r="E5988" s="343"/>
    </row>
    <row r="5989" spans="1:5" s="335" customFormat="1" ht="12.75">
      <c r="A5989" s="342" t="s">
        <v>5570</v>
      </c>
      <c r="B5989" s="342" t="s">
        <v>5571</v>
      </c>
      <c r="C5989" s="342" t="str">
        <f>("7640007608")</f>
        <v>7640007608</v>
      </c>
      <c r="D5989" s="340">
        <v>3000</v>
      </c>
      <c r="E5989" s="343"/>
    </row>
    <row r="5990" spans="1:5" s="335" customFormat="1" ht="24">
      <c r="A5990" s="342" t="s">
        <v>5572</v>
      </c>
      <c r="B5990" s="342" t="s">
        <v>5573</v>
      </c>
      <c r="C5990" s="342" t="str">
        <f>("7640007609")</f>
        <v>7640007609</v>
      </c>
      <c r="D5990" s="340">
        <v>600</v>
      </c>
      <c r="E5990" s="343"/>
    </row>
    <row r="5991" spans="1:5" s="335" customFormat="1" ht="24">
      <c r="A5991" s="342" t="s">
        <v>5574</v>
      </c>
      <c r="B5991" s="342" t="s">
        <v>5575</v>
      </c>
      <c r="C5991" s="342" t="str">
        <f>("7640007610")</f>
        <v>7640007610</v>
      </c>
      <c r="D5991" s="340">
        <v>900</v>
      </c>
      <c r="E5991" s="343"/>
    </row>
    <row r="5992" spans="1:5" s="335" customFormat="1" ht="24">
      <c r="A5992" s="342" t="s">
        <v>5576</v>
      </c>
      <c r="B5992" s="342" t="s">
        <v>5577</v>
      </c>
      <c r="C5992" s="342" t="str">
        <f>("7640008162")</f>
        <v>7640008162</v>
      </c>
      <c r="D5992" s="340">
        <v>6500</v>
      </c>
      <c r="E5992" s="343"/>
    </row>
    <row r="5993" spans="1:5" s="335" customFormat="1" ht="36">
      <c r="A5993" s="342" t="s">
        <v>5578</v>
      </c>
      <c r="B5993" s="342" t="s">
        <v>5579</v>
      </c>
      <c r="C5993" s="342" t="str">
        <f>("7640008163")</f>
        <v>7640008163</v>
      </c>
      <c r="D5993" s="340">
        <v>1300</v>
      </c>
      <c r="E5993" s="343"/>
    </row>
    <row r="5994" spans="1:5" s="335" customFormat="1" ht="36">
      <c r="A5994" s="342" t="s">
        <v>5580</v>
      </c>
      <c r="B5994" s="342" t="s">
        <v>5581</v>
      </c>
      <c r="C5994" s="342" t="str">
        <f>("7640008164")</f>
        <v>7640008164</v>
      </c>
      <c r="D5994" s="340">
        <v>1950</v>
      </c>
      <c r="E5994" s="343"/>
    </row>
    <row r="5995" spans="1:5" s="335" customFormat="1" ht="24">
      <c r="A5995" s="342" t="s">
        <v>5582</v>
      </c>
      <c r="B5995" s="342" t="s">
        <v>5583</v>
      </c>
      <c r="C5995" s="342" t="str">
        <f>("7640008166")</f>
        <v>7640008166</v>
      </c>
      <c r="D5995" s="340">
        <v>15000</v>
      </c>
      <c r="E5995" s="343"/>
    </row>
    <row r="5996" spans="1:5" s="335" customFormat="1" ht="36">
      <c r="A5996" s="342" t="s">
        <v>5584</v>
      </c>
      <c r="B5996" s="342" t="s">
        <v>5585</v>
      </c>
      <c r="C5996" s="342" t="str">
        <f>("7640008167")</f>
        <v>7640008167</v>
      </c>
      <c r="D5996" s="340">
        <v>3000</v>
      </c>
      <c r="E5996" s="343"/>
    </row>
    <row r="5997" spans="1:5" s="335" customFormat="1" ht="36">
      <c r="A5997" s="342" t="s">
        <v>5586</v>
      </c>
      <c r="B5997" s="342" t="s">
        <v>5587</v>
      </c>
      <c r="C5997" s="342" t="str">
        <f>("7640008168")</f>
        <v>7640008168</v>
      </c>
      <c r="D5997" s="340">
        <v>4500</v>
      </c>
      <c r="E5997" s="343"/>
    </row>
    <row r="5998" spans="1:5" s="335" customFormat="1" ht="36">
      <c r="A5998" s="342" t="s">
        <v>5588</v>
      </c>
      <c r="B5998" s="342" t="s">
        <v>5589</v>
      </c>
      <c r="C5998" s="342" t="str">
        <f>("7640008171")</f>
        <v>7640008171</v>
      </c>
      <c r="D5998" s="340">
        <v>1800</v>
      </c>
      <c r="E5998" s="343"/>
    </row>
    <row r="5999" spans="1:5" s="335" customFormat="1" ht="36">
      <c r="A5999" s="342" t="s">
        <v>5590</v>
      </c>
      <c r="B5999" s="342" t="s">
        <v>5591</v>
      </c>
      <c r="C5999" s="342" t="str">
        <f>("7640008172")</f>
        <v>7640008172</v>
      </c>
      <c r="D5999" s="340">
        <v>3150</v>
      </c>
      <c r="E5999" s="343"/>
    </row>
    <row r="6000" spans="1:5" s="335" customFormat="1" ht="36">
      <c r="A6000" s="342" t="s">
        <v>5592</v>
      </c>
      <c r="B6000" s="342" t="s">
        <v>5593</v>
      </c>
      <c r="C6000" s="342" t="str">
        <f>("7640008174")</f>
        <v>7640008174</v>
      </c>
      <c r="D6000" s="340">
        <v>1500</v>
      </c>
      <c r="E6000" s="343"/>
    </row>
    <row r="6001" spans="1:5" s="335" customFormat="1" ht="36">
      <c r="A6001" s="342" t="s">
        <v>5594</v>
      </c>
      <c r="B6001" s="342" t="s">
        <v>5595</v>
      </c>
      <c r="C6001" s="342" t="str">
        <f>("7640008175")</f>
        <v>7640008175</v>
      </c>
      <c r="D6001" s="340">
        <v>2625</v>
      </c>
      <c r="E6001" s="343"/>
    </row>
    <row r="6002" spans="1:5" s="335" customFormat="1" ht="24">
      <c r="A6002" s="342" t="s">
        <v>5596</v>
      </c>
      <c r="B6002" s="342" t="s">
        <v>5597</v>
      </c>
      <c r="C6002" s="342" t="str">
        <f>("7640008177")</f>
        <v>7640008177</v>
      </c>
      <c r="D6002" s="340">
        <v>1300</v>
      </c>
      <c r="E6002" s="343"/>
    </row>
    <row r="6003" spans="1:5" s="335" customFormat="1" ht="24">
      <c r="A6003" s="342" t="s">
        <v>5598</v>
      </c>
      <c r="B6003" s="342" t="s">
        <v>5599</v>
      </c>
      <c r="C6003" s="342" t="str">
        <f>("7640008178")</f>
        <v>7640008178</v>
      </c>
      <c r="D6003" s="340">
        <v>2275</v>
      </c>
      <c r="E6003" s="343"/>
    </row>
    <row r="6004" spans="1:5" s="335" customFormat="1" ht="24">
      <c r="A6004" s="342" t="s">
        <v>5600</v>
      </c>
      <c r="B6004" s="342" t="s">
        <v>5601</v>
      </c>
      <c r="C6004" s="342" t="str">
        <f>("7640008180")</f>
        <v>7640008180</v>
      </c>
      <c r="D6004" s="340">
        <v>1200</v>
      </c>
      <c r="E6004" s="343"/>
    </row>
    <row r="6005" spans="1:5" s="335" customFormat="1" ht="24">
      <c r="A6005" s="342" t="s">
        <v>5602</v>
      </c>
      <c r="B6005" s="342" t="s">
        <v>5603</v>
      </c>
      <c r="C6005" s="342" t="str">
        <f>("7640008181")</f>
        <v>7640008181</v>
      </c>
      <c r="D6005" s="340">
        <v>2100</v>
      </c>
      <c r="E6005" s="343"/>
    </row>
    <row r="6006" spans="1:5" s="335" customFormat="1" ht="24">
      <c r="A6006" s="342" t="s">
        <v>5604</v>
      </c>
      <c r="B6006" s="342" t="s">
        <v>5605</v>
      </c>
      <c r="C6006" s="342" t="str">
        <f>("7640008183")</f>
        <v>7640008183</v>
      </c>
      <c r="D6006" s="340">
        <v>1000</v>
      </c>
      <c r="E6006" s="343"/>
    </row>
    <row r="6007" spans="1:5" s="335" customFormat="1" ht="24">
      <c r="A6007" s="342" t="s">
        <v>5606</v>
      </c>
      <c r="B6007" s="342" t="s">
        <v>5607</v>
      </c>
      <c r="C6007" s="342" t="str">
        <f>("7640008184")</f>
        <v>7640008184</v>
      </c>
      <c r="D6007" s="340">
        <v>1750</v>
      </c>
      <c r="E6007" s="343"/>
    </row>
    <row r="6008" spans="1:5" s="335" customFormat="1" ht="24">
      <c r="A6008" s="342" t="s">
        <v>5608</v>
      </c>
      <c r="B6008" s="342" t="s">
        <v>5609</v>
      </c>
      <c r="C6008" s="342" t="str">
        <f>("7640008186")</f>
        <v>7640008186</v>
      </c>
      <c r="D6008" s="340">
        <v>400</v>
      </c>
      <c r="E6008" s="343"/>
    </row>
    <row r="6009" spans="1:5" s="335" customFormat="1" ht="24">
      <c r="A6009" s="342" t="s">
        <v>5610</v>
      </c>
      <c r="B6009" s="342" t="s">
        <v>5611</v>
      </c>
      <c r="C6009" s="342" t="str">
        <f>("7640008187")</f>
        <v>7640008187</v>
      </c>
      <c r="D6009" s="340">
        <v>700</v>
      </c>
      <c r="E6009" s="343"/>
    </row>
    <row r="6010" spans="1:5" s="335" customFormat="1" ht="24">
      <c r="A6010" s="342" t="s">
        <v>5612</v>
      </c>
      <c r="B6010" s="342" t="s">
        <v>5613</v>
      </c>
      <c r="C6010" s="342" t="str">
        <f>("7640008189")</f>
        <v>7640008189</v>
      </c>
      <c r="D6010" s="340">
        <v>200</v>
      </c>
      <c r="E6010" s="343"/>
    </row>
    <row r="6011" spans="1:5" s="335" customFormat="1" ht="24">
      <c r="A6011" s="342" t="s">
        <v>5614</v>
      </c>
      <c r="B6011" s="342" t="s">
        <v>5615</v>
      </c>
      <c r="C6011" s="342" t="str">
        <f>("7640008190")</f>
        <v>7640008190</v>
      </c>
      <c r="D6011" s="340">
        <v>350</v>
      </c>
      <c r="E6011" s="343"/>
    </row>
    <row r="6012" spans="1:5" s="335" customFormat="1" ht="24">
      <c r="A6012" s="342" t="s">
        <v>5616</v>
      </c>
      <c r="B6012" s="342" t="s">
        <v>5617</v>
      </c>
      <c r="C6012" s="342" t="str">
        <f>("7640015089")</f>
        <v>7640015089</v>
      </c>
      <c r="D6012" s="340">
        <v>3500</v>
      </c>
      <c r="E6012" s="343"/>
    </row>
    <row r="6013" spans="1:5" s="335" customFormat="1" ht="24">
      <c r="A6013" s="342" t="s">
        <v>5618</v>
      </c>
      <c r="B6013" s="342" t="s">
        <v>5619</v>
      </c>
      <c r="C6013" s="342" t="str">
        <f>("7640015090")</f>
        <v>7640015090</v>
      </c>
      <c r="D6013" s="340">
        <v>700</v>
      </c>
      <c r="E6013" s="343"/>
    </row>
    <row r="6014" spans="1:5" s="335" customFormat="1" ht="24">
      <c r="A6014" s="342" t="s">
        <v>5620</v>
      </c>
      <c r="B6014" s="342" t="s">
        <v>5621</v>
      </c>
      <c r="C6014" s="342" t="str">
        <f>("7640015091")</f>
        <v>7640015091</v>
      </c>
      <c r="D6014" s="340">
        <v>1050</v>
      </c>
      <c r="E6014" s="343"/>
    </row>
    <row r="6015" spans="1:5" s="335" customFormat="1" ht="24">
      <c r="A6015" s="342" t="s">
        <v>5622</v>
      </c>
      <c r="B6015" s="342" t="s">
        <v>5623</v>
      </c>
      <c r="C6015" s="342" t="s">
        <v>6386</v>
      </c>
      <c r="D6015" s="340">
        <v>2000</v>
      </c>
      <c r="E6015" s="343"/>
    </row>
    <row r="6016" spans="1:5" s="335" customFormat="1" ht="24">
      <c r="A6016" s="342" t="s">
        <v>5624</v>
      </c>
      <c r="B6016" s="342" t="s">
        <v>5625</v>
      </c>
      <c r="C6016" s="342" t="str">
        <f>("7640017641")</f>
        <v>7640017641</v>
      </c>
      <c r="D6016" s="340">
        <v>400</v>
      </c>
      <c r="E6016" s="343"/>
    </row>
    <row r="6017" spans="1:5" s="335" customFormat="1" ht="24">
      <c r="A6017" s="342" t="s">
        <v>5626</v>
      </c>
      <c r="B6017" s="342" t="s">
        <v>5627</v>
      </c>
      <c r="C6017" s="342" t="str">
        <f>("7640017642")</f>
        <v>7640017642</v>
      </c>
      <c r="D6017" s="340">
        <v>600</v>
      </c>
      <c r="E6017" s="343"/>
    </row>
    <row r="6018" spans="1:5" s="335" customFormat="1" ht="12.75">
      <c r="A6018" s="403" t="s">
        <v>5628</v>
      </c>
      <c r="B6018" s="403"/>
      <c r="C6018" s="403"/>
      <c r="D6018" s="403"/>
      <c r="E6018" s="343"/>
    </row>
    <row r="6019" spans="1:5" s="335" customFormat="1" ht="24">
      <c r="A6019" s="342" t="s">
        <v>5629</v>
      </c>
      <c r="B6019" s="342" t="s">
        <v>5630</v>
      </c>
      <c r="C6019" s="342" t="str">
        <f>("7640004794")</f>
        <v>7640004794</v>
      </c>
      <c r="D6019" s="340">
        <v>500</v>
      </c>
      <c r="E6019" s="343"/>
    </row>
    <row r="6020" spans="1:5" s="335" customFormat="1" ht="24">
      <c r="A6020" s="342" t="s">
        <v>5631</v>
      </c>
      <c r="B6020" s="342" t="s">
        <v>5632</v>
      </c>
      <c r="C6020" s="342" t="str">
        <f>("7640004795")</f>
        <v>7640004795</v>
      </c>
      <c r="D6020" s="340">
        <v>4500</v>
      </c>
      <c r="E6020" s="343"/>
    </row>
    <row r="6021" spans="1:5" s="335" customFormat="1" ht="24">
      <c r="A6021" s="342" t="s">
        <v>5633</v>
      </c>
      <c r="B6021" s="342" t="s">
        <v>5634</v>
      </c>
      <c r="C6021" s="342" t="str">
        <f>("7640004796")</f>
        <v>7640004796</v>
      </c>
      <c r="D6021" s="340">
        <v>1500</v>
      </c>
      <c r="E6021" s="343"/>
    </row>
    <row r="6022" spans="1:5" s="335" customFormat="1" ht="24">
      <c r="A6022" s="342" t="s">
        <v>5635</v>
      </c>
      <c r="B6022" s="342" t="s">
        <v>5636</v>
      </c>
      <c r="C6022" s="342" t="str">
        <f>("7640004797")</f>
        <v>7640004797</v>
      </c>
      <c r="D6022" s="340">
        <v>1500</v>
      </c>
      <c r="E6022" s="343"/>
    </row>
    <row r="6023" spans="1:5" s="335" customFormat="1" ht="36">
      <c r="A6023" s="342" t="s">
        <v>5637</v>
      </c>
      <c r="B6023" s="342" t="s">
        <v>5638</v>
      </c>
      <c r="C6023" s="342" t="str">
        <f>("7640004798")</f>
        <v>7640004798</v>
      </c>
      <c r="D6023" s="340">
        <v>7000</v>
      </c>
      <c r="E6023" s="343"/>
    </row>
    <row r="6024" spans="1:5" s="335" customFormat="1" ht="24">
      <c r="A6024" s="342" t="s">
        <v>5639</v>
      </c>
      <c r="B6024" s="342" t="s">
        <v>5640</v>
      </c>
      <c r="C6024" s="342" t="str">
        <f>("7640004799")</f>
        <v>7640004799</v>
      </c>
      <c r="D6024" s="340">
        <v>3500</v>
      </c>
      <c r="E6024" s="343"/>
    </row>
    <row r="6025" spans="1:5" s="335" customFormat="1" ht="36">
      <c r="A6025" s="342" t="s">
        <v>5641</v>
      </c>
      <c r="B6025" s="342" t="s">
        <v>5642</v>
      </c>
      <c r="C6025" s="342" t="str">
        <f>("7640007604")</f>
        <v>7640007604</v>
      </c>
      <c r="D6025" s="340">
        <v>5000</v>
      </c>
      <c r="E6025" s="343"/>
    </row>
    <row r="6026" spans="1:5" s="335" customFormat="1" ht="36">
      <c r="A6026" s="342" t="s">
        <v>5643</v>
      </c>
      <c r="B6026" s="342" t="s">
        <v>5644</v>
      </c>
      <c r="C6026" s="342" t="str">
        <f>("7640008157")</f>
        <v>7640008157</v>
      </c>
      <c r="D6026" s="340">
        <v>3500</v>
      </c>
      <c r="E6026" s="343"/>
    </row>
    <row r="6027" spans="1:5" s="335" customFormat="1" ht="36">
      <c r="A6027" s="342" t="s">
        <v>5645</v>
      </c>
      <c r="B6027" s="342" t="s">
        <v>5646</v>
      </c>
      <c r="C6027" s="342" t="str">
        <f>("7640008158")</f>
        <v>7640008158</v>
      </c>
      <c r="D6027" s="340">
        <v>3500</v>
      </c>
      <c r="E6027" s="343"/>
    </row>
    <row r="6028" spans="1:5" s="335" customFormat="1" ht="36">
      <c r="A6028" s="342" t="s">
        <v>5647</v>
      </c>
      <c r="B6028" s="342" t="s">
        <v>5648</v>
      </c>
      <c r="C6028" s="342" t="str">
        <f>("7640008159")</f>
        <v>7640008159</v>
      </c>
      <c r="D6028" s="340">
        <v>3500</v>
      </c>
      <c r="E6028" s="343"/>
    </row>
    <row r="6029" spans="1:5" s="335" customFormat="1" ht="36">
      <c r="A6029" s="342" t="s">
        <v>5649</v>
      </c>
      <c r="B6029" s="342" t="s">
        <v>5650</v>
      </c>
      <c r="C6029" s="342" t="str">
        <f>("7640008160")</f>
        <v>7640008160</v>
      </c>
      <c r="D6029" s="340">
        <v>3500</v>
      </c>
      <c r="E6029" s="343"/>
    </row>
    <row r="6030" spans="1:5" s="335" customFormat="1" ht="36">
      <c r="A6030" s="342" t="s">
        <v>5651</v>
      </c>
      <c r="B6030" s="342" t="s">
        <v>5652</v>
      </c>
      <c r="C6030" s="342" t="str">
        <f>("7640008161")</f>
        <v>7640008161</v>
      </c>
      <c r="D6030" s="340">
        <v>3500</v>
      </c>
      <c r="E6030" s="343"/>
    </row>
    <row r="6031" spans="1:5" s="335" customFormat="1" ht="36">
      <c r="A6031" s="342" t="s">
        <v>5653</v>
      </c>
      <c r="B6031" s="342" t="s">
        <v>5654</v>
      </c>
      <c r="C6031" s="342" t="str">
        <f>("7640008165")</f>
        <v>7640008165</v>
      </c>
      <c r="D6031" s="340">
        <v>3500</v>
      </c>
      <c r="E6031" s="343"/>
    </row>
    <row r="6032" spans="1:5" s="335" customFormat="1" ht="36">
      <c r="A6032" s="342" t="s">
        <v>5655</v>
      </c>
      <c r="B6032" s="342" t="s">
        <v>5656</v>
      </c>
      <c r="C6032" s="342" t="str">
        <f>("7640008169")</f>
        <v>7640008169</v>
      </c>
      <c r="D6032" s="340">
        <v>3000</v>
      </c>
      <c r="E6032" s="343"/>
    </row>
    <row r="6033" spans="1:5" s="335" customFormat="1" ht="36">
      <c r="A6033" s="342" t="s">
        <v>5657</v>
      </c>
      <c r="B6033" s="342" t="s">
        <v>5658</v>
      </c>
      <c r="C6033" s="342" t="str">
        <f>("7640008191")</f>
        <v>7640008191</v>
      </c>
      <c r="D6033" s="340">
        <v>3500</v>
      </c>
      <c r="E6033" s="343"/>
    </row>
    <row r="6034" spans="1:5" s="335" customFormat="1" ht="24">
      <c r="A6034" s="342" t="s">
        <v>5659</v>
      </c>
      <c r="B6034" s="342" t="s">
        <v>5660</v>
      </c>
      <c r="C6034" s="342" t="str">
        <f>("7640017643")</f>
        <v>7640017643</v>
      </c>
      <c r="D6034" s="340">
        <v>1500</v>
      </c>
      <c r="E6034" s="343"/>
    </row>
    <row r="6035" spans="1:5" s="335" customFormat="1" ht="36">
      <c r="A6035" s="342" t="s">
        <v>5661</v>
      </c>
      <c r="B6035" s="342" t="s">
        <v>5662</v>
      </c>
      <c r="C6035" s="342" t="str">
        <f>("7640017644")</f>
        <v>7640017644</v>
      </c>
      <c r="D6035" s="340">
        <v>1500</v>
      </c>
      <c r="E6035" s="343"/>
    </row>
    <row r="6036" spans="1:5" s="335" customFormat="1" ht="36">
      <c r="A6036" s="342" t="s">
        <v>5663</v>
      </c>
      <c r="B6036" s="342" t="s">
        <v>5664</v>
      </c>
      <c r="C6036" s="342" t="str">
        <f>("7640017645")</f>
        <v>7640017645</v>
      </c>
      <c r="D6036" s="340">
        <v>500</v>
      </c>
      <c r="E6036" s="343"/>
    </row>
    <row r="6037" spans="1:5" s="335" customFormat="1" ht="12.75">
      <c r="A6037" s="344"/>
      <c r="B6037" s="343"/>
      <c r="C6037" s="343"/>
      <c r="D6037" s="395"/>
      <c r="E6037" s="343"/>
    </row>
    <row r="6038" spans="1:5" s="335" customFormat="1" ht="15" customHeight="1">
      <c r="A6038" s="345"/>
      <c r="B6038" s="404" t="s">
        <v>5665</v>
      </c>
      <c r="C6038" s="404"/>
      <c r="D6038" s="404"/>
      <c r="E6038" s="404"/>
    </row>
    <row r="6039" spans="1:5" s="335" customFormat="1" ht="25.5">
      <c r="A6039" s="346" t="s">
        <v>789</v>
      </c>
      <c r="B6039" s="346" t="s">
        <v>409</v>
      </c>
      <c r="C6039" s="346" t="s">
        <v>26</v>
      </c>
      <c r="D6039" s="337" t="s">
        <v>6425</v>
      </c>
      <c r="E6039" s="343"/>
    </row>
    <row r="6040" spans="1:5" s="335" customFormat="1" ht="26.25">
      <c r="A6040" s="342" t="s">
        <v>5666</v>
      </c>
      <c r="B6040" s="342"/>
      <c r="C6040" s="342" t="s">
        <v>6387</v>
      </c>
      <c r="D6040" s="340">
        <v>0</v>
      </c>
      <c r="E6040" s="343"/>
    </row>
    <row r="6041" spans="1:5" s="335" customFormat="1" ht="12.75">
      <c r="A6041" s="403" t="s">
        <v>5487</v>
      </c>
      <c r="B6041" s="403"/>
      <c r="C6041" s="403"/>
      <c r="D6041" s="403"/>
      <c r="E6041" s="343"/>
    </row>
    <row r="6042" spans="1:5" s="335" customFormat="1" ht="24">
      <c r="A6042" s="342" t="s">
        <v>5488</v>
      </c>
      <c r="B6042" s="342" t="s">
        <v>5489</v>
      </c>
      <c r="C6042" s="342" t="str">
        <f>("7640004718")</f>
        <v>7640004718</v>
      </c>
      <c r="D6042" s="340">
        <v>300</v>
      </c>
      <c r="E6042" s="343"/>
    </row>
    <row r="6043" spans="1:5" s="335" customFormat="1" ht="12.75">
      <c r="A6043" s="403" t="s">
        <v>792</v>
      </c>
      <c r="B6043" s="403"/>
      <c r="C6043" s="403"/>
      <c r="D6043" s="403"/>
      <c r="E6043" s="343"/>
    </row>
    <row r="6044" spans="1:5" s="335" customFormat="1" ht="36">
      <c r="A6044" s="342" t="s">
        <v>5667</v>
      </c>
      <c r="B6044" s="342" t="s">
        <v>5668</v>
      </c>
      <c r="C6044" s="342" t="s">
        <v>6388</v>
      </c>
      <c r="D6044" s="340">
        <v>16495</v>
      </c>
      <c r="E6044" s="343"/>
    </row>
    <row r="6045" spans="1:5" s="335" customFormat="1" ht="12.75">
      <c r="A6045" s="403" t="s">
        <v>803</v>
      </c>
      <c r="B6045" s="403"/>
      <c r="C6045" s="403"/>
      <c r="D6045" s="403"/>
      <c r="E6045" s="343"/>
    </row>
    <row r="6046" spans="1:5" s="335" customFormat="1" ht="24">
      <c r="A6046" s="342" t="s">
        <v>5669</v>
      </c>
      <c r="B6046" s="342" t="s">
        <v>5670</v>
      </c>
      <c r="C6046" s="342" t="str">
        <f>("7640015083")</f>
        <v>7640015083</v>
      </c>
      <c r="D6046" s="340">
        <v>3299</v>
      </c>
      <c r="E6046" s="343"/>
    </row>
    <row r="6047" spans="1:5" s="335" customFormat="1" ht="24">
      <c r="A6047" s="342" t="s">
        <v>5671</v>
      </c>
      <c r="B6047" s="342" t="s">
        <v>5672</v>
      </c>
      <c r="C6047" s="342" t="str">
        <f>("7640015084")</f>
        <v>7640015084</v>
      </c>
      <c r="D6047" s="340">
        <v>4949</v>
      </c>
      <c r="E6047" s="343"/>
    </row>
    <row r="6048" spans="1:5" s="335" customFormat="1" ht="12.75">
      <c r="A6048" s="403" t="s">
        <v>819</v>
      </c>
      <c r="B6048" s="403"/>
      <c r="C6048" s="403"/>
      <c r="D6048" s="403"/>
      <c r="E6048" s="343"/>
    </row>
    <row r="6049" spans="1:5" s="335" customFormat="1" ht="36">
      <c r="A6049" s="342" t="s">
        <v>5673</v>
      </c>
      <c r="B6049" s="342" t="s">
        <v>5674</v>
      </c>
      <c r="C6049" s="342" t="str">
        <f>("7640015086")</f>
        <v>7640015086</v>
      </c>
      <c r="D6049" s="340">
        <v>3000</v>
      </c>
      <c r="E6049" s="343"/>
    </row>
    <row r="6050" spans="1:5" s="335" customFormat="1" ht="12.75">
      <c r="A6050" s="403" t="s">
        <v>836</v>
      </c>
      <c r="B6050" s="403"/>
      <c r="C6050" s="403"/>
      <c r="D6050" s="403"/>
      <c r="E6050" s="343"/>
    </row>
    <row r="6051" spans="1:5" s="335" customFormat="1" ht="24">
      <c r="A6051" s="342" t="s">
        <v>5675</v>
      </c>
      <c r="B6051" s="342" t="s">
        <v>5676</v>
      </c>
      <c r="C6051" s="342" t="str">
        <f>("7640015087")</f>
        <v>7640015087</v>
      </c>
      <c r="D6051" s="340">
        <v>600</v>
      </c>
      <c r="E6051" s="343"/>
    </row>
    <row r="6052" spans="1:5" s="335" customFormat="1" ht="24">
      <c r="A6052" s="342" t="s">
        <v>5677</v>
      </c>
      <c r="B6052" s="342" t="s">
        <v>5678</v>
      </c>
      <c r="C6052" s="342" t="str">
        <f>("7640015088")</f>
        <v>7640015088</v>
      </c>
      <c r="D6052" s="340">
        <v>900</v>
      </c>
      <c r="E6052" s="343"/>
    </row>
    <row r="6053" spans="1:5" s="335" customFormat="1" ht="12.75">
      <c r="A6053" s="403" t="s">
        <v>856</v>
      </c>
      <c r="B6053" s="403"/>
      <c r="C6053" s="403"/>
      <c r="D6053" s="403"/>
      <c r="E6053" s="343"/>
    </row>
    <row r="6054" spans="1:5" s="335" customFormat="1" ht="24">
      <c r="A6054" s="342" t="s">
        <v>5679</v>
      </c>
      <c r="B6054" s="342" t="s">
        <v>5680</v>
      </c>
      <c r="C6054" s="342" t="str">
        <f>("7640015085")</f>
        <v>7640015085</v>
      </c>
      <c r="D6054" s="340">
        <v>3500</v>
      </c>
      <c r="E6054" s="343"/>
    </row>
    <row r="6055" spans="1:5" s="335" customFormat="1" ht="12.75">
      <c r="A6055" s="344"/>
      <c r="B6055" s="343"/>
      <c r="C6055" s="343"/>
      <c r="D6055" s="395"/>
      <c r="E6055" s="343"/>
    </row>
    <row r="6056" spans="1:5" s="335" customFormat="1" ht="15" customHeight="1">
      <c r="A6056" s="345"/>
      <c r="B6056" s="404" t="s">
        <v>5681</v>
      </c>
      <c r="C6056" s="404"/>
      <c r="D6056" s="404"/>
      <c r="E6056" s="404"/>
    </row>
    <row r="6057" spans="1:5" s="335" customFormat="1" ht="25.5">
      <c r="A6057" s="346" t="s">
        <v>789</v>
      </c>
      <c r="B6057" s="346" t="s">
        <v>409</v>
      </c>
      <c r="C6057" s="346" t="s">
        <v>26</v>
      </c>
      <c r="D6057" s="337" t="s">
        <v>6425</v>
      </c>
      <c r="E6057" s="343"/>
    </row>
    <row r="6058" spans="1:5" s="335" customFormat="1" ht="24">
      <c r="A6058" s="342" t="s">
        <v>5682</v>
      </c>
      <c r="B6058" s="342"/>
      <c r="C6058" s="342" t="s">
        <v>6389</v>
      </c>
      <c r="D6058" s="340">
        <v>0</v>
      </c>
      <c r="E6058" s="343"/>
    </row>
    <row r="6059" spans="1:5" s="335" customFormat="1" ht="12.75">
      <c r="A6059" s="403" t="s">
        <v>5456</v>
      </c>
      <c r="B6059" s="403"/>
      <c r="C6059" s="403"/>
      <c r="D6059" s="403"/>
      <c r="E6059" s="343"/>
    </row>
    <row r="6060" spans="1:5" s="335" customFormat="1" ht="36">
      <c r="A6060" s="342" t="s">
        <v>5683</v>
      </c>
      <c r="B6060" s="342" t="s">
        <v>5684</v>
      </c>
      <c r="C6060" s="342" t="s">
        <v>6390</v>
      </c>
      <c r="D6060" s="340">
        <v>9995</v>
      </c>
      <c r="E6060" s="343"/>
    </row>
    <row r="6061" spans="1:5" s="335" customFormat="1" ht="36">
      <c r="A6061" s="342" t="s">
        <v>5685</v>
      </c>
      <c r="B6061" s="342" t="s">
        <v>5686</v>
      </c>
      <c r="C6061" s="342" t="str">
        <f>("7640007499")</f>
        <v>7640007499</v>
      </c>
      <c r="D6061" s="340">
        <v>1999</v>
      </c>
      <c r="E6061" s="343"/>
    </row>
    <row r="6062" spans="1:5" s="335" customFormat="1" ht="36">
      <c r="A6062" s="342" t="s">
        <v>5687</v>
      </c>
      <c r="B6062" s="342" t="s">
        <v>5688</v>
      </c>
      <c r="C6062" s="342" t="str">
        <f>("7640007500")</f>
        <v>7640007500</v>
      </c>
      <c r="D6062" s="340">
        <v>2999</v>
      </c>
      <c r="E6062" s="343"/>
    </row>
    <row r="6063" spans="1:5" s="335" customFormat="1" ht="12.75">
      <c r="A6063" s="403" t="s">
        <v>5487</v>
      </c>
      <c r="B6063" s="403"/>
      <c r="C6063" s="403"/>
      <c r="D6063" s="403"/>
      <c r="E6063" s="343"/>
    </row>
    <row r="6064" spans="1:5" s="335" customFormat="1" ht="24">
      <c r="A6064" s="342" t="s">
        <v>5488</v>
      </c>
      <c r="B6064" s="342" t="s">
        <v>5489</v>
      </c>
      <c r="C6064" s="342" t="str">
        <f>("7640004718")</f>
        <v>7640004718</v>
      </c>
      <c r="D6064" s="340">
        <v>300</v>
      </c>
      <c r="E6064" s="343"/>
    </row>
    <row r="6065" spans="1:5" s="335" customFormat="1" ht="12.75">
      <c r="A6065" s="403" t="s">
        <v>5628</v>
      </c>
      <c r="B6065" s="403"/>
      <c r="C6065" s="403"/>
      <c r="D6065" s="403"/>
      <c r="E6065" s="343"/>
    </row>
    <row r="6066" spans="1:5" s="335" customFormat="1" ht="36">
      <c r="A6066" s="342" t="s">
        <v>5689</v>
      </c>
      <c r="B6066" s="342" t="s">
        <v>5690</v>
      </c>
      <c r="C6066" s="342" t="str">
        <f>("7640007501")</f>
        <v>7640007501</v>
      </c>
      <c r="D6066" s="340">
        <v>3500</v>
      </c>
      <c r="E6066" s="343"/>
    </row>
    <row r="6067" spans="1:5" s="335" customFormat="1" ht="12.75">
      <c r="A6067" s="344"/>
      <c r="B6067" s="343"/>
      <c r="C6067" s="343"/>
      <c r="D6067" s="395"/>
      <c r="E6067" s="343"/>
    </row>
    <row r="6068" spans="1:5" s="335" customFormat="1" ht="15" customHeight="1">
      <c r="A6068" s="345"/>
      <c r="B6068" s="404" t="s">
        <v>5691</v>
      </c>
      <c r="C6068" s="404"/>
      <c r="D6068" s="404"/>
      <c r="E6068" s="404"/>
    </row>
    <row r="6069" spans="1:5" s="335" customFormat="1" ht="25.5">
      <c r="A6069" s="346" t="s">
        <v>789</v>
      </c>
      <c r="B6069" s="346" t="s">
        <v>409</v>
      </c>
      <c r="C6069" s="346" t="s">
        <v>26</v>
      </c>
      <c r="D6069" s="337" t="s">
        <v>6425</v>
      </c>
      <c r="E6069" s="343"/>
    </row>
    <row r="6070" spans="1:5" s="335" customFormat="1" ht="14.25">
      <c r="A6070" s="342" t="s">
        <v>5692</v>
      </c>
      <c r="B6070" s="342"/>
      <c r="C6070" s="342" t="s">
        <v>6391</v>
      </c>
      <c r="D6070" s="340">
        <v>0</v>
      </c>
      <c r="E6070" s="343"/>
    </row>
    <row r="6071" spans="1:5" s="335" customFormat="1" ht="12.75">
      <c r="A6071" s="403" t="s">
        <v>5490</v>
      </c>
      <c r="B6071" s="403"/>
      <c r="C6071" s="403"/>
      <c r="D6071" s="403"/>
      <c r="E6071" s="343"/>
    </row>
    <row r="6072" spans="1:5" s="335" customFormat="1" ht="24">
      <c r="A6072" s="342" t="s">
        <v>5693</v>
      </c>
      <c r="B6072" s="342" t="s">
        <v>5694</v>
      </c>
      <c r="C6072" s="342" t="s">
        <v>6392</v>
      </c>
      <c r="D6072" s="340">
        <v>15000</v>
      </c>
      <c r="E6072" s="343"/>
    </row>
    <row r="6073" spans="1:5" s="335" customFormat="1" ht="24">
      <c r="A6073" s="342" t="s">
        <v>5695</v>
      </c>
      <c r="B6073" s="342" t="s">
        <v>5696</v>
      </c>
      <c r="C6073" s="342" t="str">
        <f>("7640007613")</f>
        <v>7640007613</v>
      </c>
      <c r="D6073" s="340">
        <v>3000</v>
      </c>
      <c r="E6073" s="343"/>
    </row>
    <row r="6074" spans="1:5" s="335" customFormat="1" ht="24">
      <c r="A6074" s="342" t="s">
        <v>5697</v>
      </c>
      <c r="B6074" s="342" t="s">
        <v>5698</v>
      </c>
      <c r="C6074" s="342" t="str">
        <f>("7640007614")</f>
        <v>7640007614</v>
      </c>
      <c r="D6074" s="340">
        <v>4500</v>
      </c>
      <c r="E6074" s="343"/>
    </row>
    <row r="6075" spans="1:5" s="335" customFormat="1" ht="36">
      <c r="A6075" s="342" t="s">
        <v>5699</v>
      </c>
      <c r="B6075" s="342" t="s">
        <v>5700</v>
      </c>
      <c r="C6075" s="342" t="s">
        <v>6393</v>
      </c>
      <c r="D6075" s="340">
        <v>7500</v>
      </c>
      <c r="E6075" s="343"/>
    </row>
    <row r="6076" spans="1:5" s="335" customFormat="1" ht="24">
      <c r="A6076" s="342" t="s">
        <v>5695</v>
      </c>
      <c r="B6076" s="342" t="s">
        <v>5701</v>
      </c>
      <c r="C6076" s="342" t="str">
        <f>("7640007616")</f>
        <v>7640007616</v>
      </c>
      <c r="D6076" s="340">
        <v>1500</v>
      </c>
      <c r="E6076" s="343"/>
    </row>
    <row r="6077" spans="1:5" s="335" customFormat="1" ht="24">
      <c r="A6077" s="342" t="s">
        <v>5697</v>
      </c>
      <c r="B6077" s="342" t="s">
        <v>5702</v>
      </c>
      <c r="C6077" s="342" t="str">
        <f>("7640007617")</f>
        <v>7640007617</v>
      </c>
      <c r="D6077" s="340">
        <v>2250</v>
      </c>
      <c r="E6077" s="343"/>
    </row>
    <row r="6078" spans="1:5" s="335" customFormat="1" ht="24">
      <c r="A6078" s="342" t="s">
        <v>5695</v>
      </c>
      <c r="B6078" s="342" t="s">
        <v>5703</v>
      </c>
      <c r="C6078" s="342" t="str">
        <f>("7640007619")</f>
        <v>7640007619</v>
      </c>
      <c r="D6078" s="340">
        <v>9000</v>
      </c>
      <c r="E6078" s="343"/>
    </row>
    <row r="6079" spans="1:5" s="335" customFormat="1" ht="24">
      <c r="A6079" s="342" t="s">
        <v>5697</v>
      </c>
      <c r="B6079" s="342" t="s">
        <v>5704</v>
      </c>
      <c r="C6079" s="342" t="str">
        <f>("7640007620")</f>
        <v>7640007620</v>
      </c>
      <c r="D6079" s="340">
        <v>15750</v>
      </c>
      <c r="E6079" s="343"/>
    </row>
    <row r="6080" spans="1:5" s="335" customFormat="1" ht="36">
      <c r="A6080" s="342" t="s">
        <v>5705</v>
      </c>
      <c r="B6080" s="342" t="s">
        <v>5706</v>
      </c>
      <c r="C6080" s="342" t="s">
        <v>6394</v>
      </c>
      <c r="D6080" s="340">
        <v>12500</v>
      </c>
      <c r="E6080" s="343"/>
    </row>
    <row r="6081" spans="1:5" s="335" customFormat="1" ht="36">
      <c r="A6081" s="342" t="s">
        <v>5707</v>
      </c>
      <c r="B6081" s="342" t="s">
        <v>5708</v>
      </c>
      <c r="C6081" s="342" t="str">
        <f>("7640009481")</f>
        <v>7640009481</v>
      </c>
      <c r="D6081" s="340">
        <v>2500</v>
      </c>
      <c r="E6081" s="343"/>
    </row>
    <row r="6082" spans="1:5" s="335" customFormat="1" ht="12.75">
      <c r="A6082" s="403" t="s">
        <v>5628</v>
      </c>
      <c r="B6082" s="403"/>
      <c r="C6082" s="403"/>
      <c r="D6082" s="403"/>
      <c r="E6082" s="343"/>
    </row>
    <row r="6083" spans="1:5" s="335" customFormat="1" ht="24">
      <c r="A6083" s="342" t="s">
        <v>5629</v>
      </c>
      <c r="B6083" s="342" t="s">
        <v>5630</v>
      </c>
      <c r="C6083" s="342" t="str">
        <f>("7640004794")</f>
        <v>7640004794</v>
      </c>
      <c r="D6083" s="340">
        <v>500</v>
      </c>
      <c r="E6083" s="343"/>
    </row>
    <row r="6084" spans="1:5" s="335" customFormat="1" ht="24">
      <c r="A6084" s="342" t="s">
        <v>5631</v>
      </c>
      <c r="B6084" s="342" t="s">
        <v>5632</v>
      </c>
      <c r="C6084" s="342" t="str">
        <f>("7640004795")</f>
        <v>7640004795</v>
      </c>
      <c r="D6084" s="340">
        <v>4500</v>
      </c>
      <c r="E6084" s="343"/>
    </row>
    <row r="6085" spans="1:5" s="335" customFormat="1" ht="24">
      <c r="A6085" s="342" t="s">
        <v>5633</v>
      </c>
      <c r="B6085" s="342" t="s">
        <v>5634</v>
      </c>
      <c r="C6085" s="342" t="str">
        <f>("7640004796")</f>
        <v>7640004796</v>
      </c>
      <c r="D6085" s="340">
        <v>1500</v>
      </c>
      <c r="E6085" s="343"/>
    </row>
    <row r="6086" spans="1:5" s="335" customFormat="1" ht="24">
      <c r="A6086" s="342" t="s">
        <v>5635</v>
      </c>
      <c r="B6086" s="342" t="s">
        <v>5636</v>
      </c>
      <c r="C6086" s="342" t="str">
        <f>("7640004797")</f>
        <v>7640004797</v>
      </c>
      <c r="D6086" s="340">
        <v>1500</v>
      </c>
      <c r="E6086" s="343"/>
    </row>
    <row r="6087" spans="1:5" s="335" customFormat="1" ht="24">
      <c r="A6087" s="342" t="s">
        <v>5709</v>
      </c>
      <c r="B6087" s="342" t="s">
        <v>5710</v>
      </c>
      <c r="C6087" s="342" t="str">
        <f>("7640007611")</f>
        <v>7640007611</v>
      </c>
      <c r="D6087" s="340">
        <v>1500</v>
      </c>
      <c r="E6087" s="343"/>
    </row>
    <row r="6088" spans="1:5" s="335" customFormat="1" ht="12.75">
      <c r="A6088" s="344"/>
      <c r="B6088" s="343"/>
      <c r="C6088" s="343"/>
      <c r="D6088" s="395"/>
      <c r="E6088" s="343"/>
    </row>
    <row r="6089" spans="1:5" s="335" customFormat="1" ht="15" customHeight="1">
      <c r="A6089" s="345"/>
      <c r="B6089" s="404" t="s">
        <v>5711</v>
      </c>
      <c r="C6089" s="404"/>
      <c r="D6089" s="404"/>
      <c r="E6089" s="404"/>
    </row>
    <row r="6090" spans="1:5" s="335" customFormat="1" ht="25.5">
      <c r="A6090" s="346" t="s">
        <v>789</v>
      </c>
      <c r="B6090" s="346" t="s">
        <v>409</v>
      </c>
      <c r="C6090" s="346" t="s">
        <v>26</v>
      </c>
      <c r="D6090" s="337" t="s">
        <v>6425</v>
      </c>
      <c r="E6090" s="343"/>
    </row>
    <row r="6091" spans="1:5" s="335" customFormat="1" ht="14.25">
      <c r="A6091" s="342" t="s">
        <v>5712</v>
      </c>
      <c r="B6091" s="342"/>
      <c r="C6091" s="342" t="s">
        <v>6395</v>
      </c>
      <c r="D6091" s="340">
        <v>0</v>
      </c>
      <c r="E6091" s="343"/>
    </row>
    <row r="6092" spans="1:5" s="335" customFormat="1" ht="12.75">
      <c r="A6092" s="403" t="s">
        <v>792</v>
      </c>
      <c r="B6092" s="403"/>
      <c r="C6092" s="403"/>
      <c r="D6092" s="403"/>
      <c r="E6092" s="343"/>
    </row>
    <row r="6093" spans="1:5" s="335" customFormat="1" ht="14.25">
      <c r="A6093" s="342" t="s">
        <v>5713</v>
      </c>
      <c r="B6093" s="342" t="s">
        <v>5714</v>
      </c>
      <c r="C6093" s="342" t="s">
        <v>6396</v>
      </c>
      <c r="D6093" s="340">
        <v>15000</v>
      </c>
      <c r="E6093" s="343"/>
    </row>
    <row r="6094" spans="1:5" s="335" customFormat="1" ht="12.75">
      <c r="A6094" s="403" t="s">
        <v>803</v>
      </c>
      <c r="B6094" s="403"/>
      <c r="C6094" s="403"/>
      <c r="D6094" s="403"/>
      <c r="E6094" s="343"/>
    </row>
    <row r="6095" spans="1:5" s="335" customFormat="1" ht="36">
      <c r="A6095" s="342" t="s">
        <v>5715</v>
      </c>
      <c r="B6095" s="342" t="s">
        <v>5716</v>
      </c>
      <c r="C6095" s="342" t="str">
        <f>("7640015094")</f>
        <v>7640015094</v>
      </c>
      <c r="D6095" s="340">
        <v>3000</v>
      </c>
      <c r="E6095" s="343"/>
    </row>
    <row r="6096" spans="1:5" s="335" customFormat="1" ht="36">
      <c r="A6096" s="342" t="s">
        <v>5717</v>
      </c>
      <c r="B6096" s="342" t="s">
        <v>5718</v>
      </c>
      <c r="C6096" s="342" t="str">
        <f>("7640015095")</f>
        <v>7640015095</v>
      </c>
      <c r="D6096" s="340">
        <v>4500</v>
      </c>
      <c r="E6096" s="343"/>
    </row>
    <row r="6097" spans="1:5" s="335" customFormat="1" ht="12.75">
      <c r="A6097" s="403" t="s">
        <v>856</v>
      </c>
      <c r="B6097" s="403"/>
      <c r="C6097" s="403"/>
      <c r="D6097" s="403"/>
      <c r="E6097" s="343"/>
    </row>
    <row r="6098" spans="1:5" s="335" customFormat="1" ht="24">
      <c r="A6098" s="342" t="s">
        <v>5719</v>
      </c>
      <c r="B6098" s="342" t="s">
        <v>5720</v>
      </c>
      <c r="C6098" s="342" t="str">
        <f>("7640015092")</f>
        <v>7640015092</v>
      </c>
      <c r="D6098" s="340">
        <v>3500</v>
      </c>
      <c r="E6098" s="343"/>
    </row>
    <row r="6099" spans="1:5" s="335" customFormat="1" ht="12.75">
      <c r="A6099" s="344"/>
      <c r="B6099" s="343"/>
      <c r="C6099" s="343"/>
      <c r="D6099" s="395"/>
      <c r="E6099" s="343"/>
    </row>
    <row r="6100" spans="1:5" s="335" customFormat="1" ht="15" customHeight="1">
      <c r="A6100" s="345"/>
      <c r="B6100" s="404" t="s">
        <v>5721</v>
      </c>
      <c r="C6100" s="404"/>
      <c r="D6100" s="404"/>
      <c r="E6100" s="404"/>
    </row>
    <row r="6101" spans="1:5" s="335" customFormat="1" ht="25.5">
      <c r="A6101" s="346" t="s">
        <v>789</v>
      </c>
      <c r="B6101" s="346" t="s">
        <v>409</v>
      </c>
      <c r="C6101" s="346" t="s">
        <v>26</v>
      </c>
      <c r="D6101" s="337" t="s">
        <v>6425</v>
      </c>
      <c r="E6101" s="343"/>
    </row>
    <row r="6102" spans="1:5" s="335" customFormat="1" ht="14.25">
      <c r="A6102" s="342" t="s">
        <v>5722</v>
      </c>
      <c r="B6102" s="342"/>
      <c r="C6102" s="342" t="s">
        <v>6397</v>
      </c>
      <c r="D6102" s="340">
        <v>0</v>
      </c>
      <c r="E6102" s="343"/>
    </row>
    <row r="6103" spans="1:5" s="335" customFormat="1" ht="12.75">
      <c r="A6103" s="403" t="s">
        <v>5456</v>
      </c>
      <c r="B6103" s="403"/>
      <c r="C6103" s="403"/>
      <c r="D6103" s="403"/>
      <c r="E6103" s="343"/>
    </row>
    <row r="6104" spans="1:5" s="335" customFormat="1" ht="24">
      <c r="A6104" s="342" t="s">
        <v>5723</v>
      </c>
      <c r="B6104" s="342" t="s">
        <v>5724</v>
      </c>
      <c r="C6104" s="342" t="s">
        <v>6398</v>
      </c>
      <c r="D6104" s="340">
        <v>9500</v>
      </c>
      <c r="E6104" s="343"/>
    </row>
    <row r="6105" spans="1:5" s="335" customFormat="1" ht="24">
      <c r="A6105" s="342" t="s">
        <v>5725</v>
      </c>
      <c r="B6105" s="342" t="s">
        <v>5726</v>
      </c>
      <c r="C6105" s="342" t="str">
        <f>("7640004721")</f>
        <v>7640004721</v>
      </c>
      <c r="D6105" s="340">
        <v>1900</v>
      </c>
      <c r="E6105" s="343"/>
    </row>
    <row r="6106" spans="1:5" s="335" customFormat="1" ht="24">
      <c r="A6106" s="342" t="s">
        <v>5727</v>
      </c>
      <c r="B6106" s="342" t="s">
        <v>5728</v>
      </c>
      <c r="C6106" s="342" t="str">
        <f>("7640004722")</f>
        <v>7640004722</v>
      </c>
      <c r="D6106" s="340">
        <v>2850</v>
      </c>
      <c r="E6106" s="343"/>
    </row>
    <row r="6107" spans="1:5" s="335" customFormat="1" ht="24">
      <c r="A6107" s="342" t="s">
        <v>5729</v>
      </c>
      <c r="B6107" s="342" t="s">
        <v>5730</v>
      </c>
      <c r="C6107" s="342" t="str">
        <f>("7640004724")</f>
        <v>7640004724</v>
      </c>
      <c r="D6107" s="340">
        <v>2679</v>
      </c>
      <c r="E6107" s="343"/>
    </row>
    <row r="6108" spans="1:5" s="335" customFormat="1" ht="24">
      <c r="A6108" s="342" t="s">
        <v>5731</v>
      </c>
      <c r="B6108" s="342" t="s">
        <v>5732</v>
      </c>
      <c r="C6108" s="342" t="str">
        <f>("7640004725")</f>
        <v>7640004725</v>
      </c>
      <c r="D6108" s="340">
        <v>4688</v>
      </c>
      <c r="E6108" s="343"/>
    </row>
    <row r="6109" spans="1:5" s="335" customFormat="1" ht="12.75">
      <c r="A6109" s="342" t="s">
        <v>5733</v>
      </c>
      <c r="B6109" s="342" t="s">
        <v>5734</v>
      </c>
      <c r="C6109" s="342" t="str">
        <f>("7640004726")</f>
        <v>7640004726</v>
      </c>
      <c r="D6109" s="340">
        <v>12800</v>
      </c>
      <c r="E6109" s="343"/>
    </row>
    <row r="6110" spans="1:5" s="335" customFormat="1" ht="24">
      <c r="A6110" s="342" t="s">
        <v>5735</v>
      </c>
      <c r="B6110" s="342" t="s">
        <v>5736</v>
      </c>
      <c r="C6110" s="342" t="str">
        <f>("7640004727")</f>
        <v>7640004727</v>
      </c>
      <c r="D6110" s="340">
        <v>2560</v>
      </c>
      <c r="E6110" s="343"/>
    </row>
    <row r="6111" spans="1:5" s="335" customFormat="1" ht="24">
      <c r="A6111" s="342" t="s">
        <v>5737</v>
      </c>
      <c r="B6111" s="342" t="s">
        <v>5738</v>
      </c>
      <c r="C6111" s="342" t="str">
        <f>("7640004728")</f>
        <v>7640004728</v>
      </c>
      <c r="D6111" s="340">
        <v>3840</v>
      </c>
      <c r="E6111" s="343"/>
    </row>
    <row r="6112" spans="1:5" s="335" customFormat="1" ht="24">
      <c r="A6112" s="342" t="s">
        <v>5739</v>
      </c>
      <c r="B6112" s="342" t="s">
        <v>5740</v>
      </c>
      <c r="C6112" s="342" t="str">
        <f>("7640004730")</f>
        <v>7640004730</v>
      </c>
      <c r="D6112" s="340">
        <v>3239</v>
      </c>
      <c r="E6112" s="343"/>
    </row>
    <row r="6113" spans="1:5" s="335" customFormat="1" ht="24">
      <c r="A6113" s="342" t="s">
        <v>5741</v>
      </c>
      <c r="B6113" s="342" t="s">
        <v>5742</v>
      </c>
      <c r="C6113" s="342" t="str">
        <f>("7640004731")</f>
        <v>7640004731</v>
      </c>
      <c r="D6113" s="340">
        <v>5668</v>
      </c>
      <c r="E6113" s="343"/>
    </row>
    <row r="6114" spans="1:5" s="335" customFormat="1" ht="12.75">
      <c r="A6114" s="342" t="s">
        <v>5743</v>
      </c>
      <c r="B6114" s="342" t="s">
        <v>5744</v>
      </c>
      <c r="C6114" s="342" t="str">
        <f>("7640004732")</f>
        <v>7640004732</v>
      </c>
      <c r="D6114" s="340">
        <v>3500</v>
      </c>
      <c r="E6114" s="343"/>
    </row>
    <row r="6115" spans="1:5" s="335" customFormat="1" ht="24">
      <c r="A6115" s="342" t="s">
        <v>5457</v>
      </c>
      <c r="B6115" s="342" t="s">
        <v>5458</v>
      </c>
      <c r="C6115" s="342" t="s">
        <v>6399</v>
      </c>
      <c r="D6115" s="340">
        <v>2995</v>
      </c>
      <c r="E6115" s="343"/>
    </row>
    <row r="6116" spans="1:5" s="335" customFormat="1" ht="24">
      <c r="A6116" s="342" t="s">
        <v>5459</v>
      </c>
      <c r="B6116" s="342" t="s">
        <v>5460</v>
      </c>
      <c r="C6116" s="342" t="str">
        <f>("7640004735")</f>
        <v>7640004735</v>
      </c>
      <c r="D6116" s="340">
        <v>599</v>
      </c>
      <c r="E6116" s="343"/>
    </row>
    <row r="6117" spans="1:5" s="335" customFormat="1" ht="24">
      <c r="A6117" s="342" t="s">
        <v>5461</v>
      </c>
      <c r="B6117" s="342" t="s">
        <v>5462</v>
      </c>
      <c r="C6117" s="342" t="str">
        <f>("7640004736")</f>
        <v>7640004736</v>
      </c>
      <c r="D6117" s="340">
        <v>899</v>
      </c>
      <c r="E6117" s="343"/>
    </row>
    <row r="6118" spans="1:5" s="335" customFormat="1" ht="24">
      <c r="A6118" s="342" t="s">
        <v>5463</v>
      </c>
      <c r="B6118" s="342" t="s">
        <v>5464</v>
      </c>
      <c r="C6118" s="342" t="s">
        <v>6400</v>
      </c>
      <c r="D6118" s="340">
        <v>2995</v>
      </c>
      <c r="E6118" s="343"/>
    </row>
    <row r="6119" spans="1:5" s="335" customFormat="1" ht="24">
      <c r="A6119" s="342" t="s">
        <v>5465</v>
      </c>
      <c r="B6119" s="342" t="s">
        <v>5466</v>
      </c>
      <c r="C6119" s="342" t="str">
        <f>("7640004738")</f>
        <v>7640004738</v>
      </c>
      <c r="D6119" s="340">
        <v>599</v>
      </c>
      <c r="E6119" s="343"/>
    </row>
    <row r="6120" spans="1:5" s="335" customFormat="1" ht="24">
      <c r="A6120" s="342" t="s">
        <v>5467</v>
      </c>
      <c r="B6120" s="342" t="s">
        <v>5468</v>
      </c>
      <c r="C6120" s="342" t="str">
        <f>("7640004739")</f>
        <v>7640004739</v>
      </c>
      <c r="D6120" s="340">
        <v>899</v>
      </c>
      <c r="E6120" s="343"/>
    </row>
    <row r="6121" spans="1:5" s="335" customFormat="1" ht="12.75">
      <c r="A6121" s="403" t="s">
        <v>5487</v>
      </c>
      <c r="B6121" s="403"/>
      <c r="C6121" s="403"/>
      <c r="D6121" s="403"/>
      <c r="E6121" s="343"/>
    </row>
    <row r="6122" spans="1:5" s="335" customFormat="1" ht="24">
      <c r="A6122" s="342" t="s">
        <v>5488</v>
      </c>
      <c r="B6122" s="342" t="s">
        <v>5489</v>
      </c>
      <c r="C6122" s="342" t="str">
        <f>("7640004718")</f>
        <v>7640004718</v>
      </c>
      <c r="D6122" s="340">
        <v>300</v>
      </c>
      <c r="E6122" s="343"/>
    </row>
    <row r="6123" spans="1:5" s="335" customFormat="1" ht="12.75">
      <c r="A6123" s="403" t="s">
        <v>5490</v>
      </c>
      <c r="B6123" s="403"/>
      <c r="C6123" s="403"/>
      <c r="D6123" s="403"/>
      <c r="E6123" s="343"/>
    </row>
    <row r="6124" spans="1:5" s="335" customFormat="1" ht="24">
      <c r="A6124" s="342" t="s">
        <v>5745</v>
      </c>
      <c r="B6124" s="342" t="s">
        <v>5746</v>
      </c>
      <c r="C6124" s="342" t="s">
        <v>6401</v>
      </c>
      <c r="D6124" s="340">
        <v>22000</v>
      </c>
      <c r="E6124" s="343"/>
    </row>
    <row r="6125" spans="1:5" s="335" customFormat="1" ht="24">
      <c r="A6125" s="342" t="s">
        <v>5747</v>
      </c>
      <c r="B6125" s="342" t="s">
        <v>5748</v>
      </c>
      <c r="C6125" s="342" t="str">
        <f>("7640004750")</f>
        <v>7640004750</v>
      </c>
      <c r="D6125" s="340">
        <v>4400</v>
      </c>
      <c r="E6125" s="343"/>
    </row>
    <row r="6126" spans="1:5" s="335" customFormat="1" ht="24">
      <c r="A6126" s="342" t="s">
        <v>5749</v>
      </c>
      <c r="B6126" s="342" t="s">
        <v>5750</v>
      </c>
      <c r="C6126" s="342" t="str">
        <f>("7640004751")</f>
        <v>7640004751</v>
      </c>
      <c r="D6126" s="340">
        <v>6600</v>
      </c>
      <c r="E6126" s="343"/>
    </row>
    <row r="6127" spans="1:5" s="335" customFormat="1" ht="24">
      <c r="A6127" s="342" t="s">
        <v>5751</v>
      </c>
      <c r="B6127" s="342" t="s">
        <v>5752</v>
      </c>
      <c r="C6127" s="342" t="str">
        <f>("7640008152")</f>
        <v>7640008152</v>
      </c>
      <c r="D6127" s="340">
        <v>4000</v>
      </c>
      <c r="E6127" s="343"/>
    </row>
    <row r="6128" spans="1:5" s="335" customFormat="1" ht="24">
      <c r="A6128" s="342" t="s">
        <v>5753</v>
      </c>
      <c r="B6128" s="342" t="s">
        <v>5754</v>
      </c>
      <c r="C6128" s="342" t="str">
        <f>("7640008153")</f>
        <v>7640008153</v>
      </c>
      <c r="D6128" s="340">
        <v>7000</v>
      </c>
      <c r="E6128" s="343"/>
    </row>
    <row r="6129" spans="1:5" s="335" customFormat="1" ht="24">
      <c r="A6129" s="342" t="s">
        <v>5755</v>
      </c>
      <c r="B6129" s="342" t="s">
        <v>5756</v>
      </c>
      <c r="C6129" s="342" t="str">
        <f>("7640008155")</f>
        <v>7640008155</v>
      </c>
      <c r="D6129" s="340">
        <v>2800</v>
      </c>
      <c r="E6129" s="343"/>
    </row>
    <row r="6130" spans="1:5" s="335" customFormat="1" ht="24">
      <c r="A6130" s="342" t="s">
        <v>5757</v>
      </c>
      <c r="B6130" s="342" t="s">
        <v>5758</v>
      </c>
      <c r="C6130" s="342" t="str">
        <f>("7640008156")</f>
        <v>7640008156</v>
      </c>
      <c r="D6130" s="340">
        <v>4900</v>
      </c>
      <c r="E6130" s="343"/>
    </row>
    <row r="6131" spans="1:5" s="335" customFormat="1" ht="36">
      <c r="A6131" s="342" t="s">
        <v>5759</v>
      </c>
      <c r="B6131" s="342" t="s">
        <v>5760</v>
      </c>
      <c r="C6131" s="342" t="str">
        <f>("7640008196")</f>
        <v>7640008196</v>
      </c>
      <c r="D6131" s="340">
        <v>3200</v>
      </c>
      <c r="E6131" s="343"/>
    </row>
    <row r="6132" spans="1:5" s="335" customFormat="1" ht="36">
      <c r="A6132" s="342" t="s">
        <v>5761</v>
      </c>
      <c r="B6132" s="342" t="s">
        <v>5762</v>
      </c>
      <c r="C6132" s="342" t="str">
        <f>("7640008199")</f>
        <v>7640008199</v>
      </c>
      <c r="D6132" s="340">
        <v>2800</v>
      </c>
      <c r="E6132" s="343"/>
    </row>
    <row r="6133" spans="1:5" s="335" customFormat="1" ht="36">
      <c r="A6133" s="342" t="s">
        <v>5763</v>
      </c>
      <c r="B6133" s="342" t="s">
        <v>5764</v>
      </c>
      <c r="C6133" s="342" t="str">
        <f>("7640008200")</f>
        <v>7640008200</v>
      </c>
      <c r="D6133" s="340">
        <v>4900</v>
      </c>
      <c r="E6133" s="343"/>
    </row>
    <row r="6134" spans="1:5" s="335" customFormat="1" ht="24">
      <c r="A6134" s="342" t="s">
        <v>5765</v>
      </c>
      <c r="B6134" s="342" t="s">
        <v>5766</v>
      </c>
      <c r="C6134" s="342" t="str">
        <f>("7640008202")</f>
        <v>7640008202</v>
      </c>
      <c r="D6134" s="340">
        <v>2000</v>
      </c>
      <c r="E6134" s="343"/>
    </row>
    <row r="6135" spans="1:5" s="335" customFormat="1" ht="24">
      <c r="A6135" s="342" t="s">
        <v>5767</v>
      </c>
      <c r="B6135" s="342" t="s">
        <v>5768</v>
      </c>
      <c r="C6135" s="342" t="str">
        <f>("7640008203")</f>
        <v>7640008203</v>
      </c>
      <c r="D6135" s="340">
        <v>3500</v>
      </c>
      <c r="E6135" s="343"/>
    </row>
    <row r="6136" spans="1:5" s="335" customFormat="1" ht="24">
      <c r="A6136" s="342" t="s">
        <v>5769</v>
      </c>
      <c r="B6136" s="342" t="s">
        <v>5770</v>
      </c>
      <c r="C6136" s="342" t="str">
        <f>("7640008205")</f>
        <v>7640008205</v>
      </c>
      <c r="D6136" s="340">
        <v>1100</v>
      </c>
      <c r="E6136" s="343"/>
    </row>
    <row r="6137" spans="1:5" s="335" customFormat="1" ht="24">
      <c r="A6137" s="342" t="s">
        <v>5771</v>
      </c>
      <c r="B6137" s="342" t="s">
        <v>5772</v>
      </c>
      <c r="C6137" s="342" t="str">
        <f>("7640008206")</f>
        <v>7640008206</v>
      </c>
      <c r="D6137" s="340">
        <v>1925</v>
      </c>
      <c r="E6137" s="343"/>
    </row>
    <row r="6138" spans="1:5" s="335" customFormat="1" ht="24">
      <c r="A6138" s="342" t="s">
        <v>5773</v>
      </c>
      <c r="B6138" s="342" t="s">
        <v>5774</v>
      </c>
      <c r="C6138" s="342" t="str">
        <f>("7640008208")</f>
        <v>7640008208</v>
      </c>
      <c r="D6138" s="340">
        <v>700</v>
      </c>
      <c r="E6138" s="343"/>
    </row>
    <row r="6139" spans="1:5" s="335" customFormat="1" ht="24">
      <c r="A6139" s="342" t="s">
        <v>5775</v>
      </c>
      <c r="B6139" s="342" t="s">
        <v>5776</v>
      </c>
      <c r="C6139" s="342" t="str">
        <f>("7640008209")</f>
        <v>7640008209</v>
      </c>
      <c r="D6139" s="340">
        <v>1225</v>
      </c>
      <c r="E6139" s="343"/>
    </row>
    <row r="6140" spans="1:5" s="335" customFormat="1" ht="24">
      <c r="A6140" s="342" t="s">
        <v>5777</v>
      </c>
      <c r="B6140" s="342" t="s">
        <v>5778</v>
      </c>
      <c r="C6140" s="342" t="str">
        <f>("7640008211")</f>
        <v>7640008211</v>
      </c>
      <c r="D6140" s="340">
        <v>300</v>
      </c>
      <c r="E6140" s="343"/>
    </row>
    <row r="6141" spans="1:5" s="335" customFormat="1" ht="24">
      <c r="A6141" s="342" t="s">
        <v>5779</v>
      </c>
      <c r="B6141" s="342" t="s">
        <v>5780</v>
      </c>
      <c r="C6141" s="342" t="str">
        <f>("7640008212")</f>
        <v>7640008212</v>
      </c>
      <c r="D6141" s="340">
        <v>525</v>
      </c>
      <c r="E6141" s="343"/>
    </row>
    <row r="6142" spans="1:5" s="335" customFormat="1" ht="24">
      <c r="A6142" s="342" t="s">
        <v>5781</v>
      </c>
      <c r="B6142" s="342" t="s">
        <v>5782</v>
      </c>
      <c r="C6142" s="342" t="str">
        <f>("7640008214")</f>
        <v>7640008214</v>
      </c>
      <c r="D6142" s="340">
        <v>2000</v>
      </c>
      <c r="E6142" s="343"/>
    </row>
    <row r="6143" spans="1:5" s="335" customFormat="1" ht="24">
      <c r="A6143" s="342" t="s">
        <v>5783</v>
      </c>
      <c r="B6143" s="342" t="s">
        <v>5784</v>
      </c>
      <c r="C6143" s="342" t="str">
        <f>("7640008215")</f>
        <v>7640008215</v>
      </c>
      <c r="D6143" s="340">
        <v>3500</v>
      </c>
      <c r="E6143" s="343"/>
    </row>
    <row r="6144" spans="1:5" s="335" customFormat="1" ht="24">
      <c r="A6144" s="342" t="s">
        <v>5785</v>
      </c>
      <c r="B6144" s="342" t="s">
        <v>5786</v>
      </c>
      <c r="C6144" s="342" t="s">
        <v>6402</v>
      </c>
      <c r="D6144" s="340">
        <v>12500</v>
      </c>
      <c r="E6144" s="343"/>
    </row>
    <row r="6145" spans="1:5" s="335" customFormat="1" ht="36">
      <c r="A6145" s="342" t="s">
        <v>5787</v>
      </c>
      <c r="B6145" s="342" t="s">
        <v>5788</v>
      </c>
      <c r="C6145" s="342" t="str">
        <f>("7640015070")</f>
        <v>7640015070</v>
      </c>
      <c r="D6145" s="340">
        <v>2500</v>
      </c>
      <c r="E6145" s="343"/>
    </row>
    <row r="6146" spans="1:5" s="335" customFormat="1" ht="36">
      <c r="A6146" s="342" t="s">
        <v>5789</v>
      </c>
      <c r="B6146" s="342" t="s">
        <v>5790</v>
      </c>
      <c r="C6146" s="342" t="str">
        <f>("7640015071")</f>
        <v>7640015071</v>
      </c>
      <c r="D6146" s="340">
        <v>3750</v>
      </c>
      <c r="E6146" s="343"/>
    </row>
    <row r="6147" spans="1:5" s="335" customFormat="1" ht="24">
      <c r="A6147" s="342" t="s">
        <v>5791</v>
      </c>
      <c r="B6147" s="342" t="s">
        <v>5792</v>
      </c>
      <c r="C6147" s="342" t="s">
        <v>6403</v>
      </c>
      <c r="D6147" s="340">
        <v>9000</v>
      </c>
      <c r="E6147" s="343"/>
    </row>
    <row r="6148" spans="1:5" s="335" customFormat="1" ht="24">
      <c r="A6148" s="342" t="s">
        <v>5793</v>
      </c>
      <c r="B6148" s="342" t="s">
        <v>5794</v>
      </c>
      <c r="C6148" s="342" t="str">
        <f>("7640015073")</f>
        <v>7640015073</v>
      </c>
      <c r="D6148" s="340">
        <v>1800</v>
      </c>
      <c r="E6148" s="343"/>
    </row>
    <row r="6149" spans="1:5" s="335" customFormat="1" ht="24">
      <c r="A6149" s="342" t="s">
        <v>5795</v>
      </c>
      <c r="B6149" s="342" t="s">
        <v>5796</v>
      </c>
      <c r="C6149" s="342" t="str">
        <f>("7640015074")</f>
        <v>7640015074</v>
      </c>
      <c r="D6149" s="340">
        <v>2700</v>
      </c>
      <c r="E6149" s="343"/>
    </row>
    <row r="6150" spans="1:5" s="335" customFormat="1" ht="24">
      <c r="A6150" s="342" t="s">
        <v>5797</v>
      </c>
      <c r="B6150" s="342" t="s">
        <v>5798</v>
      </c>
      <c r="C6150" s="342" t="str">
        <f>("7640015075")</f>
        <v>7640015075</v>
      </c>
      <c r="D6150" s="340">
        <v>6000</v>
      </c>
      <c r="E6150" s="343"/>
    </row>
    <row r="6151" spans="1:5" s="335" customFormat="1" ht="24">
      <c r="A6151" s="342" t="s">
        <v>5799</v>
      </c>
      <c r="B6151" s="342" t="s">
        <v>5800</v>
      </c>
      <c r="C6151" s="342" t="str">
        <f>("7640015076")</f>
        <v>7640015076</v>
      </c>
      <c r="D6151" s="340">
        <v>1200</v>
      </c>
      <c r="E6151" s="343"/>
    </row>
    <row r="6152" spans="1:5" s="335" customFormat="1" ht="24">
      <c r="A6152" s="342" t="s">
        <v>5801</v>
      </c>
      <c r="B6152" s="342" t="s">
        <v>5802</v>
      </c>
      <c r="C6152" s="342" t="str">
        <f>("7640015077")</f>
        <v>7640015077</v>
      </c>
      <c r="D6152" s="340">
        <v>1800</v>
      </c>
      <c r="E6152" s="343"/>
    </row>
    <row r="6153" spans="1:5" s="335" customFormat="1" ht="24">
      <c r="A6153" s="342" t="s">
        <v>5803</v>
      </c>
      <c r="B6153" s="342" t="s">
        <v>5804</v>
      </c>
      <c r="C6153" s="342" t="str">
        <f>("7640015078")</f>
        <v>7640015078</v>
      </c>
      <c r="D6153" s="340">
        <v>4500</v>
      </c>
      <c r="E6153" s="343"/>
    </row>
    <row r="6154" spans="1:5" s="335" customFormat="1" ht="24">
      <c r="A6154" s="342" t="s">
        <v>5805</v>
      </c>
      <c r="B6154" s="342" t="s">
        <v>5806</v>
      </c>
      <c r="C6154" s="342" t="str">
        <f>("7640015079")</f>
        <v>7640015079</v>
      </c>
      <c r="D6154" s="340">
        <v>900</v>
      </c>
      <c r="E6154" s="343"/>
    </row>
    <row r="6155" spans="1:5" s="335" customFormat="1" ht="24">
      <c r="A6155" s="342" t="s">
        <v>5807</v>
      </c>
      <c r="B6155" s="342" t="s">
        <v>5808</v>
      </c>
      <c r="C6155" s="342" t="str">
        <f>("7640015080")</f>
        <v>7640015080</v>
      </c>
      <c r="D6155" s="340">
        <v>1350</v>
      </c>
      <c r="E6155" s="343"/>
    </row>
    <row r="6156" spans="1:5" s="335" customFormat="1" ht="12.75">
      <c r="A6156" s="403" t="s">
        <v>5497</v>
      </c>
      <c r="B6156" s="403"/>
      <c r="C6156" s="403"/>
      <c r="D6156" s="403"/>
      <c r="E6156" s="343"/>
    </row>
    <row r="6157" spans="1:5" s="335" customFormat="1" ht="24">
      <c r="A6157" s="342" t="s">
        <v>5809</v>
      </c>
      <c r="B6157" s="342" t="s">
        <v>5810</v>
      </c>
      <c r="C6157" s="342" t="str">
        <f>("7640004752")</f>
        <v>7640004752</v>
      </c>
      <c r="D6157" s="340">
        <v>10000</v>
      </c>
      <c r="E6157" s="343"/>
    </row>
    <row r="6158" spans="1:5" s="335" customFormat="1" ht="24">
      <c r="A6158" s="342" t="s">
        <v>5811</v>
      </c>
      <c r="B6158" s="342" t="s">
        <v>5812</v>
      </c>
      <c r="C6158" s="342" t="str">
        <f>("7640004753")</f>
        <v>7640004753</v>
      </c>
      <c r="D6158" s="340">
        <v>2000</v>
      </c>
      <c r="E6158" s="343"/>
    </row>
    <row r="6159" spans="1:5" s="335" customFormat="1" ht="24">
      <c r="A6159" s="342" t="s">
        <v>5813</v>
      </c>
      <c r="B6159" s="342" t="s">
        <v>5814</v>
      </c>
      <c r="C6159" s="342" t="str">
        <f>("7640004754")</f>
        <v>7640004754</v>
      </c>
      <c r="D6159" s="340">
        <v>3000</v>
      </c>
      <c r="E6159" s="343"/>
    </row>
    <row r="6160" spans="1:5" s="335" customFormat="1" ht="24">
      <c r="A6160" s="342" t="s">
        <v>5815</v>
      </c>
      <c r="B6160" s="342" t="s">
        <v>5816</v>
      </c>
      <c r="C6160" s="342" t="str">
        <f>("7640004776")</f>
        <v>7640004776</v>
      </c>
      <c r="D6160" s="340">
        <v>1000</v>
      </c>
      <c r="E6160" s="343"/>
    </row>
    <row r="6161" spans="1:5" s="335" customFormat="1" ht="36">
      <c r="A6161" s="342" t="s">
        <v>5817</v>
      </c>
      <c r="B6161" s="342" t="s">
        <v>5818</v>
      </c>
      <c r="C6161" s="342" t="str">
        <f>("7640004777")</f>
        <v>7640004777</v>
      </c>
      <c r="D6161" s="340">
        <v>200</v>
      </c>
      <c r="E6161" s="343"/>
    </row>
    <row r="6162" spans="1:5" s="335" customFormat="1" ht="36">
      <c r="A6162" s="342" t="s">
        <v>5819</v>
      </c>
      <c r="B6162" s="342" t="s">
        <v>5820</v>
      </c>
      <c r="C6162" s="342" t="str">
        <f>("7640004778")</f>
        <v>7640004778</v>
      </c>
      <c r="D6162" s="340">
        <v>300</v>
      </c>
      <c r="E6162" s="343"/>
    </row>
    <row r="6163" spans="1:5" s="335" customFormat="1" ht="24">
      <c r="A6163" s="342" t="s">
        <v>5821</v>
      </c>
      <c r="B6163" s="342" t="s">
        <v>5822</v>
      </c>
      <c r="C6163" s="342" t="str">
        <f>("7640004779")</f>
        <v>7640004779</v>
      </c>
      <c r="D6163" s="340">
        <v>1000</v>
      </c>
      <c r="E6163" s="343"/>
    </row>
    <row r="6164" spans="1:5" s="335" customFormat="1" ht="36">
      <c r="A6164" s="342" t="s">
        <v>5823</v>
      </c>
      <c r="B6164" s="342" t="s">
        <v>5824</v>
      </c>
      <c r="C6164" s="342" t="str">
        <f>("7640004780")</f>
        <v>7640004780</v>
      </c>
      <c r="D6164" s="340">
        <v>200</v>
      </c>
      <c r="E6164" s="343"/>
    </row>
    <row r="6165" spans="1:5" s="335" customFormat="1" ht="36">
      <c r="A6165" s="342" t="s">
        <v>5825</v>
      </c>
      <c r="B6165" s="342" t="s">
        <v>5826</v>
      </c>
      <c r="C6165" s="342" t="str">
        <f>("7640004781")</f>
        <v>7640004781</v>
      </c>
      <c r="D6165" s="340">
        <v>300</v>
      </c>
      <c r="E6165" s="343"/>
    </row>
    <row r="6166" spans="1:5" s="335" customFormat="1" ht="24">
      <c r="A6166" s="342" t="s">
        <v>5827</v>
      </c>
      <c r="B6166" s="342" t="s">
        <v>5828</v>
      </c>
      <c r="C6166" s="342" t="str">
        <f>("7640004782")</f>
        <v>7640004782</v>
      </c>
      <c r="D6166" s="340">
        <v>1000</v>
      </c>
      <c r="E6166" s="343"/>
    </row>
    <row r="6167" spans="1:5" s="335" customFormat="1" ht="36">
      <c r="A6167" s="342" t="s">
        <v>5829</v>
      </c>
      <c r="B6167" s="342" t="s">
        <v>5830</v>
      </c>
      <c r="C6167" s="342" t="str">
        <f>("7640004783")</f>
        <v>7640004783</v>
      </c>
      <c r="D6167" s="340">
        <v>200</v>
      </c>
      <c r="E6167" s="343"/>
    </row>
    <row r="6168" spans="1:5" s="335" customFormat="1" ht="36">
      <c r="A6168" s="342" t="s">
        <v>5831</v>
      </c>
      <c r="B6168" s="342" t="s">
        <v>5832</v>
      </c>
      <c r="C6168" s="342" t="str">
        <f>("7640004784")</f>
        <v>7640004784</v>
      </c>
      <c r="D6168" s="340">
        <v>300</v>
      </c>
      <c r="E6168" s="343"/>
    </row>
    <row r="6169" spans="1:5" s="335" customFormat="1" ht="24">
      <c r="A6169" s="342" t="s">
        <v>5833</v>
      </c>
      <c r="B6169" s="342" t="s">
        <v>5806</v>
      </c>
      <c r="C6169" s="342" t="str">
        <f>("7640004786")</f>
        <v>7640004786</v>
      </c>
      <c r="D6169" s="340">
        <v>200</v>
      </c>
      <c r="E6169" s="343"/>
    </row>
    <row r="6170" spans="1:5" s="335" customFormat="1" ht="24">
      <c r="A6170" s="342" t="s">
        <v>5834</v>
      </c>
      <c r="B6170" s="342" t="s">
        <v>5835</v>
      </c>
      <c r="C6170" s="342" t="str">
        <f>("7640004787")</f>
        <v>7640004787</v>
      </c>
      <c r="D6170" s="340">
        <v>350</v>
      </c>
      <c r="E6170" s="343"/>
    </row>
    <row r="6171" spans="1:5" s="335" customFormat="1" ht="24">
      <c r="A6171" s="342" t="s">
        <v>5836</v>
      </c>
      <c r="B6171" s="342" t="s">
        <v>5837</v>
      </c>
      <c r="C6171" s="342" t="str">
        <f>("7640004788")</f>
        <v>7640004788</v>
      </c>
      <c r="D6171" s="340">
        <v>7500</v>
      </c>
      <c r="E6171" s="343"/>
    </row>
    <row r="6172" spans="1:5" s="335" customFormat="1" ht="12.75">
      <c r="A6172" s="342" t="s">
        <v>5838</v>
      </c>
      <c r="B6172" s="342" t="s">
        <v>5839</v>
      </c>
      <c r="C6172" s="342" t="str">
        <f>("7640004789")</f>
        <v>7640004789</v>
      </c>
      <c r="D6172" s="340">
        <v>1500</v>
      </c>
      <c r="E6172" s="343"/>
    </row>
    <row r="6173" spans="1:5" s="335" customFormat="1" ht="12.75">
      <c r="A6173" s="342" t="s">
        <v>5840</v>
      </c>
      <c r="B6173" s="342" t="s">
        <v>5841</v>
      </c>
      <c r="C6173" s="342" t="str">
        <f>("7640004790")</f>
        <v>7640004790</v>
      </c>
      <c r="D6173" s="340">
        <v>2250</v>
      </c>
      <c r="E6173" s="343"/>
    </row>
    <row r="6174" spans="1:5" s="335" customFormat="1" ht="24">
      <c r="A6174" s="342" t="s">
        <v>5842</v>
      </c>
      <c r="B6174" s="342" t="s">
        <v>5843</v>
      </c>
      <c r="C6174" s="342" t="str">
        <f>("7640004791")</f>
        <v>7640004791</v>
      </c>
      <c r="D6174" s="340">
        <v>12500</v>
      </c>
      <c r="E6174" s="343"/>
    </row>
    <row r="6175" spans="1:5" s="335" customFormat="1" ht="12.75">
      <c r="A6175" s="342" t="s">
        <v>5844</v>
      </c>
      <c r="B6175" s="342" t="s">
        <v>5845</v>
      </c>
      <c r="C6175" s="342" t="str">
        <f>("7640004792")</f>
        <v>7640004792</v>
      </c>
      <c r="D6175" s="340">
        <v>2500</v>
      </c>
      <c r="E6175" s="343"/>
    </row>
    <row r="6176" spans="1:5" s="335" customFormat="1" ht="12.75">
      <c r="A6176" s="342" t="s">
        <v>5846</v>
      </c>
      <c r="B6176" s="342" t="s">
        <v>5847</v>
      </c>
      <c r="C6176" s="342" t="str">
        <f>("7640004793")</f>
        <v>7640004793</v>
      </c>
      <c r="D6176" s="340">
        <v>3750</v>
      </c>
      <c r="E6176" s="343"/>
    </row>
    <row r="6177" spans="1:5" s="335" customFormat="1" ht="24">
      <c r="A6177" s="342" t="s">
        <v>5622</v>
      </c>
      <c r="B6177" s="342" t="s">
        <v>5623</v>
      </c>
      <c r="C6177" s="342" t="s">
        <v>6386</v>
      </c>
      <c r="D6177" s="340">
        <v>2000</v>
      </c>
      <c r="E6177" s="343"/>
    </row>
    <row r="6178" spans="1:5" s="335" customFormat="1" ht="24">
      <c r="A6178" s="342" t="s">
        <v>5624</v>
      </c>
      <c r="B6178" s="342" t="s">
        <v>5625</v>
      </c>
      <c r="C6178" s="342" t="str">
        <f>("7640017641")</f>
        <v>7640017641</v>
      </c>
      <c r="D6178" s="340">
        <v>400</v>
      </c>
      <c r="E6178" s="343"/>
    </row>
    <row r="6179" spans="1:5" s="335" customFormat="1" ht="24">
      <c r="A6179" s="342" t="s">
        <v>5626</v>
      </c>
      <c r="B6179" s="342" t="s">
        <v>5627</v>
      </c>
      <c r="C6179" s="342" t="str">
        <f>("7640017642")</f>
        <v>7640017642</v>
      </c>
      <c r="D6179" s="340">
        <v>600</v>
      </c>
      <c r="E6179" s="343"/>
    </row>
    <row r="6180" spans="1:5" s="335" customFormat="1" ht="12.75">
      <c r="A6180" s="403" t="s">
        <v>5628</v>
      </c>
      <c r="B6180" s="403"/>
      <c r="C6180" s="403"/>
      <c r="D6180" s="403"/>
      <c r="E6180" s="343"/>
    </row>
    <row r="6181" spans="1:5" s="335" customFormat="1" ht="24">
      <c r="A6181" s="342" t="s">
        <v>5629</v>
      </c>
      <c r="B6181" s="342" t="s">
        <v>5630</v>
      </c>
      <c r="C6181" s="342" t="str">
        <f>("7640004794")</f>
        <v>7640004794</v>
      </c>
      <c r="D6181" s="340">
        <v>500</v>
      </c>
      <c r="E6181" s="343"/>
    </row>
    <row r="6182" spans="1:5" s="335" customFormat="1" ht="24">
      <c r="A6182" s="342" t="s">
        <v>5631</v>
      </c>
      <c r="B6182" s="342" t="s">
        <v>5632</v>
      </c>
      <c r="C6182" s="342" t="str">
        <f>("7640004795")</f>
        <v>7640004795</v>
      </c>
      <c r="D6182" s="340">
        <v>4500</v>
      </c>
      <c r="E6182" s="343"/>
    </row>
    <row r="6183" spans="1:5" s="335" customFormat="1" ht="24">
      <c r="A6183" s="342" t="s">
        <v>5633</v>
      </c>
      <c r="B6183" s="342" t="s">
        <v>5634</v>
      </c>
      <c r="C6183" s="342" t="str">
        <f>("7640004796")</f>
        <v>7640004796</v>
      </c>
      <c r="D6183" s="340">
        <v>1500</v>
      </c>
      <c r="E6183" s="343"/>
    </row>
    <row r="6184" spans="1:5" s="335" customFormat="1" ht="24">
      <c r="A6184" s="342" t="s">
        <v>5635</v>
      </c>
      <c r="B6184" s="342" t="s">
        <v>5636</v>
      </c>
      <c r="C6184" s="342" t="str">
        <f>("7640004797")</f>
        <v>7640004797</v>
      </c>
      <c r="D6184" s="340">
        <v>1500</v>
      </c>
      <c r="E6184" s="343"/>
    </row>
    <row r="6185" spans="1:5" s="335" customFormat="1" ht="36">
      <c r="A6185" s="342" t="s">
        <v>5637</v>
      </c>
      <c r="B6185" s="342" t="s">
        <v>5638</v>
      </c>
      <c r="C6185" s="342" t="str">
        <f>("7640004798")</f>
        <v>7640004798</v>
      </c>
      <c r="D6185" s="340">
        <v>7000</v>
      </c>
      <c r="E6185" s="343"/>
    </row>
    <row r="6186" spans="1:5" s="335" customFormat="1" ht="24">
      <c r="A6186" s="342" t="s">
        <v>5639</v>
      </c>
      <c r="B6186" s="342" t="s">
        <v>5640</v>
      </c>
      <c r="C6186" s="342" t="str">
        <f>("7640004799")</f>
        <v>7640004799</v>
      </c>
      <c r="D6186" s="340">
        <v>3500</v>
      </c>
      <c r="E6186" s="343"/>
    </row>
    <row r="6187" spans="1:5" s="335" customFormat="1" ht="36">
      <c r="A6187" s="342" t="s">
        <v>5848</v>
      </c>
      <c r="B6187" s="342" t="s">
        <v>5849</v>
      </c>
      <c r="C6187" s="342" t="str">
        <f>("7640004801")</f>
        <v>7640004801</v>
      </c>
      <c r="D6187" s="340">
        <v>3000</v>
      </c>
      <c r="E6187" s="343"/>
    </row>
    <row r="6188" spans="1:5" s="335" customFormat="1" ht="24">
      <c r="A6188" s="342" t="s">
        <v>5850</v>
      </c>
      <c r="B6188" s="342" t="s">
        <v>5851</v>
      </c>
      <c r="C6188" s="342" t="str">
        <f>("7640015081")</f>
        <v>7640015081</v>
      </c>
      <c r="D6188" s="340">
        <v>3500</v>
      </c>
      <c r="E6188" s="343"/>
    </row>
    <row r="6189" spans="1:5" s="335" customFormat="1" ht="24">
      <c r="A6189" s="342" t="s">
        <v>5659</v>
      </c>
      <c r="B6189" s="342" t="s">
        <v>5660</v>
      </c>
      <c r="C6189" s="342" t="str">
        <f>("7640017643")</f>
        <v>7640017643</v>
      </c>
      <c r="D6189" s="340">
        <v>1500</v>
      </c>
      <c r="E6189" s="343"/>
    </row>
    <row r="6190" spans="1:5" s="335" customFormat="1" ht="36">
      <c r="A6190" s="342" t="s">
        <v>5661</v>
      </c>
      <c r="B6190" s="342" t="s">
        <v>5662</v>
      </c>
      <c r="C6190" s="342" t="str">
        <f>("7640017644")</f>
        <v>7640017644</v>
      </c>
      <c r="D6190" s="340">
        <v>1500</v>
      </c>
      <c r="E6190" s="343"/>
    </row>
    <row r="6191" spans="1:5" s="335" customFormat="1" ht="36">
      <c r="A6191" s="342" t="s">
        <v>5663</v>
      </c>
      <c r="B6191" s="342" t="s">
        <v>5664</v>
      </c>
      <c r="C6191" s="342" t="str">
        <f>("7640017645")</f>
        <v>7640017645</v>
      </c>
      <c r="D6191" s="340">
        <v>500</v>
      </c>
      <c r="E6191" s="343"/>
    </row>
    <row r="6192" spans="1:5" s="335" customFormat="1" ht="12.75">
      <c r="A6192" s="344"/>
      <c r="B6192" s="343"/>
      <c r="C6192" s="343"/>
      <c r="D6192" s="395"/>
      <c r="E6192" s="343"/>
    </row>
    <row r="6193" spans="1:5" s="335" customFormat="1" ht="15" customHeight="1">
      <c r="A6193" s="345"/>
      <c r="B6193" s="404" t="s">
        <v>5852</v>
      </c>
      <c r="C6193" s="404"/>
      <c r="D6193" s="404"/>
      <c r="E6193" s="404"/>
    </row>
    <row r="6194" spans="1:5" s="335" customFormat="1" ht="25.5">
      <c r="A6194" s="346" t="s">
        <v>789</v>
      </c>
      <c r="B6194" s="346" t="s">
        <v>409</v>
      </c>
      <c r="C6194" s="346" t="s">
        <v>26</v>
      </c>
      <c r="D6194" s="337" t="s">
        <v>6425</v>
      </c>
      <c r="E6194" s="343"/>
    </row>
    <row r="6195" spans="1:5" s="335" customFormat="1" ht="14.25">
      <c r="A6195" s="342" t="s">
        <v>5853</v>
      </c>
      <c r="B6195" s="342"/>
      <c r="C6195" s="342" t="s">
        <v>6404</v>
      </c>
      <c r="D6195" s="340">
        <v>0</v>
      </c>
      <c r="E6195" s="343"/>
    </row>
    <row r="6196" spans="1:5" s="335" customFormat="1" ht="12.75">
      <c r="A6196" s="403" t="s">
        <v>5456</v>
      </c>
      <c r="B6196" s="403"/>
      <c r="C6196" s="403"/>
      <c r="D6196" s="403"/>
      <c r="E6196" s="343"/>
    </row>
    <row r="6197" spans="1:5" s="335" customFormat="1" ht="36">
      <c r="A6197" s="342" t="s">
        <v>5469</v>
      </c>
      <c r="B6197" s="342" t="s">
        <v>5470</v>
      </c>
      <c r="C6197" s="342" t="s">
        <v>6405</v>
      </c>
      <c r="D6197" s="340">
        <v>4995</v>
      </c>
      <c r="E6197" s="343"/>
    </row>
    <row r="6198" spans="1:5" s="335" customFormat="1" ht="24">
      <c r="A6198" s="342" t="s">
        <v>5471</v>
      </c>
      <c r="B6198" s="342" t="s">
        <v>5472</v>
      </c>
      <c r="C6198" s="342" t="str">
        <f>("7640004741")</f>
        <v>7640004741</v>
      </c>
      <c r="D6198" s="340">
        <v>999</v>
      </c>
      <c r="E6198" s="343"/>
    </row>
    <row r="6199" spans="1:5" s="335" customFormat="1" ht="24">
      <c r="A6199" s="342" t="s">
        <v>5473</v>
      </c>
      <c r="B6199" s="342" t="s">
        <v>5474</v>
      </c>
      <c r="C6199" s="342" t="str">
        <f>("7640004742")</f>
        <v>7640004742</v>
      </c>
      <c r="D6199" s="340">
        <v>1499</v>
      </c>
      <c r="E6199" s="343"/>
    </row>
    <row r="6200" spans="1:5" s="335" customFormat="1" ht="24">
      <c r="A6200" s="342" t="s">
        <v>5475</v>
      </c>
      <c r="B6200" s="342" t="s">
        <v>5476</v>
      </c>
      <c r="C6200" s="342" t="s">
        <v>6406</v>
      </c>
      <c r="D6200" s="340">
        <v>8795</v>
      </c>
      <c r="E6200" s="343"/>
    </row>
    <row r="6201" spans="1:5" s="335" customFormat="1" ht="24">
      <c r="A6201" s="342" t="s">
        <v>5477</v>
      </c>
      <c r="B6201" s="342" t="s">
        <v>5478</v>
      </c>
      <c r="C6201" s="342" t="str">
        <f>("7640004744")</f>
        <v>7640004744</v>
      </c>
      <c r="D6201" s="340">
        <v>1759</v>
      </c>
      <c r="E6201" s="343"/>
    </row>
    <row r="6202" spans="1:5" s="335" customFormat="1" ht="24">
      <c r="A6202" s="342" t="s">
        <v>5479</v>
      </c>
      <c r="B6202" s="342" t="s">
        <v>5480</v>
      </c>
      <c r="C6202" s="342" t="str">
        <f>("7640004745")</f>
        <v>7640004745</v>
      </c>
      <c r="D6202" s="340">
        <v>2639</v>
      </c>
      <c r="E6202" s="343"/>
    </row>
    <row r="6203" spans="1:5" s="335" customFormat="1" ht="36">
      <c r="A6203" s="342" t="s">
        <v>5481</v>
      </c>
      <c r="B6203" s="342" t="s">
        <v>5482</v>
      </c>
      <c r="C6203" s="342" t="s">
        <v>6407</v>
      </c>
      <c r="D6203" s="340">
        <v>4995</v>
      </c>
      <c r="E6203" s="343"/>
    </row>
    <row r="6204" spans="1:5" s="335" customFormat="1" ht="36">
      <c r="A6204" s="342" t="s">
        <v>5483</v>
      </c>
      <c r="B6204" s="342" t="s">
        <v>5484</v>
      </c>
      <c r="C6204" s="342" t="str">
        <f>("7640005046")</f>
        <v>7640005046</v>
      </c>
      <c r="D6204" s="340">
        <v>999</v>
      </c>
      <c r="E6204" s="343"/>
    </row>
    <row r="6205" spans="1:5" s="335" customFormat="1" ht="36">
      <c r="A6205" s="342" t="s">
        <v>5485</v>
      </c>
      <c r="B6205" s="342" t="s">
        <v>5486</v>
      </c>
      <c r="C6205" s="342" t="str">
        <f>("7640005047")</f>
        <v>7640005047</v>
      </c>
      <c r="D6205" s="340">
        <v>1748</v>
      </c>
      <c r="E6205" s="343"/>
    </row>
    <row r="6206" spans="1:5" s="335" customFormat="1" ht="12.75">
      <c r="A6206" s="403" t="s">
        <v>5487</v>
      </c>
      <c r="B6206" s="403"/>
      <c r="C6206" s="403"/>
      <c r="D6206" s="403"/>
      <c r="E6206" s="343"/>
    </row>
    <row r="6207" spans="1:5" s="335" customFormat="1" ht="24">
      <c r="A6207" s="342" t="s">
        <v>5488</v>
      </c>
      <c r="B6207" s="342" t="s">
        <v>5489</v>
      </c>
      <c r="C6207" s="342" t="str">
        <f>("7640004718")</f>
        <v>7640004718</v>
      </c>
      <c r="D6207" s="340">
        <v>300</v>
      </c>
      <c r="E6207" s="343"/>
    </row>
    <row r="6208" spans="1:5" s="335" customFormat="1" ht="12.75">
      <c r="A6208" s="403" t="s">
        <v>5490</v>
      </c>
      <c r="B6208" s="403"/>
      <c r="C6208" s="403"/>
      <c r="D6208" s="403"/>
      <c r="E6208" s="343"/>
    </row>
    <row r="6209" spans="1:5" s="335" customFormat="1" ht="24">
      <c r="A6209" s="342" t="s">
        <v>5854</v>
      </c>
      <c r="B6209" s="342" t="s">
        <v>5855</v>
      </c>
      <c r="C6209" s="342" t="s">
        <v>6408</v>
      </c>
      <c r="D6209" s="340">
        <v>35000</v>
      </c>
      <c r="E6209" s="343"/>
    </row>
    <row r="6210" spans="1:5" s="335" customFormat="1" ht="24">
      <c r="A6210" s="342" t="s">
        <v>5856</v>
      </c>
      <c r="B6210" s="342" t="s">
        <v>5857</v>
      </c>
      <c r="C6210" s="342" t="str">
        <f>("7640004891")</f>
        <v>7640004891</v>
      </c>
      <c r="D6210" s="340">
        <v>7000</v>
      </c>
      <c r="E6210" s="343"/>
    </row>
    <row r="6211" spans="1:5" s="335" customFormat="1" ht="24">
      <c r="A6211" s="342" t="s">
        <v>5858</v>
      </c>
      <c r="B6211" s="342" t="s">
        <v>5859</v>
      </c>
      <c r="C6211" s="342" t="str">
        <f>("7640004892")</f>
        <v>7640004892</v>
      </c>
      <c r="D6211" s="340">
        <v>10500</v>
      </c>
      <c r="E6211" s="343"/>
    </row>
    <row r="6212" spans="1:5" s="335" customFormat="1" ht="14.25">
      <c r="A6212" s="342" t="s">
        <v>5860</v>
      </c>
      <c r="B6212" s="342" t="s">
        <v>5861</v>
      </c>
      <c r="C6212" s="342" t="s">
        <v>6409</v>
      </c>
      <c r="D6212" s="340">
        <v>15000</v>
      </c>
      <c r="E6212" s="343"/>
    </row>
    <row r="6213" spans="1:5" s="335" customFormat="1" ht="24">
      <c r="A6213" s="342" t="s">
        <v>5862</v>
      </c>
      <c r="B6213" s="342" t="s">
        <v>5863</v>
      </c>
      <c r="C6213" s="342" t="str">
        <f>("7640004894")</f>
        <v>7640004894</v>
      </c>
      <c r="D6213" s="340">
        <v>3000</v>
      </c>
      <c r="E6213" s="343"/>
    </row>
    <row r="6214" spans="1:5" s="335" customFormat="1" ht="24">
      <c r="A6214" s="342" t="s">
        <v>5864</v>
      </c>
      <c r="B6214" s="342" t="s">
        <v>5865</v>
      </c>
      <c r="C6214" s="342" t="str">
        <f>("7640004895")</f>
        <v>7640004895</v>
      </c>
      <c r="D6214" s="340">
        <v>4500</v>
      </c>
      <c r="E6214" s="343"/>
    </row>
    <row r="6215" spans="1:5" s="335" customFormat="1" ht="24">
      <c r="A6215" s="342" t="s">
        <v>5866</v>
      </c>
      <c r="B6215" s="342" t="s">
        <v>5867</v>
      </c>
      <c r="C6215" s="342" t="s">
        <v>6410</v>
      </c>
      <c r="D6215" s="340">
        <v>25000</v>
      </c>
      <c r="E6215" s="343"/>
    </row>
    <row r="6216" spans="1:5" s="335" customFormat="1" ht="24">
      <c r="A6216" s="342" t="s">
        <v>5868</v>
      </c>
      <c r="B6216" s="342" t="s">
        <v>5869</v>
      </c>
      <c r="C6216" s="342" t="str">
        <f>("7640004897")</f>
        <v>7640004897</v>
      </c>
      <c r="D6216" s="340">
        <v>5000</v>
      </c>
      <c r="E6216" s="343"/>
    </row>
    <row r="6217" spans="1:5" s="335" customFormat="1" ht="24">
      <c r="A6217" s="342" t="s">
        <v>5870</v>
      </c>
      <c r="B6217" s="342" t="s">
        <v>5871</v>
      </c>
      <c r="C6217" s="342" t="str">
        <f>("7640004898")</f>
        <v>7640004898</v>
      </c>
      <c r="D6217" s="340">
        <v>7500</v>
      </c>
      <c r="E6217" s="343"/>
    </row>
    <row r="6218" spans="1:5" s="335" customFormat="1" ht="24">
      <c r="A6218" s="342" t="s">
        <v>5872</v>
      </c>
      <c r="B6218" s="342" t="s">
        <v>5873</v>
      </c>
      <c r="C6218" s="342" t="str">
        <f>("7640007625")</f>
        <v>7640007625</v>
      </c>
      <c r="D6218" s="340">
        <v>12500</v>
      </c>
      <c r="E6218" s="343"/>
    </row>
    <row r="6219" spans="1:5" s="335" customFormat="1" ht="36">
      <c r="A6219" s="342" t="s">
        <v>5874</v>
      </c>
      <c r="B6219" s="342" t="s">
        <v>5875</v>
      </c>
      <c r="C6219" s="342" t="str">
        <f>("7640007626")</f>
        <v>7640007626</v>
      </c>
      <c r="D6219" s="340">
        <v>2500</v>
      </c>
      <c r="E6219" s="343"/>
    </row>
    <row r="6220" spans="1:5" s="335" customFormat="1" ht="36">
      <c r="A6220" s="342" t="s">
        <v>5876</v>
      </c>
      <c r="B6220" s="342" t="s">
        <v>5877</v>
      </c>
      <c r="C6220" s="342" t="str">
        <f>("7640007627")</f>
        <v>7640007627</v>
      </c>
      <c r="D6220" s="340">
        <v>3750</v>
      </c>
      <c r="E6220" s="343"/>
    </row>
    <row r="6221" spans="1:5" s="335" customFormat="1" ht="36">
      <c r="A6221" s="342" t="s">
        <v>5878</v>
      </c>
      <c r="B6221" s="342" t="s">
        <v>5879</v>
      </c>
      <c r="C6221" s="342" t="str">
        <f>("7640007636")</f>
        <v>7640007636</v>
      </c>
      <c r="D6221" s="340">
        <v>200</v>
      </c>
      <c r="E6221" s="343"/>
    </row>
    <row r="6222" spans="1:5" s="335" customFormat="1" ht="12.75">
      <c r="A6222" s="403" t="s">
        <v>5497</v>
      </c>
      <c r="B6222" s="403"/>
      <c r="C6222" s="403"/>
      <c r="D6222" s="403"/>
      <c r="E6222" s="343"/>
    </row>
    <row r="6223" spans="1:5" s="335" customFormat="1" ht="24">
      <c r="A6223" s="342" t="s">
        <v>5880</v>
      </c>
      <c r="B6223" s="342" t="s">
        <v>5881</v>
      </c>
      <c r="C6223" s="342" t="str">
        <f>("7640004899")</f>
        <v>7640004899</v>
      </c>
      <c r="D6223" s="340">
        <v>3000</v>
      </c>
      <c r="E6223" s="343"/>
    </row>
    <row r="6224" spans="1:5" s="335" customFormat="1" ht="24">
      <c r="A6224" s="342" t="s">
        <v>5882</v>
      </c>
      <c r="B6224" s="342" t="s">
        <v>5883</v>
      </c>
      <c r="C6224" s="342" t="str">
        <f>("7640004900")</f>
        <v>7640004900</v>
      </c>
      <c r="D6224" s="340">
        <v>600</v>
      </c>
      <c r="E6224" s="343"/>
    </row>
    <row r="6225" spans="1:5" s="335" customFormat="1" ht="24">
      <c r="A6225" s="342" t="s">
        <v>5884</v>
      </c>
      <c r="B6225" s="342" t="s">
        <v>5885</v>
      </c>
      <c r="C6225" s="342" t="str">
        <f>("7640004901")</f>
        <v>7640004901</v>
      </c>
      <c r="D6225" s="340">
        <v>900</v>
      </c>
      <c r="E6225" s="343"/>
    </row>
    <row r="6226" spans="1:5" s="335" customFormat="1" ht="24">
      <c r="A6226" s="342" t="s">
        <v>5886</v>
      </c>
      <c r="B6226" s="342" t="s">
        <v>5887</v>
      </c>
      <c r="C6226" s="342" t="str">
        <f>("7640004902")</f>
        <v>7640004902</v>
      </c>
      <c r="D6226" s="340">
        <v>9500</v>
      </c>
      <c r="E6226" s="343"/>
    </row>
    <row r="6227" spans="1:5" s="335" customFormat="1" ht="24">
      <c r="A6227" s="342" t="s">
        <v>5888</v>
      </c>
      <c r="B6227" s="342" t="s">
        <v>5889</v>
      </c>
      <c r="C6227" s="342" t="str">
        <f>("7640004903")</f>
        <v>7640004903</v>
      </c>
      <c r="D6227" s="340">
        <v>1900</v>
      </c>
      <c r="E6227" s="343"/>
    </row>
    <row r="6228" spans="1:5" s="335" customFormat="1" ht="24">
      <c r="A6228" s="342" t="s">
        <v>5890</v>
      </c>
      <c r="B6228" s="342" t="s">
        <v>5891</v>
      </c>
      <c r="C6228" s="342" t="str">
        <f>("7640004904")</f>
        <v>7640004904</v>
      </c>
      <c r="D6228" s="340">
        <v>2850</v>
      </c>
      <c r="E6228" s="343"/>
    </row>
    <row r="6229" spans="1:5" s="335" customFormat="1" ht="24">
      <c r="A6229" s="342" t="s">
        <v>5892</v>
      </c>
      <c r="B6229" s="342" t="s">
        <v>5893</v>
      </c>
      <c r="C6229" s="342" t="str">
        <f>("7640004905")</f>
        <v>7640004905</v>
      </c>
      <c r="D6229" s="340">
        <v>10000</v>
      </c>
      <c r="E6229" s="343"/>
    </row>
    <row r="6230" spans="1:5" s="335" customFormat="1" ht="24">
      <c r="A6230" s="342" t="s">
        <v>5894</v>
      </c>
      <c r="B6230" s="342" t="s">
        <v>5895</v>
      </c>
      <c r="C6230" s="342" t="str">
        <f>("7640004906")</f>
        <v>7640004906</v>
      </c>
      <c r="D6230" s="340">
        <v>2000</v>
      </c>
      <c r="E6230" s="343"/>
    </row>
    <row r="6231" spans="1:5" s="335" customFormat="1" ht="24">
      <c r="A6231" s="342" t="s">
        <v>5896</v>
      </c>
      <c r="B6231" s="342" t="s">
        <v>5897</v>
      </c>
      <c r="C6231" s="342" t="str">
        <f>("7640004907")</f>
        <v>7640004907</v>
      </c>
      <c r="D6231" s="340">
        <v>3500</v>
      </c>
      <c r="E6231" s="343"/>
    </row>
    <row r="6232" spans="1:5" s="335" customFormat="1" ht="24">
      <c r="A6232" s="342" t="s">
        <v>5898</v>
      </c>
      <c r="B6232" s="342" t="s">
        <v>5899</v>
      </c>
      <c r="C6232" s="342" t="str">
        <f>("7640004914")</f>
        <v>7640004914</v>
      </c>
      <c r="D6232" s="340">
        <v>5000</v>
      </c>
      <c r="E6232" s="343"/>
    </row>
    <row r="6233" spans="1:5" s="335" customFormat="1" ht="24">
      <c r="A6233" s="342" t="s">
        <v>5900</v>
      </c>
      <c r="B6233" s="342" t="s">
        <v>5901</v>
      </c>
      <c r="C6233" s="342" t="str">
        <f>("7640004915")</f>
        <v>7640004915</v>
      </c>
      <c r="D6233" s="340">
        <v>1000</v>
      </c>
      <c r="E6233" s="343"/>
    </row>
    <row r="6234" spans="1:5" s="335" customFormat="1" ht="24">
      <c r="A6234" s="342" t="s">
        <v>5902</v>
      </c>
      <c r="B6234" s="342" t="s">
        <v>5903</v>
      </c>
      <c r="C6234" s="342" t="str">
        <f>("7640004916")</f>
        <v>7640004916</v>
      </c>
      <c r="D6234" s="340">
        <v>1500</v>
      </c>
      <c r="E6234" s="343"/>
    </row>
    <row r="6235" spans="1:5" s="335" customFormat="1" ht="24">
      <c r="A6235" s="342" t="s">
        <v>5904</v>
      </c>
      <c r="B6235" s="342" t="s">
        <v>5905</v>
      </c>
      <c r="C6235" s="342" t="str">
        <f>("7640004917")</f>
        <v>7640004917</v>
      </c>
      <c r="D6235" s="340">
        <v>5000</v>
      </c>
      <c r="E6235" s="343"/>
    </row>
    <row r="6236" spans="1:5" s="335" customFormat="1" ht="24">
      <c r="A6236" s="342" t="s">
        <v>5906</v>
      </c>
      <c r="B6236" s="342" t="s">
        <v>5907</v>
      </c>
      <c r="C6236" s="342" t="str">
        <f>("7640004918")</f>
        <v>7640004918</v>
      </c>
      <c r="D6236" s="340">
        <v>1000</v>
      </c>
      <c r="E6236" s="343"/>
    </row>
    <row r="6237" spans="1:5" s="335" customFormat="1" ht="24">
      <c r="A6237" s="342" t="s">
        <v>5908</v>
      </c>
      <c r="B6237" s="342" t="s">
        <v>5909</v>
      </c>
      <c r="C6237" s="342" t="str">
        <f>("7640004919")</f>
        <v>7640004919</v>
      </c>
      <c r="D6237" s="340">
        <v>1500</v>
      </c>
      <c r="E6237" s="343"/>
    </row>
    <row r="6238" spans="1:5" s="335" customFormat="1" ht="24">
      <c r="A6238" s="342" t="s">
        <v>5910</v>
      </c>
      <c r="B6238" s="342" t="s">
        <v>5911</v>
      </c>
      <c r="C6238" s="342" t="str">
        <f>("7640004923")</f>
        <v>7640004923</v>
      </c>
      <c r="D6238" s="340">
        <v>7500</v>
      </c>
      <c r="E6238" s="343"/>
    </row>
    <row r="6239" spans="1:5" s="335" customFormat="1" ht="24">
      <c r="A6239" s="342" t="s">
        <v>5912</v>
      </c>
      <c r="B6239" s="342" t="s">
        <v>5913</v>
      </c>
      <c r="C6239" s="342" t="str">
        <f>("7640004924")</f>
        <v>7640004924</v>
      </c>
      <c r="D6239" s="340">
        <v>1500</v>
      </c>
      <c r="E6239" s="343"/>
    </row>
    <row r="6240" spans="1:5" s="335" customFormat="1" ht="24">
      <c r="A6240" s="342" t="s">
        <v>5914</v>
      </c>
      <c r="B6240" s="342" t="s">
        <v>5915</v>
      </c>
      <c r="C6240" s="342" t="str">
        <f>("7640004925")</f>
        <v>7640004925</v>
      </c>
      <c r="D6240" s="340">
        <v>2250</v>
      </c>
      <c r="E6240" s="343"/>
    </row>
    <row r="6241" spans="1:5" s="335" customFormat="1" ht="36">
      <c r="A6241" s="342" t="s">
        <v>5916</v>
      </c>
      <c r="B6241" s="342" t="s">
        <v>5917</v>
      </c>
      <c r="C6241" s="342" t="str">
        <f>("7640004927")</f>
        <v>7640004927</v>
      </c>
      <c r="D6241" s="340">
        <v>5000</v>
      </c>
      <c r="E6241" s="343"/>
    </row>
    <row r="6242" spans="1:5" s="335" customFormat="1" ht="24">
      <c r="A6242" s="342" t="s">
        <v>5918</v>
      </c>
      <c r="B6242" s="342" t="s">
        <v>5919</v>
      </c>
      <c r="C6242" s="342" t="str">
        <f>("7640004928")</f>
        <v>7640004928</v>
      </c>
      <c r="D6242" s="340">
        <v>1000</v>
      </c>
      <c r="E6242" s="343"/>
    </row>
    <row r="6243" spans="1:5" s="335" customFormat="1" ht="24">
      <c r="A6243" s="342" t="s">
        <v>5920</v>
      </c>
      <c r="B6243" s="342" t="s">
        <v>5921</v>
      </c>
      <c r="C6243" s="342" t="str">
        <f>("7640004929")</f>
        <v>7640004929</v>
      </c>
      <c r="D6243" s="340">
        <v>1500</v>
      </c>
      <c r="E6243" s="343"/>
    </row>
    <row r="6244" spans="1:5" s="335" customFormat="1" ht="24">
      <c r="A6244" s="342" t="s">
        <v>5922</v>
      </c>
      <c r="B6244" s="342" t="s">
        <v>5923</v>
      </c>
      <c r="C6244" s="342" t="str">
        <f>("7640004930")</f>
        <v>7640004930</v>
      </c>
      <c r="D6244" s="340">
        <v>5000</v>
      </c>
      <c r="E6244" s="343"/>
    </row>
    <row r="6245" spans="1:5" s="335" customFormat="1" ht="24">
      <c r="A6245" s="342" t="s">
        <v>5924</v>
      </c>
      <c r="B6245" s="342" t="s">
        <v>5925</v>
      </c>
      <c r="C6245" s="342" t="str">
        <f>("7640004931")</f>
        <v>7640004931</v>
      </c>
      <c r="D6245" s="340">
        <v>1000</v>
      </c>
      <c r="E6245" s="343"/>
    </row>
    <row r="6246" spans="1:5" s="335" customFormat="1" ht="24">
      <c r="A6246" s="342" t="s">
        <v>5926</v>
      </c>
      <c r="B6246" s="342" t="s">
        <v>5927</v>
      </c>
      <c r="C6246" s="342" t="str">
        <f>("7640004932")</f>
        <v>7640004932</v>
      </c>
      <c r="D6246" s="340">
        <v>1500</v>
      </c>
      <c r="E6246" s="343"/>
    </row>
    <row r="6247" spans="1:5" s="335" customFormat="1" ht="24">
      <c r="A6247" s="342" t="s">
        <v>5928</v>
      </c>
      <c r="B6247" s="342" t="s">
        <v>5929</v>
      </c>
      <c r="C6247" s="342" t="str">
        <f>("7640004938")</f>
        <v>7640004938</v>
      </c>
      <c r="D6247" s="340">
        <v>1000</v>
      </c>
      <c r="E6247" s="343"/>
    </row>
    <row r="6248" spans="1:5" s="335" customFormat="1" ht="24">
      <c r="A6248" s="342" t="s">
        <v>5930</v>
      </c>
      <c r="B6248" s="342" t="s">
        <v>5931</v>
      </c>
      <c r="C6248" s="342" t="str">
        <f>("7640004939")</f>
        <v>7640004939</v>
      </c>
      <c r="D6248" s="340">
        <v>1750</v>
      </c>
      <c r="E6248" s="343"/>
    </row>
    <row r="6249" spans="1:5" s="335" customFormat="1" ht="36">
      <c r="A6249" s="342" t="s">
        <v>5932</v>
      </c>
      <c r="B6249" s="342" t="s">
        <v>5933</v>
      </c>
      <c r="C6249" s="342" t="str">
        <f>("7640004941")</f>
        <v>7640004941</v>
      </c>
      <c r="D6249" s="340">
        <v>10000</v>
      </c>
      <c r="E6249" s="343"/>
    </row>
    <row r="6250" spans="1:5" s="335" customFormat="1" ht="24">
      <c r="A6250" s="342" t="s">
        <v>5934</v>
      </c>
      <c r="B6250" s="342" t="s">
        <v>5935</v>
      </c>
      <c r="C6250" s="342" t="str">
        <f>("7640004942")</f>
        <v>7640004942</v>
      </c>
      <c r="D6250" s="340">
        <v>2000</v>
      </c>
      <c r="E6250" s="343"/>
    </row>
    <row r="6251" spans="1:5" s="335" customFormat="1" ht="24">
      <c r="A6251" s="342" t="s">
        <v>5936</v>
      </c>
      <c r="B6251" s="342" t="s">
        <v>5937</v>
      </c>
      <c r="C6251" s="342" t="str">
        <f>("7640004943")</f>
        <v>7640004943</v>
      </c>
      <c r="D6251" s="340">
        <v>3000</v>
      </c>
      <c r="E6251" s="343"/>
    </row>
    <row r="6252" spans="1:5" s="335" customFormat="1" ht="24">
      <c r="A6252" s="342" t="s">
        <v>5938</v>
      </c>
      <c r="B6252" s="342" t="s">
        <v>5939</v>
      </c>
      <c r="C6252" s="342" t="str">
        <f>("7640004944")</f>
        <v>7640004944</v>
      </c>
      <c r="D6252" s="340">
        <v>7500</v>
      </c>
      <c r="E6252" s="343"/>
    </row>
    <row r="6253" spans="1:5" s="335" customFormat="1" ht="24">
      <c r="A6253" s="342" t="s">
        <v>5940</v>
      </c>
      <c r="B6253" s="342" t="s">
        <v>5941</v>
      </c>
      <c r="C6253" s="342" t="str">
        <f>("7640004945")</f>
        <v>7640004945</v>
      </c>
      <c r="D6253" s="340">
        <v>1500</v>
      </c>
      <c r="E6253" s="343"/>
    </row>
    <row r="6254" spans="1:5" s="335" customFormat="1" ht="24">
      <c r="A6254" s="342" t="s">
        <v>5942</v>
      </c>
      <c r="B6254" s="342" t="s">
        <v>5943</v>
      </c>
      <c r="C6254" s="342" t="str">
        <f>("7640004946")</f>
        <v>7640004946</v>
      </c>
      <c r="D6254" s="340">
        <v>2250</v>
      </c>
      <c r="E6254" s="343"/>
    </row>
    <row r="6255" spans="1:5" s="335" customFormat="1" ht="24">
      <c r="A6255" s="342" t="s">
        <v>5944</v>
      </c>
      <c r="B6255" s="342" t="s">
        <v>5945</v>
      </c>
      <c r="C6255" s="342" t="s">
        <v>6411</v>
      </c>
      <c r="D6255" s="340">
        <v>15000</v>
      </c>
      <c r="E6255" s="343"/>
    </row>
    <row r="6256" spans="1:5" s="335" customFormat="1" ht="24">
      <c r="A6256" s="342" t="s">
        <v>5946</v>
      </c>
      <c r="B6256" s="342" t="s">
        <v>5947</v>
      </c>
      <c r="C6256" s="342" t="str">
        <f>("7640005205")</f>
        <v>7640005205</v>
      </c>
      <c r="D6256" s="340">
        <v>3000</v>
      </c>
      <c r="E6256" s="343"/>
    </row>
    <row r="6257" spans="1:5" s="335" customFormat="1" ht="24">
      <c r="A6257" s="342" t="s">
        <v>5948</v>
      </c>
      <c r="B6257" s="342" t="s">
        <v>5949</v>
      </c>
      <c r="C6257" s="342" t="str">
        <f>("7640005206")</f>
        <v>7640005206</v>
      </c>
      <c r="D6257" s="340">
        <v>4500</v>
      </c>
      <c r="E6257" s="343"/>
    </row>
    <row r="6258" spans="1:5" s="335" customFormat="1" ht="24">
      <c r="A6258" s="342" t="s">
        <v>5950</v>
      </c>
      <c r="B6258" s="342" t="s">
        <v>5951</v>
      </c>
      <c r="C6258" s="342" t="str">
        <f>("7640007628")</f>
        <v>7640007628</v>
      </c>
      <c r="D6258" s="340">
        <v>500</v>
      </c>
      <c r="E6258" s="343"/>
    </row>
    <row r="6259" spans="1:5" s="335" customFormat="1" ht="24">
      <c r="A6259" s="342" t="s">
        <v>5894</v>
      </c>
      <c r="B6259" s="342" t="s">
        <v>5952</v>
      </c>
      <c r="C6259" s="342" t="str">
        <f>("7640007629")</f>
        <v>7640007629</v>
      </c>
      <c r="D6259" s="340">
        <v>500</v>
      </c>
      <c r="E6259" s="343"/>
    </row>
    <row r="6260" spans="1:5" s="335" customFormat="1" ht="24">
      <c r="A6260" s="342" t="s">
        <v>5896</v>
      </c>
      <c r="B6260" s="342" t="s">
        <v>5953</v>
      </c>
      <c r="C6260" s="342" t="str">
        <f>("7640007630")</f>
        <v>7640007630</v>
      </c>
      <c r="D6260" s="340">
        <v>750</v>
      </c>
      <c r="E6260" s="343"/>
    </row>
    <row r="6261" spans="1:5" s="335" customFormat="1" ht="36">
      <c r="A6261" s="342" t="s">
        <v>5954</v>
      </c>
      <c r="B6261" s="342" t="s">
        <v>5955</v>
      </c>
      <c r="C6261" s="342" t="str">
        <f>("7640008192")</f>
        <v>7640008192</v>
      </c>
      <c r="D6261" s="340">
        <v>500</v>
      </c>
      <c r="E6261" s="343"/>
    </row>
    <row r="6262" spans="1:5" s="335" customFormat="1" ht="36">
      <c r="A6262" s="342" t="s">
        <v>5956</v>
      </c>
      <c r="B6262" s="342" t="s">
        <v>5957</v>
      </c>
      <c r="C6262" s="342" t="str">
        <f>("7640008193")</f>
        <v>7640008193</v>
      </c>
      <c r="D6262" s="340">
        <v>100</v>
      </c>
      <c r="E6262" s="343"/>
    </row>
    <row r="6263" spans="1:5" s="335" customFormat="1" ht="36">
      <c r="A6263" s="342" t="s">
        <v>5958</v>
      </c>
      <c r="B6263" s="342" t="s">
        <v>5959</v>
      </c>
      <c r="C6263" s="342" t="str">
        <f>("7640008194")</f>
        <v>7640008194</v>
      </c>
      <c r="D6263" s="340">
        <v>150</v>
      </c>
      <c r="E6263" s="343"/>
    </row>
    <row r="6264" spans="1:5" s="335" customFormat="1" ht="24">
      <c r="A6264" s="342" t="s">
        <v>5960</v>
      </c>
      <c r="B6264" s="342" t="s">
        <v>5961</v>
      </c>
      <c r="C6264" s="342" t="str">
        <f>("7640017629")</f>
        <v>7640017629</v>
      </c>
      <c r="D6264" s="340">
        <v>3500</v>
      </c>
      <c r="E6264" s="343"/>
    </row>
    <row r="6265" spans="1:5" s="335" customFormat="1" ht="24">
      <c r="A6265" s="342" t="s">
        <v>5962</v>
      </c>
      <c r="B6265" s="342" t="s">
        <v>5963</v>
      </c>
      <c r="C6265" s="342" t="str">
        <f>("7640017630")</f>
        <v>7640017630</v>
      </c>
      <c r="D6265" s="340">
        <v>5000</v>
      </c>
      <c r="E6265" s="343"/>
    </row>
    <row r="6266" spans="1:5" s="335" customFormat="1" ht="24">
      <c r="A6266" s="342" t="s">
        <v>5964</v>
      </c>
      <c r="B6266" s="342" t="s">
        <v>5965</v>
      </c>
      <c r="C6266" s="342" t="str">
        <f>("7640017631")</f>
        <v>7640017631</v>
      </c>
      <c r="D6266" s="340">
        <v>4500</v>
      </c>
      <c r="E6266" s="343"/>
    </row>
    <row r="6267" spans="1:5" s="335" customFormat="1" ht="36">
      <c r="A6267" s="342" t="s">
        <v>5966</v>
      </c>
      <c r="B6267" s="342" t="s">
        <v>5967</v>
      </c>
      <c r="C6267" s="342" t="str">
        <f>("7640017632")</f>
        <v>7640017632</v>
      </c>
      <c r="D6267" s="340">
        <v>3000</v>
      </c>
      <c r="E6267" s="343"/>
    </row>
    <row r="6268" spans="1:5" s="335" customFormat="1" ht="36">
      <c r="A6268" s="342" t="s">
        <v>5968</v>
      </c>
      <c r="B6268" s="342" t="s">
        <v>5969</v>
      </c>
      <c r="C6268" s="342" t="str">
        <f>("7640017633")</f>
        <v>7640017633</v>
      </c>
      <c r="D6268" s="340">
        <v>3000</v>
      </c>
      <c r="E6268" s="343"/>
    </row>
    <row r="6269" spans="1:5" s="335" customFormat="1" ht="24">
      <c r="A6269" s="342" t="s">
        <v>5970</v>
      </c>
      <c r="B6269" s="342" t="s">
        <v>5971</v>
      </c>
      <c r="C6269" s="342" t="str">
        <f>("7640017634")</f>
        <v>7640017634</v>
      </c>
      <c r="D6269" s="340">
        <v>1200</v>
      </c>
      <c r="E6269" s="343"/>
    </row>
    <row r="6270" spans="1:5" s="335" customFormat="1" ht="24">
      <c r="A6270" s="342" t="s">
        <v>5972</v>
      </c>
      <c r="B6270" s="342" t="s">
        <v>5973</v>
      </c>
      <c r="C6270" s="342" t="str">
        <f>("7640017635")</f>
        <v>7640017635</v>
      </c>
      <c r="D6270" s="340">
        <v>1200</v>
      </c>
      <c r="E6270" s="343"/>
    </row>
    <row r="6271" spans="1:5" s="335" customFormat="1" ht="24">
      <c r="A6271" s="342" t="s">
        <v>5622</v>
      </c>
      <c r="B6271" s="342" t="s">
        <v>5623</v>
      </c>
      <c r="C6271" s="342" t="s">
        <v>6412</v>
      </c>
      <c r="D6271" s="340">
        <v>2000</v>
      </c>
      <c r="E6271" s="343"/>
    </row>
    <row r="6272" spans="1:5" s="335" customFormat="1" ht="24">
      <c r="A6272" s="342" t="s">
        <v>5624</v>
      </c>
      <c r="B6272" s="342" t="s">
        <v>5625</v>
      </c>
      <c r="C6272" s="342" t="str">
        <f>("7640017641")</f>
        <v>7640017641</v>
      </c>
      <c r="D6272" s="340">
        <v>400</v>
      </c>
      <c r="E6272" s="343"/>
    </row>
    <row r="6273" spans="1:5" s="335" customFormat="1" ht="24">
      <c r="A6273" s="342" t="s">
        <v>5626</v>
      </c>
      <c r="B6273" s="342" t="s">
        <v>5627</v>
      </c>
      <c r="C6273" s="342" t="str">
        <f>("7640017642")</f>
        <v>7640017642</v>
      </c>
      <c r="D6273" s="340">
        <v>600</v>
      </c>
      <c r="E6273" s="343"/>
    </row>
    <row r="6274" spans="1:5" s="335" customFormat="1" ht="36">
      <c r="A6274" s="342" t="s">
        <v>5974</v>
      </c>
      <c r="B6274" s="342" t="s">
        <v>5975</v>
      </c>
      <c r="C6274" s="342" t="str">
        <f>("7640017646")</f>
        <v>7640017646</v>
      </c>
      <c r="D6274" s="340">
        <v>2500</v>
      </c>
      <c r="E6274" s="343"/>
    </row>
    <row r="6275" spans="1:5" s="335" customFormat="1" ht="36">
      <c r="A6275" s="342" t="s">
        <v>5976</v>
      </c>
      <c r="B6275" s="342" t="s">
        <v>5977</v>
      </c>
      <c r="C6275" s="342" t="str">
        <f>("7640017647")</f>
        <v>7640017647</v>
      </c>
      <c r="D6275" s="340">
        <v>500</v>
      </c>
      <c r="E6275" s="343"/>
    </row>
    <row r="6276" spans="1:5" s="335" customFormat="1" ht="36">
      <c r="A6276" s="342" t="s">
        <v>5978</v>
      </c>
      <c r="B6276" s="342" t="s">
        <v>5979</v>
      </c>
      <c r="C6276" s="342" t="str">
        <f>("7640017648")</f>
        <v>7640017648</v>
      </c>
      <c r="D6276" s="340">
        <v>875</v>
      </c>
      <c r="E6276" s="343"/>
    </row>
    <row r="6277" spans="1:5" s="335" customFormat="1" ht="36">
      <c r="A6277" s="342" t="s">
        <v>5980</v>
      </c>
      <c r="B6277" s="342" t="s">
        <v>5981</v>
      </c>
      <c r="C6277" s="342" t="str">
        <f>("7640017650")</f>
        <v>7640017650</v>
      </c>
      <c r="D6277" s="340">
        <v>7500</v>
      </c>
      <c r="E6277" s="343"/>
    </row>
    <row r="6278" spans="1:5" s="335" customFormat="1" ht="24">
      <c r="A6278" s="342" t="s">
        <v>5982</v>
      </c>
      <c r="B6278" s="342" t="s">
        <v>5983</v>
      </c>
      <c r="C6278" s="342" t="str">
        <f>("7640017651")</f>
        <v>7640017651</v>
      </c>
      <c r="D6278" s="340">
        <v>1500</v>
      </c>
      <c r="E6278" s="343"/>
    </row>
    <row r="6279" spans="1:5" s="335" customFormat="1" ht="24">
      <c r="A6279" s="342" t="s">
        <v>5984</v>
      </c>
      <c r="B6279" s="342" t="s">
        <v>5985</v>
      </c>
      <c r="C6279" s="342" t="str">
        <f>("7640017652")</f>
        <v>7640017652</v>
      </c>
      <c r="D6279" s="340">
        <v>2250</v>
      </c>
      <c r="E6279" s="343"/>
    </row>
    <row r="6280" spans="1:5" s="335" customFormat="1" ht="36">
      <c r="A6280" s="342" t="s">
        <v>5986</v>
      </c>
      <c r="B6280" s="342" t="s">
        <v>5987</v>
      </c>
      <c r="C6280" s="342" t="str">
        <f>("7640017654")</f>
        <v>7640017654</v>
      </c>
      <c r="D6280" s="340">
        <v>795</v>
      </c>
      <c r="E6280" s="343"/>
    </row>
    <row r="6281" spans="1:5" s="335" customFormat="1" ht="36">
      <c r="A6281" s="342" t="s">
        <v>5988</v>
      </c>
      <c r="B6281" s="342" t="s">
        <v>5989</v>
      </c>
      <c r="C6281" s="342" t="str">
        <f>("7640017655")</f>
        <v>7640017655</v>
      </c>
      <c r="D6281" s="340">
        <v>159</v>
      </c>
      <c r="E6281" s="343"/>
    </row>
    <row r="6282" spans="1:5" s="335" customFormat="1" ht="36">
      <c r="A6282" s="342" t="s">
        <v>5990</v>
      </c>
      <c r="B6282" s="342" t="s">
        <v>5991</v>
      </c>
      <c r="C6282" s="342" t="str">
        <f>("7640017656")</f>
        <v>7640017656</v>
      </c>
      <c r="D6282" s="340">
        <v>239</v>
      </c>
      <c r="E6282" s="343"/>
    </row>
    <row r="6283" spans="1:5" s="335" customFormat="1" ht="24">
      <c r="A6283" s="342" t="s">
        <v>5992</v>
      </c>
      <c r="B6283" s="342" t="s">
        <v>5993</v>
      </c>
      <c r="C6283" s="342" t="str">
        <f>("7640017657")</f>
        <v>7640017657</v>
      </c>
      <c r="D6283" s="340">
        <v>5000</v>
      </c>
      <c r="E6283" s="343"/>
    </row>
    <row r="6284" spans="1:5" s="335" customFormat="1" ht="36">
      <c r="A6284" s="342" t="s">
        <v>5994</v>
      </c>
      <c r="B6284" s="342" t="s">
        <v>5995</v>
      </c>
      <c r="C6284" s="342" t="str">
        <f>("7640017658")</f>
        <v>7640017658</v>
      </c>
      <c r="D6284" s="340">
        <v>1000</v>
      </c>
      <c r="E6284" s="343"/>
    </row>
    <row r="6285" spans="1:5" s="335" customFormat="1" ht="36">
      <c r="A6285" s="342" t="s">
        <v>5996</v>
      </c>
      <c r="B6285" s="342" t="s">
        <v>5997</v>
      </c>
      <c r="C6285" s="342" t="str">
        <f>("7640017659")</f>
        <v>7640017659</v>
      </c>
      <c r="D6285" s="340">
        <v>1500</v>
      </c>
      <c r="E6285" s="343"/>
    </row>
    <row r="6286" spans="1:5" s="335" customFormat="1" ht="24">
      <c r="A6286" s="342" t="s">
        <v>5998</v>
      </c>
      <c r="B6286" s="342" t="s">
        <v>5999</v>
      </c>
      <c r="C6286" s="342" t="str">
        <f>("7640017661")</f>
        <v>7640017661</v>
      </c>
      <c r="D6286" s="340">
        <v>7500</v>
      </c>
      <c r="E6286" s="343"/>
    </row>
    <row r="6287" spans="1:5" s="335" customFormat="1" ht="24">
      <c r="A6287" s="342" t="s">
        <v>6000</v>
      </c>
      <c r="B6287" s="342" t="s">
        <v>6001</v>
      </c>
      <c r="C6287" s="342" t="str">
        <f>("7640017662")</f>
        <v>7640017662</v>
      </c>
      <c r="D6287" s="340">
        <v>1500</v>
      </c>
      <c r="E6287" s="343"/>
    </row>
    <row r="6288" spans="1:5" s="335" customFormat="1" ht="24">
      <c r="A6288" s="342" t="s">
        <v>6000</v>
      </c>
      <c r="B6288" s="342" t="s">
        <v>6002</v>
      </c>
      <c r="C6288" s="342" t="str">
        <f>("7640017663")</f>
        <v>7640017663</v>
      </c>
      <c r="D6288" s="340">
        <v>2250</v>
      </c>
      <c r="E6288" s="343"/>
    </row>
    <row r="6289" spans="1:5" s="335" customFormat="1" ht="12.75">
      <c r="A6289" s="403" t="s">
        <v>5628</v>
      </c>
      <c r="B6289" s="403"/>
      <c r="C6289" s="403"/>
      <c r="D6289" s="403"/>
      <c r="E6289" s="343"/>
    </row>
    <row r="6290" spans="1:5" s="335" customFormat="1" ht="24">
      <c r="A6290" s="342" t="s">
        <v>5629</v>
      </c>
      <c r="B6290" s="342" t="s">
        <v>5630</v>
      </c>
      <c r="C6290" s="342" t="str">
        <f>("7640004794")</f>
        <v>7640004794</v>
      </c>
      <c r="D6290" s="340">
        <v>500</v>
      </c>
      <c r="E6290" s="343"/>
    </row>
    <row r="6291" spans="1:5" s="335" customFormat="1" ht="24">
      <c r="A6291" s="342" t="s">
        <v>5631</v>
      </c>
      <c r="B6291" s="342" t="s">
        <v>5632</v>
      </c>
      <c r="C6291" s="342" t="str">
        <f>("7640004795")</f>
        <v>7640004795</v>
      </c>
      <c r="D6291" s="340">
        <v>4500</v>
      </c>
      <c r="E6291" s="343"/>
    </row>
    <row r="6292" spans="1:5" s="335" customFormat="1" ht="24">
      <c r="A6292" s="342" t="s">
        <v>5633</v>
      </c>
      <c r="B6292" s="342" t="s">
        <v>5634</v>
      </c>
      <c r="C6292" s="342" t="str">
        <f>("7640004796")</f>
        <v>7640004796</v>
      </c>
      <c r="D6292" s="340">
        <v>1500</v>
      </c>
      <c r="E6292" s="343"/>
    </row>
    <row r="6293" spans="1:5" s="335" customFormat="1" ht="24">
      <c r="A6293" s="342" t="s">
        <v>5635</v>
      </c>
      <c r="B6293" s="342" t="s">
        <v>5636</v>
      </c>
      <c r="C6293" s="342" t="str">
        <f>("7640004797")</f>
        <v>7640004797</v>
      </c>
      <c r="D6293" s="340">
        <v>1500</v>
      </c>
      <c r="E6293" s="343"/>
    </row>
    <row r="6294" spans="1:5" s="335" customFormat="1" ht="36">
      <c r="A6294" s="342" t="s">
        <v>5637</v>
      </c>
      <c r="B6294" s="342" t="s">
        <v>5638</v>
      </c>
      <c r="C6294" s="342" t="str">
        <f>("7640004798")</f>
        <v>7640004798</v>
      </c>
      <c r="D6294" s="340">
        <v>7000</v>
      </c>
      <c r="E6294" s="343"/>
    </row>
    <row r="6295" spans="1:5" s="335" customFormat="1" ht="24">
      <c r="A6295" s="342" t="s">
        <v>6003</v>
      </c>
      <c r="B6295" s="342" t="s">
        <v>6004</v>
      </c>
      <c r="C6295" s="342" t="str">
        <f>("7640004926")</f>
        <v>7640004926</v>
      </c>
      <c r="D6295" s="340">
        <v>3000</v>
      </c>
      <c r="E6295" s="343"/>
    </row>
    <row r="6296" spans="1:5" s="335" customFormat="1" ht="24">
      <c r="A6296" s="342" t="s">
        <v>6005</v>
      </c>
      <c r="B6296" s="342" t="s">
        <v>6006</v>
      </c>
      <c r="C6296" s="342" t="str">
        <f>("7640004933")</f>
        <v>7640004933</v>
      </c>
      <c r="D6296" s="340">
        <v>1500</v>
      </c>
      <c r="E6296" s="343"/>
    </row>
    <row r="6297" spans="1:5" s="335" customFormat="1" ht="36">
      <c r="A6297" s="342" t="s">
        <v>6007</v>
      </c>
      <c r="B6297" s="342" t="s">
        <v>6008</v>
      </c>
      <c r="C6297" s="342" t="str">
        <f>("7640005048")</f>
        <v>7640005048</v>
      </c>
      <c r="D6297" s="340">
        <v>3500</v>
      </c>
      <c r="E6297" s="343"/>
    </row>
    <row r="6298" spans="1:5" s="335" customFormat="1" ht="24">
      <c r="A6298" s="342" t="s">
        <v>6009</v>
      </c>
      <c r="B6298" s="342" t="s">
        <v>6010</v>
      </c>
      <c r="C6298" s="342" t="str">
        <f>("7640005207")</f>
        <v>7640005207</v>
      </c>
      <c r="D6298" s="340">
        <v>3000</v>
      </c>
      <c r="E6298" s="343"/>
    </row>
    <row r="6299" spans="1:5" s="335" customFormat="1" ht="24">
      <c r="A6299" s="342" t="s">
        <v>6011</v>
      </c>
      <c r="B6299" s="342" t="s">
        <v>6012</v>
      </c>
      <c r="C6299" s="342" t="str">
        <f>("7640007621")</f>
        <v>7640007621</v>
      </c>
      <c r="D6299" s="340">
        <v>3500</v>
      </c>
      <c r="E6299" s="343"/>
    </row>
    <row r="6300" spans="1:5" s="335" customFormat="1" ht="24">
      <c r="A6300" s="342" t="s">
        <v>6013</v>
      </c>
      <c r="B6300" s="342" t="s">
        <v>6014</v>
      </c>
      <c r="C6300" s="342" t="str">
        <f>("7640007622")</f>
        <v>7640007622</v>
      </c>
      <c r="D6300" s="340">
        <v>7000</v>
      </c>
      <c r="E6300" s="343"/>
    </row>
    <row r="6301" spans="1:5" s="335" customFormat="1" ht="36">
      <c r="A6301" s="342" t="s">
        <v>6015</v>
      </c>
      <c r="B6301" s="342" t="s">
        <v>6016</v>
      </c>
      <c r="C6301" s="342" t="str">
        <f>("7640007623")</f>
        <v>7640007623</v>
      </c>
      <c r="D6301" s="340">
        <v>3500</v>
      </c>
      <c r="E6301" s="343"/>
    </row>
    <row r="6302" spans="1:5" s="335" customFormat="1" ht="24">
      <c r="A6302" s="342" t="s">
        <v>6017</v>
      </c>
      <c r="B6302" s="342" t="s">
        <v>6018</v>
      </c>
      <c r="C6302" s="342" t="str">
        <f>("7640007624")</f>
        <v>7640007624</v>
      </c>
      <c r="D6302" s="340">
        <v>3500</v>
      </c>
      <c r="E6302" s="343"/>
    </row>
    <row r="6303" spans="1:5" s="335" customFormat="1" ht="24">
      <c r="A6303" s="342" t="s">
        <v>6019</v>
      </c>
      <c r="B6303" s="342" t="s">
        <v>6020</v>
      </c>
      <c r="C6303" s="342" t="str">
        <f>("7640007631")</f>
        <v>7640007631</v>
      </c>
      <c r="D6303" s="340">
        <v>1500</v>
      </c>
      <c r="E6303" s="343"/>
    </row>
    <row r="6304" spans="1:5" s="335" customFormat="1" ht="36">
      <c r="A6304" s="342" t="s">
        <v>6021</v>
      </c>
      <c r="B6304" s="342" t="s">
        <v>6022</v>
      </c>
      <c r="C6304" s="342" t="str">
        <f>("7640007632")</f>
        <v>7640007632</v>
      </c>
      <c r="D6304" s="340">
        <v>1500</v>
      </c>
      <c r="E6304" s="343"/>
    </row>
    <row r="6305" spans="1:5" s="335" customFormat="1" ht="24">
      <c r="A6305" s="342" t="s">
        <v>6023</v>
      </c>
      <c r="B6305" s="342" t="s">
        <v>6024</v>
      </c>
      <c r="C6305" s="342" t="str">
        <f>("7640007633")</f>
        <v>7640007633</v>
      </c>
      <c r="D6305" s="340">
        <v>1500</v>
      </c>
      <c r="E6305" s="343"/>
    </row>
    <row r="6306" spans="1:5" s="335" customFormat="1" ht="24">
      <c r="A6306" s="342" t="s">
        <v>6025</v>
      </c>
      <c r="B6306" s="342" t="s">
        <v>6026</v>
      </c>
      <c r="C6306" s="342" t="str">
        <f>("7640007634")</f>
        <v>7640007634</v>
      </c>
      <c r="D6306" s="340">
        <v>1500</v>
      </c>
      <c r="E6306" s="343"/>
    </row>
    <row r="6307" spans="1:5" s="335" customFormat="1" ht="36">
      <c r="A6307" s="342" t="s">
        <v>6027</v>
      </c>
      <c r="B6307" s="342" t="s">
        <v>6028</v>
      </c>
      <c r="C6307" s="342" t="str">
        <f>("7640007635")</f>
        <v>7640007635</v>
      </c>
      <c r="D6307" s="340">
        <v>1000</v>
      </c>
      <c r="E6307" s="343"/>
    </row>
    <row r="6308" spans="1:5" s="335" customFormat="1" ht="24">
      <c r="A6308" s="342" t="s">
        <v>5659</v>
      </c>
      <c r="B6308" s="342" t="s">
        <v>5660</v>
      </c>
      <c r="C6308" s="342" t="str">
        <f>("7640017643")</f>
        <v>7640017643</v>
      </c>
      <c r="D6308" s="340">
        <v>1500</v>
      </c>
      <c r="E6308" s="343"/>
    </row>
    <row r="6309" spans="1:5" s="335" customFormat="1" ht="36">
      <c r="A6309" s="342" t="s">
        <v>5661</v>
      </c>
      <c r="B6309" s="342" t="s">
        <v>5662</v>
      </c>
      <c r="C6309" s="342" t="str">
        <f>("7640017644")</f>
        <v>7640017644</v>
      </c>
      <c r="D6309" s="340">
        <v>1500</v>
      </c>
      <c r="E6309" s="343"/>
    </row>
    <row r="6310" spans="1:5" s="335" customFormat="1" ht="36">
      <c r="A6310" s="342" t="s">
        <v>5663</v>
      </c>
      <c r="B6310" s="342" t="s">
        <v>5664</v>
      </c>
      <c r="C6310" s="342" t="str">
        <f>("7640017645")</f>
        <v>7640017645</v>
      </c>
      <c r="D6310" s="340">
        <v>500</v>
      </c>
      <c r="E6310" s="343"/>
    </row>
    <row r="6311" spans="1:5" s="335" customFormat="1" ht="36">
      <c r="A6311" s="342" t="s">
        <v>6029</v>
      </c>
      <c r="B6311" s="342" t="s">
        <v>6030</v>
      </c>
      <c r="C6311" s="342" t="str">
        <f>("7640017649")</f>
        <v>7640017649</v>
      </c>
      <c r="D6311" s="340">
        <v>1500</v>
      </c>
      <c r="E6311" s="343"/>
    </row>
    <row r="6312" spans="1:5" s="335" customFormat="1" ht="24">
      <c r="A6312" s="342" t="s">
        <v>6031</v>
      </c>
      <c r="B6312" s="342" t="s">
        <v>6032</v>
      </c>
      <c r="C6312" s="342" t="str">
        <f>("7640017653")</f>
        <v>7640017653</v>
      </c>
      <c r="D6312" s="340">
        <v>3500</v>
      </c>
      <c r="E6312" s="343"/>
    </row>
    <row r="6313" spans="1:5" s="335" customFormat="1" ht="36">
      <c r="A6313" s="342" t="s">
        <v>6033</v>
      </c>
      <c r="B6313" s="342" t="s">
        <v>6032</v>
      </c>
      <c r="C6313" s="342" t="str">
        <f>("7640017660")</f>
        <v>7640017660</v>
      </c>
      <c r="D6313" s="340">
        <v>1500</v>
      </c>
      <c r="E6313" s="343"/>
    </row>
    <row r="6314" spans="1:5" s="335" customFormat="1" ht="36">
      <c r="A6314" s="342" t="s">
        <v>6034</v>
      </c>
      <c r="B6314" s="342" t="s">
        <v>6035</v>
      </c>
      <c r="C6314" s="342" t="str">
        <f>("7640017664")</f>
        <v>7640017664</v>
      </c>
      <c r="D6314" s="340">
        <v>1500</v>
      </c>
      <c r="E6314" s="343"/>
    </row>
    <row r="6315" spans="1:5" s="335" customFormat="1" ht="12.75">
      <c r="A6315" s="344"/>
      <c r="B6315" s="343"/>
      <c r="C6315" s="343"/>
      <c r="D6315" s="395"/>
      <c r="E6315" s="343"/>
    </row>
    <row r="6316" spans="1:5" s="335" customFormat="1" ht="15" customHeight="1">
      <c r="A6316" s="345"/>
      <c r="B6316" s="404" t="s">
        <v>6036</v>
      </c>
      <c r="C6316" s="404"/>
      <c r="D6316" s="404"/>
      <c r="E6316" s="404"/>
    </row>
    <row r="6317" spans="1:5" s="335" customFormat="1" ht="25.5">
      <c r="A6317" s="346" t="s">
        <v>789</v>
      </c>
      <c r="B6317" s="346" t="s">
        <v>409</v>
      </c>
      <c r="C6317" s="346" t="s">
        <v>26</v>
      </c>
      <c r="D6317" s="337" t="s">
        <v>6425</v>
      </c>
      <c r="E6317" s="343"/>
    </row>
    <row r="6318" spans="1:5" s="335" customFormat="1" ht="26.25">
      <c r="A6318" s="342" t="s">
        <v>6037</v>
      </c>
      <c r="B6318" s="342" t="s">
        <v>6037</v>
      </c>
      <c r="C6318" s="342" t="s">
        <v>6413</v>
      </c>
      <c r="D6318" s="340">
        <v>0</v>
      </c>
      <c r="E6318" s="343"/>
    </row>
    <row r="6319" spans="1:5" s="335" customFormat="1" ht="12.75">
      <c r="A6319" s="403" t="s">
        <v>5490</v>
      </c>
      <c r="B6319" s="403"/>
      <c r="C6319" s="403"/>
      <c r="D6319" s="403"/>
      <c r="E6319" s="343"/>
    </row>
    <row r="6320" spans="1:5" s="335" customFormat="1" ht="36">
      <c r="A6320" s="342" t="s">
        <v>6038</v>
      </c>
      <c r="B6320" s="342" t="s">
        <v>6039</v>
      </c>
      <c r="C6320" s="342" t="s">
        <v>6414</v>
      </c>
      <c r="D6320" s="340">
        <v>12000</v>
      </c>
      <c r="E6320" s="343"/>
    </row>
    <row r="6321" spans="1:5" s="335" customFormat="1" ht="24">
      <c r="A6321" s="342" t="s">
        <v>6040</v>
      </c>
      <c r="B6321" s="342" t="s">
        <v>6041</v>
      </c>
      <c r="C6321" s="342" t="str">
        <f>("7640008133")</f>
        <v>7640008133</v>
      </c>
      <c r="D6321" s="340">
        <v>5000</v>
      </c>
      <c r="E6321" s="343"/>
    </row>
    <row r="6322" spans="1:5" s="335" customFormat="1" ht="12.75">
      <c r="A6322" s="403" t="s">
        <v>5497</v>
      </c>
      <c r="B6322" s="403"/>
      <c r="C6322" s="403"/>
      <c r="D6322" s="403"/>
      <c r="E6322" s="343"/>
    </row>
    <row r="6323" spans="1:5" s="335" customFormat="1" ht="24">
      <c r="A6323" s="342" t="s">
        <v>6042</v>
      </c>
      <c r="B6323" s="342" t="s">
        <v>6043</v>
      </c>
      <c r="C6323" s="342" t="str">
        <f>("7640008134")</f>
        <v>7640008134</v>
      </c>
      <c r="D6323" s="340">
        <v>500</v>
      </c>
      <c r="E6323" s="343"/>
    </row>
    <row r="6324" spans="1:5" s="335" customFormat="1" ht="24">
      <c r="A6324" s="342" t="s">
        <v>6044</v>
      </c>
      <c r="B6324" s="342" t="s">
        <v>6045</v>
      </c>
      <c r="C6324" s="342" t="str">
        <f>("7640008135")</f>
        <v>7640008135</v>
      </c>
      <c r="D6324" s="340">
        <v>3500</v>
      </c>
      <c r="E6324" s="343"/>
    </row>
    <row r="6325" spans="1:5" s="335" customFormat="1" ht="24">
      <c r="A6325" s="342" t="s">
        <v>6046</v>
      </c>
      <c r="B6325" s="342" t="s">
        <v>6047</v>
      </c>
      <c r="C6325" s="342" t="str">
        <f>("7640008136")</f>
        <v>7640008136</v>
      </c>
      <c r="D6325" s="340">
        <v>3000</v>
      </c>
      <c r="E6325" s="343"/>
    </row>
    <row r="6326" spans="1:5" s="335" customFormat="1" ht="24">
      <c r="A6326" s="342" t="s">
        <v>6048</v>
      </c>
      <c r="B6326" s="342" t="s">
        <v>6049</v>
      </c>
      <c r="C6326" s="342" t="str">
        <f>("7640008137")</f>
        <v>7640008137</v>
      </c>
      <c r="D6326" s="340">
        <v>3000</v>
      </c>
      <c r="E6326" s="343"/>
    </row>
    <row r="6327" spans="1:5" s="335" customFormat="1" ht="24">
      <c r="A6327" s="342" t="s">
        <v>6050</v>
      </c>
      <c r="B6327" s="342" t="s">
        <v>6051</v>
      </c>
      <c r="C6327" s="342" t="str">
        <f>("7640008138")</f>
        <v>7640008138</v>
      </c>
      <c r="D6327" s="340">
        <v>3000</v>
      </c>
      <c r="E6327" s="343"/>
    </row>
    <row r="6328" spans="1:5" s="335" customFormat="1" ht="36">
      <c r="A6328" s="342" t="s">
        <v>6052</v>
      </c>
      <c r="B6328" s="342" t="s">
        <v>6053</v>
      </c>
      <c r="C6328" s="342" t="str">
        <f>("7640008139")</f>
        <v>7640008139</v>
      </c>
      <c r="D6328" s="340">
        <v>3000</v>
      </c>
      <c r="E6328" s="343"/>
    </row>
    <row r="6329" spans="1:5" s="335" customFormat="1" ht="24">
      <c r="A6329" s="342" t="s">
        <v>6054</v>
      </c>
      <c r="B6329" s="342" t="s">
        <v>6055</v>
      </c>
      <c r="C6329" s="342" t="str">
        <f>("7640008140")</f>
        <v>7640008140</v>
      </c>
      <c r="D6329" s="340">
        <v>8000</v>
      </c>
      <c r="E6329" s="343"/>
    </row>
    <row r="6330" spans="1:5" s="335" customFormat="1" ht="24">
      <c r="A6330" s="342" t="s">
        <v>5960</v>
      </c>
      <c r="B6330" s="342" t="s">
        <v>5961</v>
      </c>
      <c r="C6330" s="342" t="str">
        <f>("7640017629")</f>
        <v>7640017629</v>
      </c>
      <c r="D6330" s="340">
        <v>3500</v>
      </c>
      <c r="E6330" s="343"/>
    </row>
    <row r="6331" spans="1:5" s="335" customFormat="1" ht="24">
      <c r="A6331" s="342" t="s">
        <v>5962</v>
      </c>
      <c r="B6331" s="342" t="s">
        <v>5963</v>
      </c>
      <c r="C6331" s="342" t="str">
        <f>("7640017630")</f>
        <v>7640017630</v>
      </c>
      <c r="D6331" s="340">
        <v>5000</v>
      </c>
      <c r="E6331" s="343"/>
    </row>
    <row r="6332" spans="1:5" s="335" customFormat="1" ht="24">
      <c r="A6332" s="342" t="s">
        <v>5964</v>
      </c>
      <c r="B6332" s="342" t="s">
        <v>5965</v>
      </c>
      <c r="C6332" s="342" t="str">
        <f>("7640017631")</f>
        <v>7640017631</v>
      </c>
      <c r="D6332" s="340">
        <v>4500</v>
      </c>
      <c r="E6332" s="343"/>
    </row>
    <row r="6333" spans="1:5" s="335" customFormat="1" ht="36">
      <c r="A6333" s="342" t="s">
        <v>5966</v>
      </c>
      <c r="B6333" s="342" t="s">
        <v>5967</v>
      </c>
      <c r="C6333" s="342" t="str">
        <f>("7640017632")</f>
        <v>7640017632</v>
      </c>
      <c r="D6333" s="340">
        <v>3000</v>
      </c>
      <c r="E6333" s="343"/>
    </row>
    <row r="6334" spans="1:5" s="335" customFormat="1" ht="36">
      <c r="A6334" s="342" t="s">
        <v>5968</v>
      </c>
      <c r="B6334" s="342" t="s">
        <v>5969</v>
      </c>
      <c r="C6334" s="342" t="str">
        <f>("7640017633")</f>
        <v>7640017633</v>
      </c>
      <c r="D6334" s="340">
        <v>3000</v>
      </c>
      <c r="E6334" s="343"/>
    </row>
    <row r="6335" spans="1:5" s="335" customFormat="1" ht="24">
      <c r="A6335" s="342" t="s">
        <v>5970</v>
      </c>
      <c r="B6335" s="342" t="s">
        <v>5971</v>
      </c>
      <c r="C6335" s="342" t="str">
        <f>("7640017634")</f>
        <v>7640017634</v>
      </c>
      <c r="D6335" s="340">
        <v>1200</v>
      </c>
      <c r="E6335" s="343"/>
    </row>
    <row r="6336" spans="1:5" s="335" customFormat="1" ht="24">
      <c r="A6336" s="342" t="s">
        <v>5972</v>
      </c>
      <c r="B6336" s="342" t="s">
        <v>5973</v>
      </c>
      <c r="C6336" s="342" t="str">
        <f>("7640017635")</f>
        <v>7640017635</v>
      </c>
      <c r="D6336" s="340">
        <v>1200</v>
      </c>
      <c r="E6336" s="343"/>
    </row>
    <row r="6337" spans="1:5" s="335" customFormat="1" ht="12.75">
      <c r="A6337" s="403" t="s">
        <v>5628</v>
      </c>
      <c r="B6337" s="403"/>
      <c r="C6337" s="403"/>
      <c r="D6337" s="403"/>
      <c r="E6337" s="343"/>
    </row>
    <row r="6338" spans="1:5" s="335" customFormat="1" ht="36">
      <c r="A6338" s="342" t="s">
        <v>6056</v>
      </c>
      <c r="B6338" s="342" t="s">
        <v>6057</v>
      </c>
      <c r="C6338" s="342" t="str">
        <f>("7640008141")</f>
        <v>7640008141</v>
      </c>
      <c r="D6338" s="340">
        <v>5000</v>
      </c>
      <c r="E6338" s="343"/>
    </row>
    <row r="6339" spans="1:5" s="335" customFormat="1" ht="24">
      <c r="A6339" s="342" t="s">
        <v>6058</v>
      </c>
      <c r="B6339" s="342" t="s">
        <v>6059</v>
      </c>
      <c r="C6339" s="342" t="str">
        <f>("7640008142")</f>
        <v>7640008142</v>
      </c>
      <c r="D6339" s="340">
        <v>2500</v>
      </c>
      <c r="E6339" s="343"/>
    </row>
    <row r="6340" spans="1:5" s="335" customFormat="1" ht="36">
      <c r="A6340" s="342" t="s">
        <v>6060</v>
      </c>
      <c r="B6340" s="342" t="s">
        <v>6061</v>
      </c>
      <c r="C6340" s="342" t="str">
        <f>("7640008143")</f>
        <v>7640008143</v>
      </c>
      <c r="D6340" s="340">
        <v>1500</v>
      </c>
      <c r="E6340" s="343"/>
    </row>
    <row r="6341" spans="1:5" s="335" customFormat="1" ht="24">
      <c r="A6341" s="342" t="s">
        <v>6062</v>
      </c>
      <c r="B6341" s="342" t="s">
        <v>6063</v>
      </c>
      <c r="C6341" s="342" t="str">
        <f>("7640008144")</f>
        <v>7640008144</v>
      </c>
      <c r="D6341" s="340">
        <v>1500</v>
      </c>
      <c r="E6341" s="343"/>
    </row>
    <row r="6342" spans="1:5" s="335" customFormat="1" ht="24">
      <c r="A6342" s="342" t="s">
        <v>6064</v>
      </c>
      <c r="B6342" s="342" t="s">
        <v>6065</v>
      </c>
      <c r="C6342" s="342" t="str">
        <f>("7640008145")</f>
        <v>7640008145</v>
      </c>
      <c r="D6342" s="340">
        <v>1500</v>
      </c>
      <c r="E6342" s="343"/>
    </row>
    <row r="6343" spans="1:5" s="335" customFormat="1" ht="24">
      <c r="A6343" s="342" t="s">
        <v>6066</v>
      </c>
      <c r="B6343" s="342" t="s">
        <v>6067</v>
      </c>
      <c r="C6343" s="342" t="str">
        <f>("7640008146")</f>
        <v>7640008146</v>
      </c>
      <c r="D6343" s="340">
        <v>1500</v>
      </c>
      <c r="E6343" s="343"/>
    </row>
    <row r="6344" spans="1:5" s="335" customFormat="1" ht="36">
      <c r="A6344" s="342" t="s">
        <v>6068</v>
      </c>
      <c r="B6344" s="342" t="s">
        <v>6069</v>
      </c>
      <c r="C6344" s="342" t="str">
        <f>("7640008147")</f>
        <v>7640008147</v>
      </c>
      <c r="D6344" s="340">
        <v>1500</v>
      </c>
      <c r="E6344" s="343"/>
    </row>
    <row r="6345" spans="1:5" s="335" customFormat="1" ht="36">
      <c r="A6345" s="342" t="s">
        <v>6070</v>
      </c>
      <c r="B6345" s="342" t="s">
        <v>6071</v>
      </c>
      <c r="C6345" s="342" t="str">
        <f>("7640008148")</f>
        <v>7640008148</v>
      </c>
      <c r="D6345" s="340">
        <v>1500</v>
      </c>
      <c r="E6345" s="343"/>
    </row>
    <row r="6346" spans="1:5" s="335" customFormat="1" ht="36">
      <c r="A6346" s="342" t="s">
        <v>6072</v>
      </c>
      <c r="B6346" s="342" t="s">
        <v>6073</v>
      </c>
      <c r="C6346" s="342" t="str">
        <f>("7640008149")</f>
        <v>7640008149</v>
      </c>
      <c r="D6346" s="340">
        <v>5000</v>
      </c>
      <c r="E6346" s="343"/>
    </row>
    <row r="6347" spans="1:5" s="335" customFormat="1" ht="24">
      <c r="A6347" s="342" t="s">
        <v>6074</v>
      </c>
      <c r="B6347" s="342" t="s">
        <v>6075</v>
      </c>
      <c r="C6347" s="342" t="str">
        <f>("7640008150")</f>
        <v>7640008150</v>
      </c>
      <c r="D6347" s="340">
        <v>200</v>
      </c>
      <c r="E6347" s="343"/>
    </row>
    <row r="6348" spans="1:5" s="335" customFormat="1" ht="36">
      <c r="A6348" s="342" t="s">
        <v>6076</v>
      </c>
      <c r="B6348" s="342" t="s">
        <v>6077</v>
      </c>
      <c r="C6348" s="342" t="str">
        <f>("7640017636")</f>
        <v>7640017636</v>
      </c>
      <c r="D6348" s="340">
        <v>5000</v>
      </c>
      <c r="E6348" s="343"/>
    </row>
    <row r="6349" spans="1:5" s="335" customFormat="1" ht="36">
      <c r="A6349" s="342" t="s">
        <v>6078</v>
      </c>
      <c r="B6349" s="342" t="s">
        <v>6079</v>
      </c>
      <c r="C6349" s="342" t="str">
        <f>("7640017637")</f>
        <v>7640017637</v>
      </c>
      <c r="D6349" s="340">
        <v>1500</v>
      </c>
      <c r="E6349" s="343"/>
    </row>
    <row r="6350" spans="1:5" s="335" customFormat="1" ht="24">
      <c r="A6350" s="342" t="s">
        <v>6080</v>
      </c>
      <c r="B6350" s="342" t="s">
        <v>6081</v>
      </c>
      <c r="C6350" s="342" t="str">
        <f>("7640017638")</f>
        <v>7640017638</v>
      </c>
      <c r="D6350" s="340">
        <v>1500</v>
      </c>
      <c r="E6350" s="343"/>
    </row>
    <row r="6351" spans="1:5" s="335" customFormat="1" ht="36">
      <c r="A6351" s="342" t="s">
        <v>6082</v>
      </c>
      <c r="B6351" s="342" t="s">
        <v>6083</v>
      </c>
      <c r="C6351" s="342" t="str">
        <f>("7640017639")</f>
        <v>7640017639</v>
      </c>
      <c r="D6351" s="340">
        <v>1500</v>
      </c>
      <c r="E6351" s="343"/>
    </row>
    <row r="6352" spans="1:5" s="335" customFormat="1" ht="12.75">
      <c r="A6352" s="344"/>
      <c r="B6352" s="343"/>
      <c r="C6352" s="343"/>
      <c r="D6352" s="395"/>
      <c r="E6352" s="343"/>
    </row>
    <row r="6353" spans="1:5" s="335" customFormat="1" ht="15" customHeight="1">
      <c r="A6353" s="345"/>
      <c r="B6353" s="404" t="s">
        <v>6084</v>
      </c>
      <c r="C6353" s="404"/>
      <c r="D6353" s="404"/>
      <c r="E6353" s="404"/>
    </row>
    <row r="6354" spans="1:5" s="335" customFormat="1" ht="25.5">
      <c r="A6354" s="346" t="s">
        <v>789</v>
      </c>
      <c r="B6354" s="346" t="s">
        <v>409</v>
      </c>
      <c r="C6354" s="346" t="s">
        <v>26</v>
      </c>
      <c r="D6354" s="337" t="s">
        <v>6425</v>
      </c>
      <c r="E6354" s="343"/>
    </row>
    <row r="6355" spans="1:5" s="335" customFormat="1" ht="12.75">
      <c r="A6355" s="342" t="s">
        <v>6085</v>
      </c>
      <c r="B6355" s="342"/>
      <c r="C6355" s="342" t="str">
        <f>("ScanTrip")</f>
        <v>ScanTrip</v>
      </c>
      <c r="D6355" s="340">
        <v>0</v>
      </c>
      <c r="E6355" s="343"/>
    </row>
    <row r="6356" spans="1:5" s="335" customFormat="1" ht="12.75">
      <c r="A6356" s="403" t="s">
        <v>3153</v>
      </c>
      <c r="B6356" s="403"/>
      <c r="C6356" s="403"/>
      <c r="D6356" s="403"/>
      <c r="E6356" s="343"/>
    </row>
    <row r="6357" spans="1:5" s="335" customFormat="1" ht="12.75">
      <c r="A6357" s="342" t="s">
        <v>6086</v>
      </c>
      <c r="B6357" s="342" t="s">
        <v>6087</v>
      </c>
      <c r="C6357" s="342" t="str">
        <f>("7640001120")</f>
        <v>7640001120</v>
      </c>
      <c r="D6357" s="340">
        <v>540</v>
      </c>
      <c r="E6357" s="343"/>
    </row>
    <row r="6358" spans="1:5" s="335" customFormat="1" ht="24">
      <c r="A6358" s="342" t="s">
        <v>6088</v>
      </c>
      <c r="B6358" s="342" t="s">
        <v>6089</v>
      </c>
      <c r="C6358" s="342" t="str">
        <f>("7640001122")</f>
        <v>7640001122</v>
      </c>
      <c r="D6358" s="340">
        <v>900</v>
      </c>
      <c r="E6358" s="343"/>
    </row>
    <row r="6359" spans="1:5" s="335" customFormat="1" ht="12.75">
      <c r="A6359" s="342" t="s">
        <v>6090</v>
      </c>
      <c r="B6359" s="342" t="s">
        <v>6089</v>
      </c>
      <c r="C6359" s="342" t="str">
        <f>("7640001123")</f>
        <v>7640001123</v>
      </c>
      <c r="D6359" s="340">
        <v>900</v>
      </c>
      <c r="E6359" s="343"/>
    </row>
    <row r="6360" spans="1:5" s="335" customFormat="1" ht="12.75">
      <c r="A6360" s="342" t="s">
        <v>6091</v>
      </c>
      <c r="B6360" s="342" t="s">
        <v>6089</v>
      </c>
      <c r="C6360" s="342" t="str">
        <f>("7640001124")</f>
        <v>7640001124</v>
      </c>
      <c r="D6360" s="340">
        <v>180</v>
      </c>
      <c r="E6360" s="343"/>
    </row>
    <row r="6361" spans="1:5" s="335" customFormat="1" ht="12.75">
      <c r="A6361" s="344"/>
      <c r="B6361" s="343"/>
      <c r="C6361" s="343"/>
      <c r="D6361" s="395"/>
      <c r="E6361" s="343"/>
    </row>
    <row r="6362" spans="1:5" s="335" customFormat="1" ht="15" customHeight="1">
      <c r="A6362" s="345"/>
      <c r="B6362" s="404" t="s">
        <v>6092</v>
      </c>
      <c r="C6362" s="404"/>
      <c r="D6362" s="404"/>
      <c r="E6362" s="404"/>
    </row>
    <row r="6363" spans="1:5" s="335" customFormat="1" ht="25.5">
      <c r="A6363" s="346" t="s">
        <v>789</v>
      </c>
      <c r="B6363" s="346" t="s">
        <v>409</v>
      </c>
      <c r="C6363" s="346" t="s">
        <v>26</v>
      </c>
      <c r="D6363" s="337" t="s">
        <v>6425</v>
      </c>
      <c r="E6363" s="343"/>
    </row>
    <row r="6364" spans="1:5" s="335" customFormat="1" ht="14.25">
      <c r="A6364" s="342" t="s">
        <v>6093</v>
      </c>
      <c r="B6364" s="342"/>
      <c r="C6364" s="342" t="s">
        <v>6415</v>
      </c>
      <c r="D6364" s="340">
        <v>0</v>
      </c>
      <c r="E6364" s="343"/>
    </row>
    <row r="6365" spans="1:5" s="335" customFormat="1" ht="12.75">
      <c r="A6365" s="402" t="s">
        <v>1587</v>
      </c>
      <c r="B6365" s="402"/>
      <c r="C6365" s="402"/>
      <c r="D6365" s="402"/>
      <c r="E6365" s="343"/>
    </row>
    <row r="6366" spans="1:5" s="335" customFormat="1" ht="36">
      <c r="A6366" s="342" t="s">
        <v>6094</v>
      </c>
      <c r="B6366" s="342" t="s">
        <v>6094</v>
      </c>
      <c r="C6366" s="342" t="s">
        <v>6416</v>
      </c>
      <c r="D6366" s="340">
        <v>35</v>
      </c>
      <c r="E6366" s="343"/>
    </row>
    <row r="6367" spans="1:5" s="335" customFormat="1" ht="24">
      <c r="A6367" s="342" t="s">
        <v>6095</v>
      </c>
      <c r="B6367" s="342" t="s">
        <v>6096</v>
      </c>
      <c r="C6367" s="342" t="s">
        <v>6417</v>
      </c>
      <c r="D6367" s="340">
        <v>399.99</v>
      </c>
      <c r="E6367" s="343"/>
    </row>
    <row r="6368" spans="1:5" s="335" customFormat="1" ht="24">
      <c r="A6368" s="342" t="s">
        <v>6095</v>
      </c>
      <c r="B6368" s="342" t="s">
        <v>6097</v>
      </c>
      <c r="C6368" s="342" t="s">
        <v>6418</v>
      </c>
      <c r="D6368" s="340">
        <v>1699.99</v>
      </c>
      <c r="E6368" s="343"/>
    </row>
    <row r="6369" spans="1:5" s="335" customFormat="1" ht="24">
      <c r="A6369" s="342" t="s">
        <v>6095</v>
      </c>
      <c r="B6369" s="342" t="s">
        <v>6098</v>
      </c>
      <c r="C6369" s="342" t="s">
        <v>6419</v>
      </c>
      <c r="D6369" s="340">
        <v>7999.99</v>
      </c>
      <c r="E6369" s="343"/>
    </row>
    <row r="6370" spans="1:5" s="335" customFormat="1" ht="24">
      <c r="A6370" s="342" t="s">
        <v>6095</v>
      </c>
      <c r="B6370" s="342" t="s">
        <v>6099</v>
      </c>
      <c r="C6370" s="342" t="s">
        <v>6420</v>
      </c>
      <c r="D6370" s="340">
        <v>24399.99</v>
      </c>
      <c r="E6370" s="343"/>
    </row>
    <row r="6371" spans="1:5" s="335" customFormat="1" ht="12.75">
      <c r="A6371" s="403" t="s">
        <v>1675</v>
      </c>
      <c r="B6371" s="403"/>
      <c r="C6371" s="403"/>
      <c r="D6371" s="403"/>
      <c r="E6371" s="343"/>
    </row>
    <row r="6372" spans="1:5" s="335" customFormat="1" ht="24">
      <c r="A6372" s="342" t="s">
        <v>6100</v>
      </c>
      <c r="B6372" s="342" t="s">
        <v>6101</v>
      </c>
      <c r="C6372" s="342" t="s">
        <v>6421</v>
      </c>
      <c r="D6372" s="340">
        <v>199</v>
      </c>
      <c r="E6372" s="343"/>
    </row>
    <row r="6373" spans="1:5" s="335" customFormat="1" ht="24">
      <c r="A6373" s="342" t="s">
        <v>6100</v>
      </c>
      <c r="B6373" s="342" t="s">
        <v>6102</v>
      </c>
      <c r="C6373" s="342" t="s">
        <v>6422</v>
      </c>
      <c r="D6373" s="340">
        <v>599</v>
      </c>
      <c r="E6373" s="343"/>
    </row>
    <row r="6374" spans="1:5" s="335" customFormat="1" ht="24">
      <c r="A6374" s="342" t="s">
        <v>6100</v>
      </c>
      <c r="B6374" s="342" t="s">
        <v>6103</v>
      </c>
      <c r="C6374" s="342" t="s">
        <v>6423</v>
      </c>
      <c r="D6374" s="340">
        <v>2250</v>
      </c>
      <c r="E6374" s="343"/>
    </row>
    <row r="6375" spans="1:5" s="335" customFormat="1" ht="24">
      <c r="A6375" s="342" t="s">
        <v>6100</v>
      </c>
      <c r="B6375" s="342" t="s">
        <v>6104</v>
      </c>
      <c r="C6375" s="342" t="s">
        <v>6424</v>
      </c>
      <c r="D6375" s="340">
        <v>7050</v>
      </c>
      <c r="E6375" s="343"/>
    </row>
    <row r="6376" spans="1:5" s="335" customFormat="1" ht="12.75">
      <c r="A6376" s="339"/>
      <c r="D6376" s="395"/>
    </row>
  </sheetData>
  <mergeCells count="521">
    <mergeCell ref="O1653:Q1653"/>
    <mergeCell ref="R1653:T1653"/>
    <mergeCell ref="O1666:Q1666"/>
    <mergeCell ref="R1666:T1666"/>
    <mergeCell ref="A1654:D1654"/>
    <mergeCell ref="A1490:H1490"/>
    <mergeCell ref="A1693:D1693"/>
    <mergeCell ref="A1706:D1706"/>
    <mergeCell ref="A1719:D1719"/>
    <mergeCell ref="F1654:I1654"/>
    <mergeCell ref="F1667:I1667"/>
    <mergeCell ref="F1680:I1680"/>
    <mergeCell ref="F1693:I1693"/>
    <mergeCell ref="A1667:D1667"/>
    <mergeCell ref="A1616:C1616"/>
    <mergeCell ref="A1628:C1629"/>
    <mergeCell ref="A1641:C1642"/>
    <mergeCell ref="A1680:D1680"/>
    <mergeCell ref="A1493:C1493"/>
    <mergeCell ref="A1506:C1506"/>
    <mergeCell ref="A1519:C1519"/>
    <mergeCell ref="A1592:C1592"/>
    <mergeCell ref="A1604:C1604"/>
    <mergeCell ref="F1706:I1706"/>
    <mergeCell ref="A1531:C1531"/>
    <mergeCell ref="A1543:C1543"/>
    <mergeCell ref="A1556:C1556"/>
    <mergeCell ref="A1568:C1568"/>
    <mergeCell ref="A1580:C1580"/>
    <mergeCell ref="A1887:D1887"/>
    <mergeCell ref="A1858:D1858"/>
    <mergeCell ref="A1864:D1864"/>
    <mergeCell ref="A1867:D1867"/>
    <mergeCell ref="A1876:D1876"/>
    <mergeCell ref="A1885:D1885"/>
    <mergeCell ref="B1849:E1849"/>
    <mergeCell ref="A1852:D1852"/>
    <mergeCell ref="A1846:D1846"/>
    <mergeCell ref="F1719:I1719"/>
    <mergeCell ref="F1732:I1732"/>
    <mergeCell ref="F1745:I1745"/>
    <mergeCell ref="F1758:I1758"/>
    <mergeCell ref="A1809:D1809"/>
    <mergeCell ref="A1828:D1828"/>
    <mergeCell ref="F1771:I1771"/>
    <mergeCell ref="F1790:I1790"/>
    <mergeCell ref="F1809:I1809"/>
    <mergeCell ref="A1771:D1771"/>
    <mergeCell ref="A1790:D1790"/>
    <mergeCell ref="F1828:I1828"/>
    <mergeCell ref="A1732:D1732"/>
    <mergeCell ref="A1745:D1745"/>
    <mergeCell ref="A1758:D1758"/>
    <mergeCell ref="A1939:D1939"/>
    <mergeCell ref="A1945:D1945"/>
    <mergeCell ref="A1951:D1951"/>
    <mergeCell ref="B1936:E1936"/>
    <mergeCell ref="A1894:D1894"/>
    <mergeCell ref="A1906:D1906"/>
    <mergeCell ref="A1917:D1917"/>
    <mergeCell ref="A1920:D1920"/>
    <mergeCell ref="B1891:E1891"/>
    <mergeCell ref="A2047:D2047"/>
    <mergeCell ref="A2058:D2058"/>
    <mergeCell ref="A2070:D2070"/>
    <mergeCell ref="B2044:E2044"/>
    <mergeCell ref="A1977:D1977"/>
    <mergeCell ref="A2003:D2003"/>
    <mergeCell ref="A2027:D2027"/>
    <mergeCell ref="B1974:E1974"/>
    <mergeCell ref="A1960:D1960"/>
    <mergeCell ref="A1969:D1969"/>
    <mergeCell ref="A2161:D2161"/>
    <mergeCell ref="A2172:D2172"/>
    <mergeCell ref="B2158:E2158"/>
    <mergeCell ref="A2136:D2136"/>
    <mergeCell ref="A2147:D2147"/>
    <mergeCell ref="A2149:D2149"/>
    <mergeCell ref="A2153:D2153"/>
    <mergeCell ref="A2081:D2081"/>
    <mergeCell ref="A2092:D2092"/>
    <mergeCell ref="A2103:D2103"/>
    <mergeCell ref="A2114:D2114"/>
    <mergeCell ref="A2125:D2125"/>
    <mergeCell ref="B2263:E2263"/>
    <mergeCell ref="A2266:D2266"/>
    <mergeCell ref="A2229:D2229"/>
    <mergeCell ref="A2240:D2240"/>
    <mergeCell ref="A2251:D2251"/>
    <mergeCell ref="A2183:D2183"/>
    <mergeCell ref="A2185:D2185"/>
    <mergeCell ref="A2196:D2196"/>
    <mergeCell ref="A2207:D2207"/>
    <mergeCell ref="A2218:D2218"/>
    <mergeCell ref="B2306:E2306"/>
    <mergeCell ref="A2309:D2309"/>
    <mergeCell ref="A2286:D2286"/>
    <mergeCell ref="A2295:D2295"/>
    <mergeCell ref="A2297:D2297"/>
    <mergeCell ref="A2303:D2303"/>
    <mergeCell ref="B2283:E2283"/>
    <mergeCell ref="A2269:D2269"/>
    <mergeCell ref="A2273:D2273"/>
    <mergeCell ref="A2276:D2276"/>
    <mergeCell ref="A2359:D2359"/>
    <mergeCell ref="A2362:D2362"/>
    <mergeCell ref="A2372:D2372"/>
    <mergeCell ref="A2375:D2375"/>
    <mergeCell ref="A2378:D2378"/>
    <mergeCell ref="A2344:D2344"/>
    <mergeCell ref="A2354:D2354"/>
    <mergeCell ref="A2316:D2316"/>
    <mergeCell ref="A2318:D2318"/>
    <mergeCell ref="A2320:D2320"/>
    <mergeCell ref="B2341:E2341"/>
    <mergeCell ref="A2396:D2396"/>
    <mergeCell ref="A2401:D2401"/>
    <mergeCell ref="A2404:D2404"/>
    <mergeCell ref="A2407:D2407"/>
    <mergeCell ref="A2409:D2409"/>
    <mergeCell ref="B2391:E2391"/>
    <mergeCell ref="A2394:D2394"/>
    <mergeCell ref="A2381:D2381"/>
    <mergeCell ref="A2383:D2383"/>
    <mergeCell ref="A2385:D2385"/>
    <mergeCell ref="A2437:D2437"/>
    <mergeCell ref="A2453:D2453"/>
    <mergeCell ref="A2456:D2456"/>
    <mergeCell ref="A2459:D2459"/>
    <mergeCell ref="A2461:D2461"/>
    <mergeCell ref="A2417:D2417"/>
    <mergeCell ref="A2432:D2432"/>
    <mergeCell ref="A2411:D2411"/>
    <mergeCell ref="B2414:E2414"/>
    <mergeCell ref="A2484:D2484"/>
    <mergeCell ref="A2486:D2486"/>
    <mergeCell ref="A2490:D2490"/>
    <mergeCell ref="A2510:D2510"/>
    <mergeCell ref="B2481:E2481"/>
    <mergeCell ref="A2464:D2464"/>
    <mergeCell ref="A2466:D2466"/>
    <mergeCell ref="A2470:D2470"/>
    <mergeCell ref="A2473:D2473"/>
    <mergeCell ref="A2475:D2475"/>
    <mergeCell ref="A2579:A2583"/>
    <mergeCell ref="C2579:C2583"/>
    <mergeCell ref="D2579:D2583"/>
    <mergeCell ref="A2588:D2588"/>
    <mergeCell ref="A2604:D2604"/>
    <mergeCell ref="B2575:E2575"/>
    <mergeCell ref="A2578:D2578"/>
    <mergeCell ref="A2569:D2569"/>
    <mergeCell ref="A2572:D2572"/>
    <mergeCell ref="A2739:D2739"/>
    <mergeCell ref="A2667:D2667"/>
    <mergeCell ref="A2673:D2673"/>
    <mergeCell ref="A2688:D2688"/>
    <mergeCell ref="A2701:D2701"/>
    <mergeCell ref="B2664:E2664"/>
    <mergeCell ref="A2618:D2618"/>
    <mergeCell ref="A2657:D2657"/>
    <mergeCell ref="A2661:D2661"/>
    <mergeCell ref="B2938:E2938"/>
    <mergeCell ref="A2819:D2819"/>
    <mergeCell ref="A2829:D2829"/>
    <mergeCell ref="A2866:D2866"/>
    <mergeCell ref="A2903:D2903"/>
    <mergeCell ref="B2816:E2816"/>
    <mergeCell ref="A2757:D2757"/>
    <mergeCell ref="A2810:D2810"/>
    <mergeCell ref="B2744:E2744"/>
    <mergeCell ref="A2747:D2747"/>
    <mergeCell ref="B3046:E3046"/>
    <mergeCell ref="A2991:D2991"/>
    <mergeCell ref="A3041:D3041"/>
    <mergeCell ref="B2981:E2981"/>
    <mergeCell ref="A2984:D2984"/>
    <mergeCell ref="A2952:D2952"/>
    <mergeCell ref="A2957:D2957"/>
    <mergeCell ref="A2964:D2964"/>
    <mergeCell ref="A2941:D2941"/>
    <mergeCell ref="B2949:E2949"/>
    <mergeCell ref="A3144:D3144"/>
    <mergeCell ref="A3146:D3146"/>
    <mergeCell ref="A3219:D3219"/>
    <mergeCell ref="A3254:D3254"/>
    <mergeCell ref="A3273:D3273"/>
    <mergeCell ref="A3049:D3049"/>
    <mergeCell ref="A3058:D3058"/>
    <mergeCell ref="A3092:D3092"/>
    <mergeCell ref="A3101:D3101"/>
    <mergeCell ref="A3580:D3580"/>
    <mergeCell ref="A3589:D3589"/>
    <mergeCell ref="A3632:D3632"/>
    <mergeCell ref="A3634:D3634"/>
    <mergeCell ref="A3707:D3707"/>
    <mergeCell ref="A3513:D3513"/>
    <mergeCell ref="A3546:D3546"/>
    <mergeCell ref="A3331:D3331"/>
    <mergeCell ref="A3344:D3344"/>
    <mergeCell ref="A3387:D3387"/>
    <mergeCell ref="A3400:D3400"/>
    <mergeCell ref="B3510:E3510"/>
    <mergeCell ref="B3987:E3987"/>
    <mergeCell ref="A3878:D3878"/>
    <mergeCell ref="A3891:D3891"/>
    <mergeCell ref="A3893:D3893"/>
    <mergeCell ref="A3741:D3741"/>
    <mergeCell ref="A3760:D3760"/>
    <mergeCell ref="A3818:D3818"/>
    <mergeCell ref="A3822:D3822"/>
    <mergeCell ref="A3835:D3835"/>
    <mergeCell ref="A4021:D4021"/>
    <mergeCell ref="A4039:D4039"/>
    <mergeCell ref="A4050:D4050"/>
    <mergeCell ref="A4062:D4062"/>
    <mergeCell ref="A4071:D4071"/>
    <mergeCell ref="A3990:D3990"/>
    <mergeCell ref="A3994:D3994"/>
    <mergeCell ref="A4004:D4004"/>
    <mergeCell ref="A4010:D4010"/>
    <mergeCell ref="B4177:E4177"/>
    <mergeCell ref="A4149:D4149"/>
    <mergeCell ref="A4159:D4159"/>
    <mergeCell ref="A4172:D4172"/>
    <mergeCell ref="B4144:E4144"/>
    <mergeCell ref="A4147:D4147"/>
    <mergeCell ref="A4093:D4093"/>
    <mergeCell ref="A4113:D4113"/>
    <mergeCell ref="A4115:D4115"/>
    <mergeCell ref="B4218:E4218"/>
    <mergeCell ref="A4212:D4212"/>
    <mergeCell ref="B4209:E4209"/>
    <mergeCell ref="A4199:D4199"/>
    <mergeCell ref="A4205:D4205"/>
    <mergeCell ref="A4180:D4180"/>
    <mergeCell ref="A4184:D4184"/>
    <mergeCell ref="A4189:D4189"/>
    <mergeCell ref="A4192:D4192"/>
    <mergeCell ref="B4340:E4340"/>
    <mergeCell ref="A4236:D4236"/>
    <mergeCell ref="A4263:D4263"/>
    <mergeCell ref="A4276:D4276"/>
    <mergeCell ref="A4304:D4304"/>
    <mergeCell ref="A4310:D4310"/>
    <mergeCell ref="B4233:E4233"/>
    <mergeCell ref="A4221:D4221"/>
    <mergeCell ref="A4228:D4228"/>
    <mergeCell ref="B4367:E4367"/>
    <mergeCell ref="A4370:D4370"/>
    <mergeCell ref="A4359:D4359"/>
    <mergeCell ref="A4361:D4361"/>
    <mergeCell ref="A4343:D4343"/>
    <mergeCell ref="A4346:D4346"/>
    <mergeCell ref="A4349:D4349"/>
    <mergeCell ref="A4355:D4355"/>
    <mergeCell ref="A4357:D4357"/>
    <mergeCell ref="A4390:D4390"/>
    <mergeCell ref="A4392:D4392"/>
    <mergeCell ref="A4407:D4407"/>
    <mergeCell ref="A4413:D4413"/>
    <mergeCell ref="A4421:D4421"/>
    <mergeCell ref="B4387:E4387"/>
    <mergeCell ref="A4373:D4373"/>
    <mergeCell ref="A4379:D4379"/>
    <mergeCell ref="A4381:D4381"/>
    <mergeCell ref="B4493:E4493"/>
    <mergeCell ref="A4455:D4455"/>
    <mergeCell ref="A4473:D4473"/>
    <mergeCell ref="A4449:D4449"/>
    <mergeCell ref="B4452:E4452"/>
    <mergeCell ref="B4444:E4444"/>
    <mergeCell ref="A4447:D4447"/>
    <mergeCell ref="A4426:D4426"/>
    <mergeCell ref="A4430:D4430"/>
    <mergeCell ref="A4436:D4436"/>
    <mergeCell ref="A4439:D4439"/>
    <mergeCell ref="A4441:D4441"/>
    <mergeCell ref="A4537:D4537"/>
    <mergeCell ref="A4546:D4546"/>
    <mergeCell ref="A4549:D4549"/>
    <mergeCell ref="B4534:E4534"/>
    <mergeCell ref="A4512:D4512"/>
    <mergeCell ref="A4515:D4515"/>
    <mergeCell ref="A4526:D4526"/>
    <mergeCell ref="A4496:D4496"/>
    <mergeCell ref="A4505:D4505"/>
    <mergeCell ref="A4508:D4508"/>
    <mergeCell ref="A4510:D4510"/>
    <mergeCell ref="A4588:D4588"/>
    <mergeCell ref="A4590:D4590"/>
    <mergeCell ref="A4592:D4592"/>
    <mergeCell ref="A4596:D4596"/>
    <mergeCell ref="A4608:D4608"/>
    <mergeCell ref="A4576:D4576"/>
    <mergeCell ref="A4585:D4585"/>
    <mergeCell ref="B4573:E4573"/>
    <mergeCell ref="A4551:D4551"/>
    <mergeCell ref="A4553:D4553"/>
    <mergeCell ref="A4556:D4556"/>
    <mergeCell ref="A4565:D4565"/>
    <mergeCell ref="A4647:D4647"/>
    <mergeCell ref="A4654:D4654"/>
    <mergeCell ref="A4627:D4627"/>
    <mergeCell ref="A4630:D4630"/>
    <mergeCell ref="A4632:D4632"/>
    <mergeCell ref="A4634:D4634"/>
    <mergeCell ref="A4638:D4638"/>
    <mergeCell ref="B4616:E4616"/>
    <mergeCell ref="A4619:D4619"/>
    <mergeCell ref="A4680:D4680"/>
    <mergeCell ref="A4685:D4685"/>
    <mergeCell ref="A4687:D4687"/>
    <mergeCell ref="A4662:D4662"/>
    <mergeCell ref="A4667:D4667"/>
    <mergeCell ref="A4669:D4669"/>
    <mergeCell ref="B4677:E4677"/>
    <mergeCell ref="B4657:E4657"/>
    <mergeCell ref="A4660:D4660"/>
    <mergeCell ref="B4755:E4755"/>
    <mergeCell ref="A4741:D4741"/>
    <mergeCell ref="A4749:D4749"/>
    <mergeCell ref="A4718:D4718"/>
    <mergeCell ref="A4723:D4723"/>
    <mergeCell ref="A4727:D4727"/>
    <mergeCell ref="A4732:D4732"/>
    <mergeCell ref="B4715:E4715"/>
    <mergeCell ref="A4692:D4692"/>
    <mergeCell ref="A4701:D4701"/>
    <mergeCell ref="A4709:D4709"/>
    <mergeCell ref="B4787:E4787"/>
    <mergeCell ref="A4790:D4790"/>
    <mergeCell ref="B4779:E4779"/>
    <mergeCell ref="A4781:D4781"/>
    <mergeCell ref="A4775:D4775"/>
    <mergeCell ref="A4758:D4758"/>
    <mergeCell ref="A4761:D4761"/>
    <mergeCell ref="A4764:D4764"/>
    <mergeCell ref="A4767:D4767"/>
    <mergeCell ref="A4772:D4772"/>
    <mergeCell ref="A4847:D4847"/>
    <mergeCell ref="A4856:D4856"/>
    <mergeCell ref="A4865:D4865"/>
    <mergeCell ref="A4867:D4867"/>
    <mergeCell ref="A4875:D4875"/>
    <mergeCell ref="A4796:D4796"/>
    <mergeCell ref="A4804:D4804"/>
    <mergeCell ref="A4821:D4821"/>
    <mergeCell ref="A4842:D4842"/>
    <mergeCell ref="A4844:D4844"/>
    <mergeCell ref="B4924:E4924"/>
    <mergeCell ref="A4927:D4927"/>
    <mergeCell ref="A4909:D4909"/>
    <mergeCell ref="A4918:D4918"/>
    <mergeCell ref="A4882:D4882"/>
    <mergeCell ref="A4889:D4889"/>
    <mergeCell ref="A4895:D4895"/>
    <mergeCell ref="A4902:D4902"/>
    <mergeCell ref="A4906:D4906"/>
    <mergeCell ref="A4955:D4955"/>
    <mergeCell ref="A4960:D4960"/>
    <mergeCell ref="A4966:D4966"/>
    <mergeCell ref="A4972:D4972"/>
    <mergeCell ref="A4978:D4978"/>
    <mergeCell ref="A4930:D4930"/>
    <mergeCell ref="A4934:D4934"/>
    <mergeCell ref="A4939:D4939"/>
    <mergeCell ref="A4944:D4944"/>
    <mergeCell ref="A4950:D4950"/>
    <mergeCell ref="A5054:D5054"/>
    <mergeCell ref="A5056:D5056"/>
    <mergeCell ref="B5062:E5062"/>
    <mergeCell ref="B5051:E5051"/>
    <mergeCell ref="A5006:D5006"/>
    <mergeCell ref="A5029:D5029"/>
    <mergeCell ref="A5033:D5033"/>
    <mergeCell ref="B5003:E5003"/>
    <mergeCell ref="A4982:D4982"/>
    <mergeCell ref="A4984:D4984"/>
    <mergeCell ref="A4997:D4997"/>
    <mergeCell ref="B5236:E5236"/>
    <mergeCell ref="A5155:D5155"/>
    <mergeCell ref="A5166:D5166"/>
    <mergeCell ref="A5170:D5170"/>
    <mergeCell ref="A5184:D5184"/>
    <mergeCell ref="A5215:D5215"/>
    <mergeCell ref="A5065:D5065"/>
    <mergeCell ref="A5132:D5132"/>
    <mergeCell ref="A5146:D5146"/>
    <mergeCell ref="A5279:D5279"/>
    <mergeCell ref="A5310:D5310"/>
    <mergeCell ref="A5326:D5326"/>
    <mergeCell ref="A5342:D5342"/>
    <mergeCell ref="A5359:D5359"/>
    <mergeCell ref="A5239:D5239"/>
    <mergeCell ref="A5252:D5252"/>
    <mergeCell ref="A5261:D5261"/>
    <mergeCell ref="A5270:D5270"/>
    <mergeCell ref="B5409:E5409"/>
    <mergeCell ref="A5412:D5412"/>
    <mergeCell ref="A5401:D5401"/>
    <mergeCell ref="A5403:D5403"/>
    <mergeCell ref="A5366:D5366"/>
    <mergeCell ref="A5373:D5373"/>
    <mergeCell ref="A5379:D5379"/>
    <mergeCell ref="A5387:D5387"/>
    <mergeCell ref="A5389:D5389"/>
    <mergeCell ref="A5452:D5452"/>
    <mergeCell ref="A5456:D5456"/>
    <mergeCell ref="A5443:D5443"/>
    <mergeCell ref="B5449:E5449"/>
    <mergeCell ref="A5414:D5414"/>
    <mergeCell ref="A5421:D5421"/>
    <mergeCell ref="A5427:D5427"/>
    <mergeCell ref="A5433:D5433"/>
    <mergeCell ref="A5439:D5439"/>
    <mergeCell ref="A5504:D5504"/>
    <mergeCell ref="A5508:D5508"/>
    <mergeCell ref="A5512:D5512"/>
    <mergeCell ref="A5516:D5516"/>
    <mergeCell ref="B5501:E5501"/>
    <mergeCell ref="A5465:D5465"/>
    <mergeCell ref="A5468:D5468"/>
    <mergeCell ref="A5475:D5475"/>
    <mergeCell ref="A5478:D5478"/>
    <mergeCell ref="A5566:D5566"/>
    <mergeCell ref="A5577:D5577"/>
    <mergeCell ref="B5580:E5580"/>
    <mergeCell ref="A5539:D5539"/>
    <mergeCell ref="A5544:D5544"/>
    <mergeCell ref="A5549:D5549"/>
    <mergeCell ref="B5536:E5536"/>
    <mergeCell ref="A5520:D5520"/>
    <mergeCell ref="A5529:D5529"/>
    <mergeCell ref="A5531:D5531"/>
    <mergeCell ref="A5533:D5533"/>
    <mergeCell ref="B5662:E5662"/>
    <mergeCell ref="A5612:D5612"/>
    <mergeCell ref="A5630:D5630"/>
    <mergeCell ref="A5650:D5650"/>
    <mergeCell ref="B5606:E5606"/>
    <mergeCell ref="A5609:D5609"/>
    <mergeCell ref="A5594:D5594"/>
    <mergeCell ref="A5603:D5603"/>
    <mergeCell ref="A5583:D5583"/>
    <mergeCell ref="A5584:A5586"/>
    <mergeCell ref="C5584:C5586"/>
    <mergeCell ref="D5584:D5586"/>
    <mergeCell ref="A5778:D5778"/>
    <mergeCell ref="B5791:E5791"/>
    <mergeCell ref="B5775:E5775"/>
    <mergeCell ref="A5763:D5763"/>
    <mergeCell ref="A5748:D5748"/>
    <mergeCell ref="A5754:D5754"/>
    <mergeCell ref="A5759:D5759"/>
    <mergeCell ref="B5745:E5745"/>
    <mergeCell ref="A5665:D5665"/>
    <mergeCell ref="A5689:D5689"/>
    <mergeCell ref="A5698:D5698"/>
    <mergeCell ref="A5729:D5729"/>
    <mergeCell ref="B5907:E5907"/>
    <mergeCell ref="B5908:E5908"/>
    <mergeCell ref="A5895:D5895"/>
    <mergeCell ref="A5861:D5861"/>
    <mergeCell ref="A5878:D5878"/>
    <mergeCell ref="B5858:E5858"/>
    <mergeCell ref="A5794:D5794"/>
    <mergeCell ref="A5797:D5797"/>
    <mergeCell ref="A5819:D5819"/>
    <mergeCell ref="A5821:D5821"/>
    <mergeCell ref="A5834:D5834"/>
    <mergeCell ref="A5929:D5929"/>
    <mergeCell ref="A5946:D5946"/>
    <mergeCell ref="A5948:D5948"/>
    <mergeCell ref="B5926:E5926"/>
    <mergeCell ref="A5921:D5921"/>
    <mergeCell ref="A5923:D5923"/>
    <mergeCell ref="A5911:D5911"/>
    <mergeCell ref="A5915:D5915"/>
    <mergeCell ref="B5918:E5918"/>
    <mergeCell ref="A6053:D6053"/>
    <mergeCell ref="B6056:E6056"/>
    <mergeCell ref="A6041:D6041"/>
    <mergeCell ref="A6043:D6043"/>
    <mergeCell ref="A6045:D6045"/>
    <mergeCell ref="A6048:D6048"/>
    <mergeCell ref="A6050:D6050"/>
    <mergeCell ref="B6038:E6038"/>
    <mergeCell ref="A5952:D5952"/>
    <mergeCell ref="A6018:D6018"/>
    <mergeCell ref="B6100:E6100"/>
    <mergeCell ref="A6092:D6092"/>
    <mergeCell ref="A6094:D6094"/>
    <mergeCell ref="A6097:D6097"/>
    <mergeCell ref="B6089:E6089"/>
    <mergeCell ref="A6071:D6071"/>
    <mergeCell ref="A6082:D6082"/>
    <mergeCell ref="B6068:E6068"/>
    <mergeCell ref="A6059:D6059"/>
    <mergeCell ref="A6063:D6063"/>
    <mergeCell ref="A6065:D6065"/>
    <mergeCell ref="A6208:D6208"/>
    <mergeCell ref="A6222:D6222"/>
    <mergeCell ref="A6289:D6289"/>
    <mergeCell ref="A6196:D6196"/>
    <mergeCell ref="A6206:D6206"/>
    <mergeCell ref="B6193:E6193"/>
    <mergeCell ref="A6103:D6103"/>
    <mergeCell ref="A6121:D6121"/>
    <mergeCell ref="A6123:D6123"/>
    <mergeCell ref="A6156:D6156"/>
    <mergeCell ref="A6180:D6180"/>
    <mergeCell ref="A6365:D6365"/>
    <mergeCell ref="A6371:D6371"/>
    <mergeCell ref="A6356:D6356"/>
    <mergeCell ref="B6362:E6362"/>
    <mergeCell ref="B6353:E6353"/>
    <mergeCell ref="A6319:D6319"/>
    <mergeCell ref="A6322:D6322"/>
    <mergeCell ref="A6337:D6337"/>
    <mergeCell ref="B6316:E6316"/>
  </mergeCells>
  <pageMargins left="0.7" right="0.7" top="0.75" bottom="0.75" header="0.3" footer="0.3"/>
  <pageSetup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Validation</vt:lpstr>
      <vt:lpstr>Approved Pricing Old</vt:lpstr>
      <vt:lpstr>MFP's</vt:lpstr>
      <vt:lpstr>Options</vt:lpstr>
      <vt:lpstr>'MFP''s'!Print_Area</vt:lpstr>
      <vt:lpstr>'MFP''s'!Print_Titles</vt:lpstr>
    </vt:vector>
  </TitlesOfParts>
  <Company>Konica Minolta Business Solutions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 Guyt</dc:creator>
  <cp:lastModifiedBy>Regina Irvin</cp:lastModifiedBy>
  <cp:lastPrinted>2015-03-13T16:05:33Z</cp:lastPrinted>
  <dcterms:created xsi:type="dcterms:W3CDTF">2008-11-05T20:17:37Z</dcterms:created>
  <dcterms:modified xsi:type="dcterms:W3CDTF">2015-08-26T17:52:00Z</dcterms:modified>
</cp:coreProperties>
</file>